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4.xml" ContentType="application/vnd.openxmlformats-officedocument.spreadsheetml.comments+xml"/>
  <Override PartName="/xl/threadedComments/threadedComment3.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Sandra Stasaityte\Downloads\Mokslai\EXCEL\Excel pazengusiems - mokyku klubas 13.08.2023\"/>
    </mc:Choice>
  </mc:AlternateContent>
  <xr:revisionPtr revIDLastSave="0" documentId="13_ncr:1_{3D588CF0-147F-4CA2-87E8-C3FF790E5A81}" xr6:coauthVersionLast="47" xr6:coauthVersionMax="47" xr10:uidLastSave="{00000000-0000-0000-0000-000000000000}"/>
  <bookViews>
    <workbookView xWindow="-120" yWindow="-120" windowWidth="29040" windowHeight="15720" tabRatio="813" activeTab="5" xr2:uid="{00000000-000D-0000-FFFF-FFFF00000000}"/>
  </bookViews>
  <sheets>
    <sheet name="U4B" sheetId="33" r:id="rId1"/>
    <sheet name="U4C" sheetId="32" r:id="rId2"/>
    <sheet name="U5" sheetId="2" r:id="rId3"/>
    <sheet name="U6" sheetId="3" r:id="rId4"/>
    <sheet name="U6A" sheetId="31" r:id="rId5"/>
    <sheet name="U7" sheetId="4" r:id="rId6"/>
    <sheet name="U7A" sheetId="5" r:id="rId7"/>
    <sheet name="U8" sheetId="6" r:id="rId8"/>
    <sheet name="U8A" sheetId="7" r:id="rId9"/>
    <sheet name="U9" sheetId="8" r:id="rId10"/>
    <sheet name="U10" sheetId="9" r:id="rId11"/>
    <sheet name="U11" sheetId="30" r:id="rId12"/>
    <sheet name="U12" sheetId="10" r:id="rId13"/>
    <sheet name="U13" sheetId="29" r:id="rId14"/>
    <sheet name="U14" sheetId="12" r:id="rId15"/>
    <sheet name="U15" sheetId="22" r:id="rId16"/>
    <sheet name="U16" sheetId="13" r:id="rId17"/>
    <sheet name="U16A_1" sheetId="35" r:id="rId18"/>
    <sheet name="U16A_2" sheetId="34" r:id="rId19"/>
    <sheet name="U16A_3" sheetId="36" r:id="rId20"/>
    <sheet name="U17" sheetId="39" r:id="rId21"/>
    <sheet name="U17_1" sheetId="14" r:id="rId22"/>
    <sheet name="U17_2" sheetId="16" r:id="rId23"/>
    <sheet name="U17_3" sheetId="24" r:id="rId24"/>
    <sheet name="U17_4" sheetId="38" r:id="rId25"/>
    <sheet name="U18" sheetId="17" r:id="rId26"/>
    <sheet name="U19" sheetId="18" r:id="rId27"/>
    <sheet name="U20" sheetId="1" r:id="rId28"/>
    <sheet name="U21_1" sheetId="19" r:id="rId29"/>
    <sheet name="U21_2" sheetId="20" r:id="rId30"/>
    <sheet name="U21_3" sheetId="21" r:id="rId31"/>
  </sheets>
  <externalReferences>
    <externalReference r:id="rId32"/>
  </externalReferences>
  <definedNames>
    <definedName name="_xlnm._FilterDatabase" localSheetId="11" hidden="1">'U11'!$B$4:$F$27</definedName>
    <definedName name="_xlnm._FilterDatabase" localSheetId="12" hidden="1">'U12'!$B$17:$F$40</definedName>
    <definedName name="_xlnm._FilterDatabase" localSheetId="13" hidden="1">'U13'!$B$31:$F$33</definedName>
    <definedName name="_xlnm._FilterDatabase" localSheetId="14" hidden="1">'U14'!#REF!</definedName>
    <definedName name="_xlnm._FilterDatabase" localSheetId="15" hidden="1">'U15'!#REF!</definedName>
    <definedName name="_xlnm._FilterDatabase" localSheetId="16" hidden="1">'U16'!#REF!</definedName>
    <definedName name="_xlnm._FilterDatabase" localSheetId="21" hidden="1">U17_1!$A$5:$E$214</definedName>
    <definedName name="_xlnm._FilterDatabase" localSheetId="22" hidden="1">U17_2!$A$5:$E$214</definedName>
    <definedName name="_xlnm._FilterDatabase" localSheetId="23" hidden="1">U17_3!$A$5:$E$214</definedName>
    <definedName name="_xlnm._FilterDatabase" localSheetId="3" hidden="1">'U6'!$B$15:$H$20</definedName>
    <definedName name="_xlnm._FilterDatabase" localSheetId="5" hidden="1">'U7'!$C$54:$E$74</definedName>
    <definedName name="_xlnm._FilterDatabase" localSheetId="6" hidden="1">U7A!$C$28:$K$702</definedName>
    <definedName name="_xlnm._FilterDatabase" localSheetId="9" hidden="1">'U9'!$B$19:$B$102</definedName>
    <definedName name="_xlnm.Criteria" localSheetId="6">U7A!$D$20:$F$21</definedName>
    <definedName name="_xlnm.Extract" localSheetId="6">U7A!$N$27:$V$27</definedName>
    <definedName name="_xlnm.Extract" localSheetId="9">'U9'!$G$22</definedName>
    <definedName name="_xlnm.Print_Area" localSheetId="19">U16A_3!$A$3:$I$3</definedName>
    <definedName name="_xlnm.Print_Area" localSheetId="22">U17_2!$A$1:$F$214</definedName>
    <definedName name="_xlnm.Print_Area" localSheetId="23">U17_3!$A$1:$F$214</definedName>
    <definedName name="_xlnm.Print_Area" localSheetId="24">U17_4!$A$1:$J$3</definedName>
    <definedName name="_xlnm.Print_Area" localSheetId="28">U21_1!$A$3:$M$18</definedName>
    <definedName name="_xlnm.Print_Area" localSheetId="29">U21_2!$A$6:$AE$104</definedName>
    <definedName name="_xlnm.Print_Area" localSheetId="30">U21_3!$A$28:$H$39</definedName>
    <definedName name="_xlnm.Print_Titles" localSheetId="29">U21_2!$A:$A,U21_2!$8:$13</definedName>
    <definedName name="_xlnm.Print_Titles" localSheetId="30">U21_3!$28:$28</definedName>
    <definedName name="solver_adj" localSheetId="17" hidden="1">U16A_1!$C$7:$E$9</definedName>
    <definedName name="solver_adj" localSheetId="18" hidden="1">U16A_2!$B$13:$E$14</definedName>
    <definedName name="solver_adj" localSheetId="19" hidden="1">U16A_3!$C$14:$G$14</definedName>
    <definedName name="solver_cvg" localSheetId="17" hidden="1">0.0001</definedName>
    <definedName name="solver_cvg" localSheetId="18" hidden="1">0.0001</definedName>
    <definedName name="solver_cvg" localSheetId="19" hidden="1">0.0001</definedName>
    <definedName name="solver_drv" localSheetId="17" hidden="1">1</definedName>
    <definedName name="solver_drv" localSheetId="18" hidden="1">1</definedName>
    <definedName name="solver_drv" localSheetId="19" hidden="1">1</definedName>
    <definedName name="solver_eng" localSheetId="17" hidden="1">1</definedName>
    <definedName name="solver_eng" localSheetId="18" hidden="1">2</definedName>
    <definedName name="solver_eng" localSheetId="19" hidden="1">1</definedName>
    <definedName name="solver_est" localSheetId="17" hidden="1">1</definedName>
    <definedName name="solver_est" localSheetId="18" hidden="1">1</definedName>
    <definedName name="solver_est" localSheetId="19" hidden="1">1</definedName>
    <definedName name="solver_itr" localSheetId="17" hidden="1">2147483647</definedName>
    <definedName name="solver_itr" localSheetId="18" hidden="1">2147483647</definedName>
    <definedName name="solver_itr" localSheetId="19" hidden="1">2147483647</definedName>
    <definedName name="solver_lhs1" localSheetId="17" hidden="1">U16A_1!$C$11:$E$11</definedName>
    <definedName name="solver_lhs1" localSheetId="18" hidden="1">U16A_2!$B$13:$E$14</definedName>
    <definedName name="solver_lhs1" localSheetId="19" hidden="1">U16A_3!$C$14:$G$14</definedName>
    <definedName name="solver_lhs10" localSheetId="18" hidden="1">U16A_2!$G$13:$G$14</definedName>
    <definedName name="solver_lhs2" localSheetId="17" hidden="1">U16A_1!$C$7:$C$9</definedName>
    <definedName name="solver_lhs2" localSheetId="18" hidden="1">U16A_2!$B$13:$E$14</definedName>
    <definedName name="solver_lhs2" localSheetId="19" hidden="1">U16A_3!$H$16:$H$19</definedName>
    <definedName name="solver_lhs3" localSheetId="17" hidden="1">U16A_1!$C$7:$C$9</definedName>
    <definedName name="solver_lhs3" localSheetId="18" hidden="1">U16A_2!$B$15:$E$15</definedName>
    <definedName name="solver_lhs3" localSheetId="19" hidden="1">U16A_3!$H$16:$H$18</definedName>
    <definedName name="solver_lhs4" localSheetId="17" hidden="1">U16A_1!$G$11:$G$12</definedName>
    <definedName name="solver_lhs4" localSheetId="18" hidden="1">U16A_2!$G$13:$G$14</definedName>
    <definedName name="solver_lhs5" localSheetId="17" hidden="1">U16A_1!$G$7:$G$9</definedName>
    <definedName name="solver_lhs5" localSheetId="18" hidden="1">U16A_2!$G$13:$G$14</definedName>
    <definedName name="solver_lhs6" localSheetId="17" hidden="1">U16A_1!$G$7:$G$9</definedName>
    <definedName name="solver_lhs6" localSheetId="18" hidden="1">U16A_2!$G$13:$G$14</definedName>
    <definedName name="solver_lhs7" localSheetId="17" hidden="1">U16A_1!$G$7:$G$9</definedName>
    <definedName name="solver_lhs7" localSheetId="18" hidden="1">U16A_2!$G$13:$G$14</definedName>
    <definedName name="solver_lhs8" localSheetId="18" hidden="1">U16A_2!$G$13:$G$14</definedName>
    <definedName name="solver_lhs9" localSheetId="18" hidden="1">U16A_2!$G$13:$G$14</definedName>
    <definedName name="solver_lin" localSheetId="18" hidden="1">2</definedName>
    <definedName name="solver_mip" localSheetId="17" hidden="1">2147483647</definedName>
    <definedName name="solver_mip" localSheetId="18" hidden="1">2147483647</definedName>
    <definedName name="solver_mip" localSheetId="19" hidden="1">2147483647</definedName>
    <definedName name="solver_mni" localSheetId="17" hidden="1">30</definedName>
    <definedName name="solver_mni" localSheetId="18" hidden="1">30</definedName>
    <definedName name="solver_mni" localSheetId="19" hidden="1">30</definedName>
    <definedName name="solver_mrt" localSheetId="17" hidden="1">0.075</definedName>
    <definedName name="solver_mrt" localSheetId="18" hidden="1">0.075</definedName>
    <definedName name="solver_mrt" localSheetId="19" hidden="1">0.075</definedName>
    <definedName name="solver_msl" localSheetId="17" hidden="1">2</definedName>
    <definedName name="solver_msl" localSheetId="18" hidden="1">2</definedName>
    <definedName name="solver_msl" localSheetId="19" hidden="1">2</definedName>
    <definedName name="solver_neg" localSheetId="17" hidden="1">1</definedName>
    <definedName name="solver_neg" localSheetId="18" hidden="1">1</definedName>
    <definedName name="solver_neg" localSheetId="19" hidden="1">1</definedName>
    <definedName name="solver_nod" localSheetId="17" hidden="1">2147483647</definedName>
    <definedName name="solver_nod" localSheetId="18" hidden="1">2147483647</definedName>
    <definedName name="solver_nod" localSheetId="19" hidden="1">2147483647</definedName>
    <definedName name="solver_num" localSheetId="17" hidden="1">5</definedName>
    <definedName name="solver_num" localSheetId="18" hidden="1">4</definedName>
    <definedName name="solver_num" localSheetId="19" hidden="1">2</definedName>
    <definedName name="solver_nwt" localSheetId="17" hidden="1">1</definedName>
    <definedName name="solver_nwt" localSheetId="18" hidden="1">1</definedName>
    <definedName name="solver_nwt" localSheetId="19" hidden="1">1</definedName>
    <definedName name="solver_opt" localSheetId="18" hidden="1">U16A_2!$G$17</definedName>
    <definedName name="solver_opt" localSheetId="19" hidden="1">U16A_3!$H$19</definedName>
    <definedName name="solver_pre" localSheetId="17" hidden="1">0.000001</definedName>
    <definedName name="solver_pre" localSheetId="18" hidden="1">0.000001</definedName>
    <definedName name="solver_pre" localSheetId="19" hidden="1">0.000001</definedName>
    <definedName name="solver_rbv" localSheetId="17" hidden="1">1</definedName>
    <definedName name="solver_rbv" localSheetId="18" hidden="1">1</definedName>
    <definedName name="solver_rbv" localSheetId="19" hidden="1">1</definedName>
    <definedName name="solver_rel1" localSheetId="17" hidden="1">2</definedName>
    <definedName name="solver_rel1" localSheetId="18" hidden="1">4</definedName>
    <definedName name="solver_rel1" localSheetId="19" hidden="1">5</definedName>
    <definedName name="solver_rel10" localSheetId="18" hidden="1">1</definedName>
    <definedName name="solver_rel2" localSheetId="17" hidden="1">6</definedName>
    <definedName name="solver_rel2" localSheetId="18" hidden="1">3</definedName>
    <definedName name="solver_rel2" localSheetId="19" hidden="1">1</definedName>
    <definedName name="solver_rel3" localSheetId="17" hidden="1">4</definedName>
    <definedName name="solver_rel3" localSheetId="18" hidden="1">2</definedName>
    <definedName name="solver_rel3" localSheetId="19" hidden="1">1</definedName>
    <definedName name="solver_rel4" localSheetId="17" hidden="1">2</definedName>
    <definedName name="solver_rel4" localSheetId="18" hidden="1">1</definedName>
    <definedName name="solver_rel5" localSheetId="17" hidden="1">2</definedName>
    <definedName name="solver_rel5" localSheetId="18" hidden="1">1</definedName>
    <definedName name="solver_rel6" localSheetId="17" hidden="1">2</definedName>
    <definedName name="solver_rel6" localSheetId="18" hidden="1">1</definedName>
    <definedName name="solver_rel7" localSheetId="17" hidden="1">2</definedName>
    <definedName name="solver_rel7" localSheetId="18" hidden="1">1</definedName>
    <definedName name="solver_rel8" localSheetId="18" hidden="1">1</definedName>
    <definedName name="solver_rel9" localSheetId="18" hidden="1">1</definedName>
    <definedName name="solver_rhs1" localSheetId="17" hidden="1">U16A_1!$C$12:$E$12</definedName>
    <definedName name="solver_rhs1" localSheetId="18" hidden="1">"integer"</definedName>
    <definedName name="solver_rhs1" localSheetId="19" hidden="1">"binary"</definedName>
    <definedName name="solver_rhs10" localSheetId="18" hidden="1">U16A_2!$I$13:$I$14</definedName>
    <definedName name="solver_rhs2" localSheetId="17" hidden="1">"AllDifferent"</definedName>
    <definedName name="solver_rhs2" localSheetId="18" hidden="1">0</definedName>
    <definedName name="solver_rhs2" localSheetId="19" hidden="1">U16A_3!$I$16:$I$19</definedName>
    <definedName name="solver_rhs3" localSheetId="17" hidden="1">"integer"</definedName>
    <definedName name="solver_rhs3" localSheetId="18" hidden="1">U16A_2!$B$16:$E$16</definedName>
    <definedName name="solver_rhs3" localSheetId="19" hidden="1">U16A_3!$I$16:$I$18</definedName>
    <definedName name="solver_rhs4" localSheetId="17" hidden="1">U16A_1!$H$11:$H$12</definedName>
    <definedName name="solver_rhs4" localSheetId="18" hidden="1">U16A_2!$I$13:$I$14</definedName>
    <definedName name="solver_rhs5" localSheetId="17" hidden="1">U16A_1!$H$7:$H$9</definedName>
    <definedName name="solver_rhs5" localSheetId="18" hidden="1">U16A_2!$I$13:$I$14</definedName>
    <definedName name="solver_rhs6" localSheetId="17" hidden="1">U16A_1!$H$7:$H$9</definedName>
    <definedName name="solver_rhs6" localSheetId="18" hidden="1">U16A_2!$I$13:$I$14</definedName>
    <definedName name="solver_rhs7" localSheetId="17" hidden="1">U16A_1!$H$7:$H$9</definedName>
    <definedName name="solver_rhs7" localSheetId="18" hidden="1">U16A_2!$I$13:$I$14</definedName>
    <definedName name="solver_rhs8" localSheetId="18" hidden="1">U16A_2!$I$13:$I$14</definedName>
    <definedName name="solver_rhs9" localSheetId="18" hidden="1">U16A_2!$I$13:$I$14</definedName>
    <definedName name="solver_rlx" localSheetId="17" hidden="1">2</definedName>
    <definedName name="solver_rlx" localSheetId="18" hidden="1">2</definedName>
    <definedName name="solver_rlx" localSheetId="19" hidden="1">2</definedName>
    <definedName name="solver_rsd" localSheetId="17" hidden="1">0</definedName>
    <definedName name="solver_rsd" localSheetId="18" hidden="1">0</definedName>
    <definedName name="solver_rsd" localSheetId="19" hidden="1">0</definedName>
    <definedName name="solver_scl" localSheetId="17" hidden="1">1</definedName>
    <definedName name="solver_scl" localSheetId="18" hidden="1">1</definedName>
    <definedName name="solver_scl" localSheetId="19" hidden="1">1</definedName>
    <definedName name="solver_sho" localSheetId="17" hidden="1">2</definedName>
    <definedName name="solver_sho" localSheetId="18" hidden="1">2</definedName>
    <definedName name="solver_sho" localSheetId="19" hidden="1">2</definedName>
    <definedName name="solver_ssz" localSheetId="17" hidden="1">100</definedName>
    <definedName name="solver_ssz" localSheetId="18" hidden="1">100</definedName>
    <definedName name="solver_ssz" localSheetId="19" hidden="1">100</definedName>
    <definedName name="solver_tim" localSheetId="17" hidden="1">2147483647</definedName>
    <definedName name="solver_tim" localSheetId="18" hidden="1">2147483647</definedName>
    <definedName name="solver_tim" localSheetId="19" hidden="1">2147483647</definedName>
    <definedName name="solver_tol" localSheetId="17" hidden="1">0.01</definedName>
    <definedName name="solver_tol" localSheetId="18" hidden="1">0.01</definedName>
    <definedName name="solver_tol" localSheetId="19" hidden="1">0.01</definedName>
    <definedName name="solver_typ" localSheetId="17" hidden="1">1</definedName>
    <definedName name="solver_typ" localSheetId="18" hidden="1">2</definedName>
    <definedName name="solver_typ" localSheetId="19" hidden="1">1</definedName>
    <definedName name="solver_val" localSheetId="17" hidden="1">0</definedName>
    <definedName name="solver_val" localSheetId="18" hidden="1">0</definedName>
    <definedName name="solver_val" localSheetId="19" hidden="1">0</definedName>
    <definedName name="solver_ver" localSheetId="17" hidden="1">3</definedName>
    <definedName name="solver_ver" localSheetId="18" hidden="1">3</definedName>
    <definedName name="solver_ver" localSheetId="19" hidden="1">3</definedName>
    <definedName name="ZODYNAS">[1]Zodynas!$A$2:$B$239</definedName>
  </definedNames>
  <calcPr calcId="191029"/>
  <pivotCaches>
    <pivotCache cacheId="4" r:id="rId33"/>
    <pivotCache cacheId="5" r:id="rId34"/>
    <pivotCache cacheId="6" r:id="rId35"/>
    <pivotCache cacheId="7" r:id="rId3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da424967-d9e0-4dfa-940f-27cdfec5f514" name="Table1" connection="Query - Table1"/>
          <x15:modelTable id="tableprekes_4472ce33-f179-41dd-afe7-91279bbf44a0" name="tableprekes" connection="Query - tableprekes"/>
          <x15:modelTable id="tablesalys_daeb6766-f1c8-45ac-9b07-9fde0c772223" name="tablesalys" connection="Query - tablesalys"/>
          <x15:modelTable id="tablegamintojai_70cd363f-faca-44b2-845c-7c6524c61930" name="tablegamintojai" connection="Query - tablegamintojai"/>
        </x15:modelTables>
        <x15:modelRelationships>
          <x15:modelRelationship fromTable="Table1" fromColumn="Prekes Kodas" toTable="tableprekes" toColumn="PrekKod"/>
          <x15:modelRelationship fromTable="Table1" fromColumn="Salies Kodas" toTable="tablesalys" toColumn="ŠalKod"/>
          <x15:modelRelationship fromTable="Table1" fromColumn="Gamintojo kodas" toTable="tablegamintojai" toColumn="GamintKo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22" i="2" l="1"/>
  <c r="I39" i="29"/>
  <c r="K44" i="9"/>
  <c r="O42" i="2"/>
  <c r="I17" i="36"/>
  <c r="I18" i="36"/>
  <c r="I19" i="36"/>
  <c r="I16" i="36"/>
  <c r="C17" i="36"/>
  <c r="D17" i="36"/>
  <c r="E17" i="36"/>
  <c r="F17" i="36"/>
  <c r="G17" i="36"/>
  <c r="C18" i="36"/>
  <c r="D18" i="36"/>
  <c r="E18" i="36"/>
  <c r="F18" i="36"/>
  <c r="G18" i="36"/>
  <c r="D16" i="36"/>
  <c r="E16" i="36"/>
  <c r="F16" i="36"/>
  <c r="G16" i="36"/>
  <c r="C16" i="36"/>
  <c r="C17" i="34"/>
  <c r="D17" i="34"/>
  <c r="E17" i="34"/>
  <c r="B17" i="34"/>
  <c r="G14" i="34"/>
  <c r="G13" i="34"/>
  <c r="C15" i="34"/>
  <c r="D15" i="34"/>
  <c r="E15" i="34"/>
  <c r="B15" i="34"/>
  <c r="L29" i="13"/>
  <c r="L30" i="13"/>
  <c r="L28" i="13"/>
  <c r="K30" i="13"/>
  <c r="K29" i="13"/>
  <c r="K28" i="13"/>
  <c r="M28" i="13" s="1"/>
  <c r="L26" i="12"/>
  <c r="E8" i="12"/>
  <c r="E9" i="12"/>
  <c r="E7" i="12"/>
  <c r="M82" i="29"/>
  <c r="O82" i="29" s="1"/>
  <c r="S82" i="29" s="1"/>
  <c r="N82" i="29"/>
  <c r="P82" i="29"/>
  <c r="Q82" i="29"/>
  <c r="R82" i="29"/>
  <c r="M83" i="29"/>
  <c r="N83" i="29"/>
  <c r="O83" i="29"/>
  <c r="P83" i="29"/>
  <c r="Q83" i="29"/>
  <c r="R83" i="29"/>
  <c r="S83" i="29"/>
  <c r="M84" i="29"/>
  <c r="O84" i="29" s="1"/>
  <c r="S84" i="29" s="1"/>
  <c r="N84" i="29"/>
  <c r="P84" i="29"/>
  <c r="Q84" i="29"/>
  <c r="R84" i="29"/>
  <c r="M85" i="29"/>
  <c r="O85" i="29" s="1"/>
  <c r="S85" i="29" s="1"/>
  <c r="N85" i="29"/>
  <c r="P85" i="29"/>
  <c r="Q85" i="29"/>
  <c r="R85" i="29"/>
  <c r="M86" i="29"/>
  <c r="N86" i="29"/>
  <c r="O86" i="29"/>
  <c r="P86" i="29"/>
  <c r="R86" i="29" s="1"/>
  <c r="Q86" i="29"/>
  <c r="M87" i="29"/>
  <c r="N87" i="29"/>
  <c r="O87" i="29"/>
  <c r="S87" i="29" s="1"/>
  <c r="P87" i="29"/>
  <c r="Q87" i="29"/>
  <c r="R87" i="29"/>
  <c r="M88" i="29"/>
  <c r="N88" i="29"/>
  <c r="O88" i="29"/>
  <c r="S88" i="29" s="1"/>
  <c r="P88" i="29"/>
  <c r="Q88" i="29"/>
  <c r="R88" i="29"/>
  <c r="M89" i="29"/>
  <c r="N89" i="29"/>
  <c r="O89" i="29"/>
  <c r="P89" i="29"/>
  <c r="R89" i="29" s="1"/>
  <c r="Q89" i="29"/>
  <c r="M90" i="29"/>
  <c r="N90" i="29"/>
  <c r="O90" i="29"/>
  <c r="P90" i="29"/>
  <c r="Q90" i="29"/>
  <c r="R90" i="29"/>
  <c r="S90" i="29"/>
  <c r="M91" i="29"/>
  <c r="O91" i="29" s="1"/>
  <c r="S91" i="29" s="1"/>
  <c r="N91" i="29"/>
  <c r="P91" i="29"/>
  <c r="Q91" i="29"/>
  <c r="R91" i="29"/>
  <c r="M92" i="29"/>
  <c r="N92" i="29"/>
  <c r="O92" i="29"/>
  <c r="P92" i="29"/>
  <c r="Q92" i="29"/>
  <c r="R92" i="29"/>
  <c r="S92" i="29"/>
  <c r="M93" i="29"/>
  <c r="N93" i="29"/>
  <c r="O93" i="29"/>
  <c r="P93" i="29"/>
  <c r="R93" i="29" s="1"/>
  <c r="Q93" i="29"/>
  <c r="M94" i="29"/>
  <c r="O94" i="29" s="1"/>
  <c r="S94" i="29" s="1"/>
  <c r="N94" i="29"/>
  <c r="P94" i="29"/>
  <c r="Q94" i="29"/>
  <c r="R94" i="29"/>
  <c r="M95" i="29"/>
  <c r="N95" i="29"/>
  <c r="O95" i="29"/>
  <c r="P95" i="29"/>
  <c r="R95" i="29" s="1"/>
  <c r="Q95" i="29"/>
  <c r="M96" i="29"/>
  <c r="N96" i="29"/>
  <c r="O96" i="29"/>
  <c r="S96" i="29" s="1"/>
  <c r="P96" i="29"/>
  <c r="R96" i="29" s="1"/>
  <c r="Q96" i="29"/>
  <c r="M97" i="29"/>
  <c r="N97" i="29"/>
  <c r="O97" i="29"/>
  <c r="P97" i="29"/>
  <c r="Q97" i="29"/>
  <c r="R97" i="29"/>
  <c r="S97" i="29"/>
  <c r="M98" i="29"/>
  <c r="O98" i="29" s="1"/>
  <c r="S98" i="29" s="1"/>
  <c r="N98" i="29"/>
  <c r="P98" i="29"/>
  <c r="Q98" i="29"/>
  <c r="R98" i="29"/>
  <c r="M99" i="29"/>
  <c r="N99" i="29"/>
  <c r="O99" i="29"/>
  <c r="P99" i="29"/>
  <c r="Q99" i="29"/>
  <c r="R99" i="29"/>
  <c r="S99" i="29"/>
  <c r="M100" i="29"/>
  <c r="O100" i="29" s="1"/>
  <c r="S100" i="29" s="1"/>
  <c r="N100" i="29"/>
  <c r="P100" i="29"/>
  <c r="Q100" i="29"/>
  <c r="R100" i="29"/>
  <c r="M101" i="29"/>
  <c r="O101" i="29" s="1"/>
  <c r="S101" i="29" s="1"/>
  <c r="N101" i="29"/>
  <c r="P101" i="29"/>
  <c r="Q101" i="29"/>
  <c r="R101" i="29"/>
  <c r="M102" i="29"/>
  <c r="N102" i="29"/>
  <c r="O102" i="29"/>
  <c r="P102" i="29"/>
  <c r="R102" i="29" s="1"/>
  <c r="Q102" i="29"/>
  <c r="M103" i="29"/>
  <c r="N103" i="29"/>
  <c r="O103" i="29"/>
  <c r="S103" i="29" s="1"/>
  <c r="P103" i="29"/>
  <c r="Q103" i="29"/>
  <c r="R103" i="29"/>
  <c r="M104" i="29"/>
  <c r="N104" i="29"/>
  <c r="O104" i="29"/>
  <c r="S104" i="29" s="1"/>
  <c r="P104" i="29"/>
  <c r="Q104" i="29"/>
  <c r="R104" i="29"/>
  <c r="M105" i="29"/>
  <c r="N105" i="29"/>
  <c r="O105" i="29"/>
  <c r="P105" i="29"/>
  <c r="R105" i="29" s="1"/>
  <c r="Q105" i="29"/>
  <c r="M106" i="29"/>
  <c r="N106" i="29"/>
  <c r="O106" i="29"/>
  <c r="P106" i="29"/>
  <c r="Q106" i="29"/>
  <c r="R106" i="29"/>
  <c r="S106" i="29"/>
  <c r="M107" i="29"/>
  <c r="O107" i="29" s="1"/>
  <c r="S107" i="29" s="1"/>
  <c r="N107" i="29"/>
  <c r="P107" i="29"/>
  <c r="Q107" i="29"/>
  <c r="R107" i="29"/>
  <c r="M108" i="29"/>
  <c r="N108" i="29"/>
  <c r="O108" i="29"/>
  <c r="P108" i="29"/>
  <c r="Q108" i="29"/>
  <c r="R108" i="29"/>
  <c r="S108" i="29"/>
  <c r="M109" i="29"/>
  <c r="N109" i="29"/>
  <c r="O109" i="29"/>
  <c r="P109" i="29"/>
  <c r="R109" i="29" s="1"/>
  <c r="Q109" i="29"/>
  <c r="M110" i="29"/>
  <c r="O110" i="29" s="1"/>
  <c r="S110" i="29" s="1"/>
  <c r="N110" i="29"/>
  <c r="P110" i="29"/>
  <c r="Q110" i="29"/>
  <c r="R110" i="29"/>
  <c r="M111" i="29"/>
  <c r="N111" i="29"/>
  <c r="O111" i="29"/>
  <c r="P111" i="29"/>
  <c r="R111" i="29" s="1"/>
  <c r="Q111" i="29"/>
  <c r="M112" i="29"/>
  <c r="N112" i="29"/>
  <c r="O112" i="29"/>
  <c r="P112" i="29"/>
  <c r="R112" i="29" s="1"/>
  <c r="Q112" i="29"/>
  <c r="M113" i="29"/>
  <c r="N113" i="29"/>
  <c r="O113" i="29"/>
  <c r="P113" i="29"/>
  <c r="Q113" i="29"/>
  <c r="R113" i="29"/>
  <c r="S113" i="29"/>
  <c r="M114" i="29"/>
  <c r="O114" i="29" s="1"/>
  <c r="S114" i="29" s="1"/>
  <c r="N114" i="29"/>
  <c r="P114" i="29"/>
  <c r="Q114" i="29"/>
  <c r="R114" i="29"/>
  <c r="M115" i="29"/>
  <c r="N115" i="29"/>
  <c r="O115" i="29"/>
  <c r="P115" i="29"/>
  <c r="Q115" i="29"/>
  <c r="R115" i="29"/>
  <c r="S115" i="29"/>
  <c r="M116" i="29"/>
  <c r="O116" i="29" s="1"/>
  <c r="S116" i="29" s="1"/>
  <c r="N116" i="29"/>
  <c r="P116" i="29"/>
  <c r="Q116" i="29"/>
  <c r="R116" i="29"/>
  <c r="M117" i="29"/>
  <c r="O117" i="29" s="1"/>
  <c r="S117" i="29" s="1"/>
  <c r="N117" i="29"/>
  <c r="P117" i="29"/>
  <c r="Q117" i="29"/>
  <c r="R117" i="29"/>
  <c r="M118" i="29"/>
  <c r="N118" i="29"/>
  <c r="O118" i="29"/>
  <c r="P118" i="29"/>
  <c r="R118" i="29" s="1"/>
  <c r="Q118" i="29"/>
  <c r="M119" i="29"/>
  <c r="N119" i="29"/>
  <c r="O119" i="29"/>
  <c r="S119" i="29" s="1"/>
  <c r="P119" i="29"/>
  <c r="Q119" i="29"/>
  <c r="R119" i="29"/>
  <c r="M120" i="29"/>
  <c r="N120" i="29"/>
  <c r="O120" i="29"/>
  <c r="S120" i="29" s="1"/>
  <c r="P120" i="29"/>
  <c r="Q120" i="29"/>
  <c r="R120" i="29"/>
  <c r="M121" i="29"/>
  <c r="N121" i="29"/>
  <c r="O121" i="29"/>
  <c r="P121" i="29"/>
  <c r="R121" i="29" s="1"/>
  <c r="Q121" i="29"/>
  <c r="M122" i="29"/>
  <c r="N122" i="29"/>
  <c r="O122" i="29"/>
  <c r="P122" i="29"/>
  <c r="Q122" i="29"/>
  <c r="R122" i="29"/>
  <c r="S122" i="29"/>
  <c r="M123" i="29"/>
  <c r="O123" i="29" s="1"/>
  <c r="S123" i="29" s="1"/>
  <c r="N123" i="29"/>
  <c r="P123" i="29"/>
  <c r="Q123" i="29"/>
  <c r="R123" i="29"/>
  <c r="M124" i="29"/>
  <c r="N124" i="29"/>
  <c r="O124" i="29"/>
  <c r="P124" i="29"/>
  <c r="Q124" i="29"/>
  <c r="R124" i="29"/>
  <c r="S124" i="29"/>
  <c r="M125" i="29"/>
  <c r="N125" i="29"/>
  <c r="O125" i="29"/>
  <c r="P125" i="29"/>
  <c r="R125" i="29" s="1"/>
  <c r="Q125" i="29"/>
  <c r="M126" i="29"/>
  <c r="O126" i="29" s="1"/>
  <c r="S126" i="29" s="1"/>
  <c r="N126" i="29"/>
  <c r="P126" i="29"/>
  <c r="Q126" i="29"/>
  <c r="R126" i="29"/>
  <c r="M127" i="29"/>
  <c r="N127" i="29"/>
  <c r="O127" i="29"/>
  <c r="S127" i="29" s="1"/>
  <c r="P127" i="29"/>
  <c r="R127" i="29" s="1"/>
  <c r="Q127" i="29"/>
  <c r="M128" i="29"/>
  <c r="N128" i="29"/>
  <c r="O128" i="29"/>
  <c r="P128" i="29"/>
  <c r="R128" i="29" s="1"/>
  <c r="Q128" i="29"/>
  <c r="Q81" i="29"/>
  <c r="R81" i="29" s="1"/>
  <c r="N81" i="29"/>
  <c r="O81" i="29" s="1"/>
  <c r="P81" i="29"/>
  <c r="M81" i="29"/>
  <c r="E50" i="29"/>
  <c r="E51" i="29"/>
  <c r="E52" i="29"/>
  <c r="E49" i="29"/>
  <c r="E30" i="29"/>
  <c r="H10" i="29"/>
  <c r="G10" i="29"/>
  <c r="H93" i="9"/>
  <c r="H92" i="9"/>
  <c r="H91" i="9"/>
  <c r="H90" i="9"/>
  <c r="G93" i="9"/>
  <c r="G92" i="9"/>
  <c r="G91" i="9"/>
  <c r="G90" i="9"/>
  <c r="I77" i="9"/>
  <c r="I78" i="9"/>
  <c r="I79" i="9"/>
  <c r="I80" i="9"/>
  <c r="G60" i="9"/>
  <c r="G61" i="9"/>
  <c r="G62" i="9"/>
  <c r="G63" i="9"/>
  <c r="G64" i="9"/>
  <c r="G65" i="9"/>
  <c r="G66" i="9"/>
  <c r="G67" i="9"/>
  <c r="G68" i="9"/>
  <c r="G69" i="9"/>
  <c r="G70" i="9"/>
  <c r="G59" i="9"/>
  <c r="K57" i="9"/>
  <c r="K53" i="9"/>
  <c r="K52" i="9"/>
  <c r="K45" i="9"/>
  <c r="K48" i="9"/>
  <c r="K47" i="9"/>
  <c r="K46" i="9"/>
  <c r="F33" i="9"/>
  <c r="C33" i="9"/>
  <c r="F31" i="9"/>
  <c r="F30" i="9"/>
  <c r="F29" i="9"/>
  <c r="C31" i="9"/>
  <c r="C30" i="9"/>
  <c r="C29" i="9"/>
  <c r="D11" i="9"/>
  <c r="D10" i="9"/>
  <c r="G7" i="29"/>
  <c r="H7" i="29"/>
  <c r="H28" i="10"/>
  <c r="H27" i="10"/>
  <c r="H26" i="10"/>
  <c r="H22" i="10"/>
  <c r="H21" i="10"/>
  <c r="H20" i="10"/>
  <c r="C13" i="10"/>
  <c r="D6" i="10"/>
  <c r="F28" i="30"/>
  <c r="E28" i="30"/>
  <c r="B16" i="9"/>
  <c r="B12" i="9"/>
  <c r="N7" i="6"/>
  <c r="O7" i="6"/>
  <c r="P7" i="6"/>
  <c r="Q7" i="6"/>
  <c r="N8" i="6"/>
  <c r="O8" i="6"/>
  <c r="P8" i="6"/>
  <c r="Q8" i="6"/>
  <c r="N9" i="6"/>
  <c r="O9" i="6"/>
  <c r="P9" i="6"/>
  <c r="Q9" i="6"/>
  <c r="N10" i="6"/>
  <c r="O10" i="6"/>
  <c r="P10" i="6"/>
  <c r="Q10" i="6"/>
  <c r="N11" i="6"/>
  <c r="O11" i="6"/>
  <c r="P11" i="6"/>
  <c r="Q11" i="6"/>
  <c r="N12" i="6"/>
  <c r="O12" i="6"/>
  <c r="P12" i="6"/>
  <c r="Q12" i="6"/>
  <c r="N13" i="6"/>
  <c r="O13" i="6"/>
  <c r="P13" i="6"/>
  <c r="Q13" i="6"/>
  <c r="N14" i="6"/>
  <c r="O14" i="6"/>
  <c r="P14" i="6"/>
  <c r="Q14" i="6"/>
  <c r="N15" i="6"/>
  <c r="O15" i="6"/>
  <c r="P15" i="6"/>
  <c r="Q15" i="6"/>
  <c r="N16" i="6"/>
  <c r="O16" i="6"/>
  <c r="P16" i="6"/>
  <c r="Q16" i="6"/>
  <c r="N17" i="6"/>
  <c r="O17" i="6"/>
  <c r="P17" i="6"/>
  <c r="Q17" i="6"/>
  <c r="N18" i="6"/>
  <c r="O18" i="6"/>
  <c r="P18" i="6"/>
  <c r="Q18" i="6"/>
  <c r="N19" i="6"/>
  <c r="O19" i="6"/>
  <c r="P19" i="6"/>
  <c r="Q19" i="6"/>
  <c r="N20" i="6"/>
  <c r="O20" i="6"/>
  <c r="P20" i="6"/>
  <c r="Q20" i="6"/>
  <c r="N21" i="6"/>
  <c r="O21" i="6"/>
  <c r="P21" i="6"/>
  <c r="Q21" i="6"/>
  <c r="N22" i="6"/>
  <c r="O22" i="6"/>
  <c r="P22" i="6"/>
  <c r="Q22" i="6"/>
  <c r="N23" i="6"/>
  <c r="O23" i="6"/>
  <c r="P23" i="6"/>
  <c r="Q23" i="6"/>
  <c r="N24" i="6"/>
  <c r="O24" i="6"/>
  <c r="P24" i="6"/>
  <c r="Q24" i="6"/>
  <c r="N25" i="6"/>
  <c r="O25" i="6"/>
  <c r="P25" i="6"/>
  <c r="Q25" i="6"/>
  <c r="N26" i="6"/>
  <c r="O26" i="6"/>
  <c r="P26" i="6"/>
  <c r="Q26" i="6"/>
  <c r="N27" i="6"/>
  <c r="O27" i="6"/>
  <c r="P27" i="6"/>
  <c r="Q27" i="6"/>
  <c r="N28" i="6"/>
  <c r="O28" i="6"/>
  <c r="P28" i="6"/>
  <c r="Q28" i="6"/>
  <c r="N29" i="6"/>
  <c r="O29" i="6"/>
  <c r="P29" i="6"/>
  <c r="Q29" i="6"/>
  <c r="N30" i="6"/>
  <c r="O30" i="6"/>
  <c r="P30" i="6"/>
  <c r="Q30" i="6"/>
  <c r="N31" i="6"/>
  <c r="O31" i="6"/>
  <c r="P31" i="6"/>
  <c r="Q31" i="6"/>
  <c r="N32" i="6"/>
  <c r="O32" i="6"/>
  <c r="P32" i="6"/>
  <c r="Q32" i="6"/>
  <c r="N33" i="6"/>
  <c r="O33" i="6"/>
  <c r="P33" i="6"/>
  <c r="Q33" i="6"/>
  <c r="N34" i="6"/>
  <c r="O34" i="6"/>
  <c r="P34" i="6"/>
  <c r="Q34" i="6"/>
  <c r="N35" i="6"/>
  <c r="O35" i="6"/>
  <c r="P35" i="6"/>
  <c r="Q35" i="6"/>
  <c r="N36" i="6"/>
  <c r="O36" i="6"/>
  <c r="P36" i="6"/>
  <c r="Q36" i="6"/>
  <c r="N37" i="6"/>
  <c r="O37" i="6"/>
  <c r="P37" i="6"/>
  <c r="Q37" i="6"/>
  <c r="N38" i="6"/>
  <c r="O38" i="6"/>
  <c r="P38" i="6"/>
  <c r="Q38" i="6"/>
  <c r="N39" i="6"/>
  <c r="O39" i="6"/>
  <c r="P39" i="6"/>
  <c r="Q39" i="6"/>
  <c r="N40" i="6"/>
  <c r="O40" i="6"/>
  <c r="P40" i="6"/>
  <c r="Q40" i="6"/>
  <c r="N41" i="6"/>
  <c r="O41" i="6"/>
  <c r="P41" i="6"/>
  <c r="Q41" i="6"/>
  <c r="N42" i="6"/>
  <c r="O42" i="6"/>
  <c r="P42" i="6"/>
  <c r="Q42" i="6"/>
  <c r="N43" i="6"/>
  <c r="O43" i="6"/>
  <c r="P43" i="6"/>
  <c r="Q43" i="6"/>
  <c r="N44" i="6"/>
  <c r="O44" i="6"/>
  <c r="P44" i="6"/>
  <c r="Q44" i="6"/>
  <c r="N45" i="6"/>
  <c r="O45" i="6"/>
  <c r="P45" i="6"/>
  <c r="Q45" i="6"/>
  <c r="N46" i="6"/>
  <c r="O46" i="6"/>
  <c r="P46" i="6"/>
  <c r="Q46" i="6"/>
  <c r="N47" i="6"/>
  <c r="O47" i="6"/>
  <c r="P47" i="6"/>
  <c r="Q47" i="6"/>
  <c r="N48" i="6"/>
  <c r="O48" i="6"/>
  <c r="P48" i="6"/>
  <c r="Q48" i="6"/>
  <c r="N49" i="6"/>
  <c r="O49" i="6"/>
  <c r="P49" i="6"/>
  <c r="Q49" i="6"/>
  <c r="N50" i="6"/>
  <c r="O50" i="6"/>
  <c r="P50" i="6"/>
  <c r="Q50" i="6"/>
  <c r="N51" i="6"/>
  <c r="O51" i="6"/>
  <c r="P51" i="6"/>
  <c r="Q51" i="6"/>
  <c r="N52" i="6"/>
  <c r="O52" i="6"/>
  <c r="P52" i="6"/>
  <c r="Q52" i="6"/>
  <c r="N53" i="6"/>
  <c r="O53" i="6"/>
  <c r="P53" i="6"/>
  <c r="Q53" i="6"/>
  <c r="N54" i="6"/>
  <c r="O54" i="6"/>
  <c r="P54" i="6"/>
  <c r="Q54" i="6"/>
  <c r="N55" i="6"/>
  <c r="O55" i="6"/>
  <c r="P55" i="6"/>
  <c r="Q55" i="6"/>
  <c r="N56" i="6"/>
  <c r="O56" i="6"/>
  <c r="P56" i="6"/>
  <c r="Q56" i="6"/>
  <c r="N57" i="6"/>
  <c r="O57" i="6"/>
  <c r="P57" i="6"/>
  <c r="Q57" i="6"/>
  <c r="N58" i="6"/>
  <c r="O58" i="6"/>
  <c r="P58" i="6"/>
  <c r="Q58" i="6"/>
  <c r="N59" i="6"/>
  <c r="O59" i="6"/>
  <c r="P59" i="6"/>
  <c r="Q59" i="6"/>
  <c r="N60" i="6"/>
  <c r="O60" i="6"/>
  <c r="P60" i="6"/>
  <c r="Q60" i="6"/>
  <c r="N61" i="6"/>
  <c r="O61" i="6"/>
  <c r="P61" i="6"/>
  <c r="Q61" i="6"/>
  <c r="N62" i="6"/>
  <c r="O62" i="6"/>
  <c r="P62" i="6"/>
  <c r="Q62" i="6"/>
  <c r="N63" i="6"/>
  <c r="O63" i="6"/>
  <c r="P63" i="6"/>
  <c r="Q63" i="6"/>
  <c r="N64" i="6"/>
  <c r="O64" i="6"/>
  <c r="P64" i="6"/>
  <c r="Q64" i="6"/>
  <c r="N65" i="6"/>
  <c r="O65" i="6"/>
  <c r="P65" i="6"/>
  <c r="Q65" i="6"/>
  <c r="N66" i="6"/>
  <c r="O66" i="6"/>
  <c r="P66" i="6"/>
  <c r="Q66" i="6"/>
  <c r="N67" i="6"/>
  <c r="O67" i="6"/>
  <c r="P67" i="6"/>
  <c r="Q67" i="6"/>
  <c r="N68" i="6"/>
  <c r="O68" i="6"/>
  <c r="P68" i="6"/>
  <c r="Q68" i="6"/>
  <c r="N69" i="6"/>
  <c r="O69" i="6"/>
  <c r="P69" i="6"/>
  <c r="Q69" i="6"/>
  <c r="N70" i="6"/>
  <c r="O70" i="6"/>
  <c r="P70" i="6"/>
  <c r="Q70" i="6"/>
  <c r="N71" i="6"/>
  <c r="O71" i="6"/>
  <c r="P71" i="6"/>
  <c r="Q71" i="6"/>
  <c r="N72" i="6"/>
  <c r="O72" i="6"/>
  <c r="P72" i="6"/>
  <c r="Q72" i="6"/>
  <c r="N73" i="6"/>
  <c r="O73" i="6"/>
  <c r="P73" i="6"/>
  <c r="Q73" i="6"/>
  <c r="N6" i="6"/>
  <c r="Q6" i="6" s="1"/>
  <c r="O6" i="6"/>
  <c r="P6" i="6"/>
  <c r="I6" i="6"/>
  <c r="J6" i="6"/>
  <c r="K6" i="6"/>
  <c r="L6" i="6"/>
  <c r="M6" i="6"/>
  <c r="I8" i="6"/>
  <c r="K8" i="6" s="1"/>
  <c r="L8" i="6" s="1"/>
  <c r="M8" i="6" s="1"/>
  <c r="J8" i="6"/>
  <c r="I9" i="6"/>
  <c r="J9" i="6"/>
  <c r="K9" i="6"/>
  <c r="L9" i="6"/>
  <c r="M9" i="6"/>
  <c r="I10" i="6"/>
  <c r="J10" i="6"/>
  <c r="K10" i="6"/>
  <c r="L10" i="6"/>
  <c r="M10" i="6"/>
  <c r="I11" i="6"/>
  <c r="K11" i="6" s="1"/>
  <c r="L11" i="6" s="1"/>
  <c r="M11" i="6" s="1"/>
  <c r="J11" i="6"/>
  <c r="I12" i="6"/>
  <c r="J12" i="6"/>
  <c r="K12" i="6"/>
  <c r="L12" i="6"/>
  <c r="M12" i="6"/>
  <c r="I13" i="6"/>
  <c r="J13" i="6"/>
  <c r="K13" i="6"/>
  <c r="L13" i="6"/>
  <c r="M13" i="6"/>
  <c r="I14" i="6"/>
  <c r="J14" i="6"/>
  <c r="K14" i="6"/>
  <c r="L14" i="6" s="1"/>
  <c r="M14" i="6" s="1"/>
  <c r="I15" i="6"/>
  <c r="J15" i="6"/>
  <c r="K15" i="6"/>
  <c r="L15" i="6"/>
  <c r="M15" i="6"/>
  <c r="I16" i="6"/>
  <c r="J16" i="6"/>
  <c r="K16" i="6"/>
  <c r="L16" i="6"/>
  <c r="M16" i="6"/>
  <c r="I17" i="6"/>
  <c r="J17" i="6"/>
  <c r="K17" i="6"/>
  <c r="L17" i="6"/>
  <c r="M17" i="6" s="1"/>
  <c r="I18" i="6"/>
  <c r="J18" i="6"/>
  <c r="K18" i="6"/>
  <c r="L18" i="6"/>
  <c r="M18" i="6"/>
  <c r="I19" i="6"/>
  <c r="J19" i="6"/>
  <c r="K19" i="6"/>
  <c r="L19" i="6"/>
  <c r="M19" i="6"/>
  <c r="I20" i="6"/>
  <c r="J20" i="6"/>
  <c r="K20" i="6"/>
  <c r="L20" i="6"/>
  <c r="M20" i="6"/>
  <c r="I21" i="6"/>
  <c r="J21" i="6"/>
  <c r="K21" i="6"/>
  <c r="L21" i="6"/>
  <c r="M21" i="6"/>
  <c r="I22" i="6"/>
  <c r="J22" i="6"/>
  <c r="K22" i="6"/>
  <c r="L22" i="6"/>
  <c r="M22" i="6"/>
  <c r="I23" i="6"/>
  <c r="J23" i="6"/>
  <c r="K23" i="6"/>
  <c r="L23" i="6"/>
  <c r="M23" i="6"/>
  <c r="I24" i="6"/>
  <c r="K24" i="6" s="1"/>
  <c r="L24" i="6" s="1"/>
  <c r="M24" i="6" s="1"/>
  <c r="J24" i="6"/>
  <c r="I25" i="6"/>
  <c r="J25" i="6"/>
  <c r="K25" i="6"/>
  <c r="L25" i="6"/>
  <c r="M25" i="6"/>
  <c r="I26" i="6"/>
  <c r="J26" i="6"/>
  <c r="K26" i="6"/>
  <c r="L26" i="6"/>
  <c r="M26" i="6"/>
  <c r="I27" i="6"/>
  <c r="K27" i="6" s="1"/>
  <c r="L27" i="6" s="1"/>
  <c r="M27" i="6" s="1"/>
  <c r="J27" i="6"/>
  <c r="I28" i="6"/>
  <c r="J28" i="6"/>
  <c r="K28" i="6"/>
  <c r="L28" i="6"/>
  <c r="M28" i="6"/>
  <c r="I29" i="6"/>
  <c r="J29" i="6"/>
  <c r="K29" i="6"/>
  <c r="L29" i="6"/>
  <c r="M29" i="6"/>
  <c r="I30" i="6"/>
  <c r="J30" i="6"/>
  <c r="K30" i="6"/>
  <c r="L30" i="6" s="1"/>
  <c r="M30" i="6" s="1"/>
  <c r="I31" i="6"/>
  <c r="J31" i="6"/>
  <c r="K31" i="6"/>
  <c r="L31" i="6"/>
  <c r="M31" i="6"/>
  <c r="I32" i="6"/>
  <c r="J32" i="6"/>
  <c r="K32" i="6"/>
  <c r="L32" i="6"/>
  <c r="M32" i="6"/>
  <c r="I33" i="6"/>
  <c r="J33" i="6"/>
  <c r="K33" i="6"/>
  <c r="L33" i="6"/>
  <c r="M33" i="6" s="1"/>
  <c r="I34" i="6"/>
  <c r="J34" i="6"/>
  <c r="K34" i="6"/>
  <c r="L34" i="6"/>
  <c r="M34" i="6"/>
  <c r="I35" i="6"/>
  <c r="J35" i="6"/>
  <c r="K35" i="6"/>
  <c r="L35" i="6"/>
  <c r="M35" i="6"/>
  <c r="I36" i="6"/>
  <c r="J36" i="6"/>
  <c r="K36" i="6"/>
  <c r="L36" i="6"/>
  <c r="M36" i="6"/>
  <c r="I37" i="6"/>
  <c r="J37" i="6"/>
  <c r="K37" i="6"/>
  <c r="L37" i="6"/>
  <c r="M37" i="6"/>
  <c r="I38" i="6"/>
  <c r="J38" i="6"/>
  <c r="K38" i="6"/>
  <c r="L38" i="6"/>
  <c r="M38" i="6"/>
  <c r="I39" i="6"/>
  <c r="J39" i="6"/>
  <c r="K39" i="6"/>
  <c r="L39" i="6"/>
  <c r="M39" i="6"/>
  <c r="I40" i="6"/>
  <c r="K40" i="6" s="1"/>
  <c r="L40" i="6" s="1"/>
  <c r="M40" i="6" s="1"/>
  <c r="J40" i="6"/>
  <c r="I41" i="6"/>
  <c r="J41" i="6"/>
  <c r="K41" i="6"/>
  <c r="L41" i="6"/>
  <c r="M41" i="6"/>
  <c r="I42" i="6"/>
  <c r="J42" i="6"/>
  <c r="K42" i="6"/>
  <c r="L42" i="6"/>
  <c r="M42" i="6"/>
  <c r="I43" i="6"/>
  <c r="K43" i="6" s="1"/>
  <c r="L43" i="6" s="1"/>
  <c r="M43" i="6" s="1"/>
  <c r="J43" i="6"/>
  <c r="I44" i="6"/>
  <c r="J44" i="6"/>
  <c r="K44" i="6"/>
  <c r="L44" i="6"/>
  <c r="M44" i="6"/>
  <c r="I45" i="6"/>
  <c r="J45" i="6"/>
  <c r="K45" i="6"/>
  <c r="L45" i="6"/>
  <c r="M45" i="6"/>
  <c r="I46" i="6"/>
  <c r="J46" i="6"/>
  <c r="K46" i="6"/>
  <c r="L46" i="6" s="1"/>
  <c r="M46" i="6" s="1"/>
  <c r="I47" i="6"/>
  <c r="J47" i="6"/>
  <c r="K47" i="6"/>
  <c r="L47" i="6"/>
  <c r="M47" i="6"/>
  <c r="I48" i="6"/>
  <c r="J48" i="6"/>
  <c r="K48" i="6"/>
  <c r="L48" i="6"/>
  <c r="M48" i="6"/>
  <c r="I49" i="6"/>
  <c r="J49" i="6"/>
  <c r="K49" i="6"/>
  <c r="L49" i="6"/>
  <c r="M49" i="6" s="1"/>
  <c r="I50" i="6"/>
  <c r="J50" i="6"/>
  <c r="K50" i="6"/>
  <c r="L50" i="6"/>
  <c r="M50" i="6"/>
  <c r="I51" i="6"/>
  <c r="J51" i="6"/>
  <c r="K51" i="6"/>
  <c r="L51" i="6"/>
  <c r="M51" i="6"/>
  <c r="I52" i="6"/>
  <c r="J52" i="6"/>
  <c r="K52" i="6"/>
  <c r="L52" i="6"/>
  <c r="M52" i="6"/>
  <c r="I53" i="6"/>
  <c r="J53" i="6"/>
  <c r="K53" i="6"/>
  <c r="L53" i="6"/>
  <c r="M53" i="6"/>
  <c r="I54" i="6"/>
  <c r="J54" i="6"/>
  <c r="K54" i="6"/>
  <c r="L54" i="6"/>
  <c r="M54" i="6"/>
  <c r="I55" i="6"/>
  <c r="J55" i="6"/>
  <c r="K55" i="6"/>
  <c r="L55" i="6"/>
  <c r="M55" i="6"/>
  <c r="I56" i="6"/>
  <c r="K56" i="6" s="1"/>
  <c r="L56" i="6" s="1"/>
  <c r="M56" i="6" s="1"/>
  <c r="J56" i="6"/>
  <c r="I57" i="6"/>
  <c r="J57" i="6"/>
  <c r="K57" i="6"/>
  <c r="L57" i="6"/>
  <c r="M57" i="6"/>
  <c r="I58" i="6"/>
  <c r="J58" i="6"/>
  <c r="K58" i="6"/>
  <c r="L58" i="6"/>
  <c r="M58" i="6"/>
  <c r="I59" i="6"/>
  <c r="K59" i="6" s="1"/>
  <c r="L59" i="6" s="1"/>
  <c r="M59" i="6" s="1"/>
  <c r="J59" i="6"/>
  <c r="I60" i="6"/>
  <c r="J60" i="6"/>
  <c r="K60" i="6"/>
  <c r="L60" i="6"/>
  <c r="M60" i="6"/>
  <c r="I61" i="6"/>
  <c r="J61" i="6"/>
  <c r="K61" i="6"/>
  <c r="L61" i="6"/>
  <c r="M61" i="6"/>
  <c r="I62" i="6"/>
  <c r="J62" i="6"/>
  <c r="K62" i="6"/>
  <c r="L62" i="6" s="1"/>
  <c r="M62" i="6" s="1"/>
  <c r="I63" i="6"/>
  <c r="J63" i="6"/>
  <c r="K63" i="6"/>
  <c r="L63" i="6"/>
  <c r="M63" i="6"/>
  <c r="I64" i="6"/>
  <c r="J64" i="6"/>
  <c r="K64" i="6"/>
  <c r="L64" i="6"/>
  <c r="M64" i="6"/>
  <c r="I65" i="6"/>
  <c r="J65" i="6"/>
  <c r="K65" i="6"/>
  <c r="L65" i="6"/>
  <c r="M65" i="6" s="1"/>
  <c r="I66" i="6"/>
  <c r="J66" i="6"/>
  <c r="K66" i="6"/>
  <c r="L66" i="6"/>
  <c r="M66" i="6"/>
  <c r="I67" i="6"/>
  <c r="J67" i="6"/>
  <c r="K67" i="6"/>
  <c r="L67" i="6"/>
  <c r="M67" i="6"/>
  <c r="I68" i="6"/>
  <c r="J68" i="6"/>
  <c r="K68" i="6"/>
  <c r="L68" i="6"/>
  <c r="M68" i="6"/>
  <c r="I69" i="6"/>
  <c r="J69" i="6"/>
  <c r="K69" i="6"/>
  <c r="L69" i="6"/>
  <c r="M69" i="6"/>
  <c r="I70" i="6"/>
  <c r="J70" i="6"/>
  <c r="K70" i="6"/>
  <c r="L70" i="6"/>
  <c r="M70" i="6"/>
  <c r="I71" i="6"/>
  <c r="J71" i="6"/>
  <c r="K71" i="6"/>
  <c r="L71" i="6"/>
  <c r="M71" i="6"/>
  <c r="I72" i="6"/>
  <c r="K72" i="6" s="1"/>
  <c r="L72" i="6" s="1"/>
  <c r="M72" i="6" s="1"/>
  <c r="J72" i="6"/>
  <c r="I73" i="6"/>
  <c r="J73" i="6"/>
  <c r="K73" i="6"/>
  <c r="L73" i="6"/>
  <c r="M73" i="6"/>
  <c r="M7" i="6"/>
  <c r="L7" i="6"/>
  <c r="K7" i="6"/>
  <c r="J7" i="6"/>
  <c r="I7" i="6"/>
  <c r="E75" i="4"/>
  <c r="E73" i="4"/>
  <c r="E70" i="4"/>
  <c r="E68" i="4"/>
  <c r="E76" i="4" s="1"/>
  <c r="E66" i="4"/>
  <c r="E64" i="4"/>
  <c r="E62" i="4"/>
  <c r="E60" i="4"/>
  <c r="E57" i="4"/>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50" i="3"/>
  <c r="G49" i="3"/>
  <c r="G48" i="3"/>
  <c r="G47" i="3"/>
  <c r="G46" i="3"/>
  <c r="D49" i="2"/>
  <c r="E49" i="2"/>
  <c r="F49" i="2"/>
  <c r="G49" i="2"/>
  <c r="H49" i="2"/>
  <c r="I49" i="2"/>
  <c r="J49" i="2"/>
  <c r="K49" i="2"/>
  <c r="L49" i="2"/>
  <c r="M49" i="2"/>
  <c r="D50" i="2"/>
  <c r="E50" i="2"/>
  <c r="F50" i="2"/>
  <c r="G50" i="2"/>
  <c r="H50" i="2"/>
  <c r="I50" i="2"/>
  <c r="J50" i="2"/>
  <c r="K50" i="2"/>
  <c r="L50" i="2"/>
  <c r="M50" i="2"/>
  <c r="D51" i="2"/>
  <c r="E51" i="2"/>
  <c r="F51" i="2"/>
  <c r="G51" i="2"/>
  <c r="H51" i="2"/>
  <c r="I51" i="2"/>
  <c r="J51" i="2"/>
  <c r="K51" i="2"/>
  <c r="L51" i="2"/>
  <c r="M51" i="2"/>
  <c r="D52" i="2"/>
  <c r="E52" i="2"/>
  <c r="F52" i="2"/>
  <c r="G52" i="2"/>
  <c r="H52" i="2"/>
  <c r="I52" i="2"/>
  <c r="J52" i="2"/>
  <c r="K52" i="2"/>
  <c r="L52" i="2"/>
  <c r="M52" i="2"/>
  <c r="D53" i="2"/>
  <c r="E53" i="2"/>
  <c r="F53" i="2"/>
  <c r="G53" i="2"/>
  <c r="H53" i="2"/>
  <c r="I53" i="2"/>
  <c r="J53" i="2"/>
  <c r="K53" i="2"/>
  <c r="L53" i="2"/>
  <c r="M53" i="2"/>
  <c r="D54" i="2"/>
  <c r="E54" i="2"/>
  <c r="F54" i="2"/>
  <c r="G54" i="2"/>
  <c r="H54" i="2"/>
  <c r="I54" i="2"/>
  <c r="J54" i="2"/>
  <c r="K54" i="2"/>
  <c r="L54" i="2"/>
  <c r="M54" i="2"/>
  <c r="D55" i="2"/>
  <c r="E55" i="2"/>
  <c r="F55" i="2"/>
  <c r="G55" i="2"/>
  <c r="H55" i="2"/>
  <c r="I55" i="2"/>
  <c r="J55" i="2"/>
  <c r="K55" i="2"/>
  <c r="L55" i="2"/>
  <c r="M55" i="2"/>
  <c r="D56" i="2"/>
  <c r="E56" i="2"/>
  <c r="F56" i="2"/>
  <c r="G56" i="2"/>
  <c r="H56" i="2"/>
  <c r="I56" i="2"/>
  <c r="J56" i="2"/>
  <c r="K56" i="2"/>
  <c r="L56" i="2"/>
  <c r="M56" i="2"/>
  <c r="D57" i="2"/>
  <c r="E57" i="2"/>
  <c r="F57" i="2"/>
  <c r="G57" i="2"/>
  <c r="H57" i="2"/>
  <c r="I57" i="2"/>
  <c r="J57" i="2"/>
  <c r="K57" i="2"/>
  <c r="L57" i="2"/>
  <c r="M57" i="2"/>
  <c r="E48" i="2"/>
  <c r="F48" i="2"/>
  <c r="G48" i="2"/>
  <c r="H48" i="2"/>
  <c r="I48" i="2"/>
  <c r="J48" i="2"/>
  <c r="K48" i="2"/>
  <c r="L48" i="2"/>
  <c r="M48" i="2"/>
  <c r="D48" i="2"/>
  <c r="O43" i="2"/>
  <c r="N43" i="2"/>
  <c r="M43" i="2"/>
  <c r="M35" i="2"/>
  <c r="N35" i="2"/>
  <c r="O35" i="2"/>
  <c r="M36" i="2"/>
  <c r="N36" i="2"/>
  <c r="O36" i="2"/>
  <c r="M37" i="2"/>
  <c r="N37" i="2"/>
  <c r="O37" i="2"/>
  <c r="M38" i="2"/>
  <c r="N38" i="2"/>
  <c r="O38" i="2"/>
  <c r="M39" i="2"/>
  <c r="N39" i="2"/>
  <c r="O39" i="2"/>
  <c r="M40" i="2"/>
  <c r="N40" i="2"/>
  <c r="O40" i="2"/>
  <c r="M41" i="2"/>
  <c r="N41" i="2"/>
  <c r="O41" i="2"/>
  <c r="M42" i="2"/>
  <c r="N42" i="2"/>
  <c r="N34" i="2"/>
  <c r="O34" i="2"/>
  <c r="M34" i="2"/>
  <c r="D43" i="2"/>
  <c r="L43" i="2"/>
  <c r="K43" i="2"/>
  <c r="J43" i="2"/>
  <c r="J35" i="2"/>
  <c r="K35" i="2"/>
  <c r="L35" i="2"/>
  <c r="J36" i="2"/>
  <c r="K36" i="2"/>
  <c r="L36" i="2"/>
  <c r="J37" i="2"/>
  <c r="K37" i="2"/>
  <c r="L37" i="2"/>
  <c r="J38" i="2"/>
  <c r="K38" i="2"/>
  <c r="L38" i="2"/>
  <c r="J39" i="2"/>
  <c r="K39" i="2"/>
  <c r="L39" i="2"/>
  <c r="J40" i="2"/>
  <c r="K40" i="2"/>
  <c r="L40" i="2"/>
  <c r="J41" i="2"/>
  <c r="K41" i="2"/>
  <c r="L41" i="2"/>
  <c r="J42" i="2"/>
  <c r="K42" i="2"/>
  <c r="L42" i="2"/>
  <c r="K34" i="2"/>
  <c r="L34" i="2"/>
  <c r="J34" i="2"/>
  <c r="I20" i="2"/>
  <c r="I12" i="2"/>
  <c r="I13" i="2"/>
  <c r="I14" i="2"/>
  <c r="I15" i="2"/>
  <c r="I16" i="2"/>
  <c r="I17" i="2"/>
  <c r="I18" i="2"/>
  <c r="I19" i="2"/>
  <c r="I11" i="2"/>
  <c r="H20" i="2"/>
  <c r="H12" i="2"/>
  <c r="H13" i="2"/>
  <c r="H14" i="2"/>
  <c r="H15" i="2"/>
  <c r="H16" i="2"/>
  <c r="H17" i="2"/>
  <c r="H18" i="2"/>
  <c r="H19" i="2"/>
  <c r="H11" i="2"/>
  <c r="M37" i="32"/>
  <c r="M38" i="32"/>
  <c r="M39" i="32"/>
  <c r="M40" i="32"/>
  <c r="M41" i="32"/>
  <c r="M42" i="32"/>
  <c r="M43" i="32"/>
  <c r="M44" i="32"/>
  <c r="M45" i="32"/>
  <c r="M46" i="32"/>
  <c r="M47" i="32"/>
  <c r="M48" i="32"/>
  <c r="M49" i="32"/>
  <c r="M50" i="32"/>
  <c r="M51" i="32"/>
  <c r="M36" i="32"/>
  <c r="L51" i="32"/>
  <c r="L48" i="32"/>
  <c r="L49" i="32"/>
  <c r="L50" i="32"/>
  <c r="L37" i="32"/>
  <c r="L38" i="32"/>
  <c r="L39" i="32"/>
  <c r="L40" i="32"/>
  <c r="L41" i="32"/>
  <c r="L42" i="32"/>
  <c r="L43" i="32"/>
  <c r="L44" i="32"/>
  <c r="L45" i="32"/>
  <c r="L46" i="32"/>
  <c r="L47" i="32"/>
  <c r="L36" i="32"/>
  <c r="F34" i="32"/>
  <c r="F35" i="32"/>
  <c r="F36" i="32"/>
  <c r="F37" i="32"/>
  <c r="F38" i="32"/>
  <c r="F39" i="32"/>
  <c r="F40" i="32"/>
  <c r="F41" i="32"/>
  <c r="F42" i="32"/>
  <c r="F43" i="32"/>
  <c r="F44" i="32"/>
  <c r="F45" i="32"/>
  <c r="F46" i="32"/>
  <c r="F47" i="32"/>
  <c r="F48" i="32"/>
  <c r="F33" i="32"/>
  <c r="I18" i="32"/>
  <c r="I10" i="32"/>
  <c r="I11" i="32"/>
  <c r="I12" i="32"/>
  <c r="I13" i="32"/>
  <c r="I14" i="32"/>
  <c r="I15" i="32"/>
  <c r="I16" i="32"/>
  <c r="I17" i="32"/>
  <c r="I19" i="32"/>
  <c r="I20" i="32"/>
  <c r="I21" i="32"/>
  <c r="I22" i="32"/>
  <c r="I23" i="32"/>
  <c r="I24" i="32"/>
  <c r="I25" i="32"/>
  <c r="I26" i="32"/>
  <c r="I27" i="32"/>
  <c r="I9" i="32"/>
  <c r="H21" i="32"/>
  <c r="H20" i="32"/>
  <c r="H22" i="32"/>
  <c r="H23" i="32"/>
  <c r="H24" i="32"/>
  <c r="H25" i="32"/>
  <c r="H19" i="32"/>
  <c r="H26" i="32"/>
  <c r="H27" i="32"/>
  <c r="H18" i="32"/>
  <c r="D18" i="32"/>
  <c r="H10" i="32"/>
  <c r="H11" i="32"/>
  <c r="H12" i="32"/>
  <c r="H13" i="32"/>
  <c r="H14" i="32"/>
  <c r="H15" i="32"/>
  <c r="H16" i="32"/>
  <c r="H17" i="32"/>
  <c r="H9" i="32"/>
  <c r="E26" i="32"/>
  <c r="E27" i="32" s="1"/>
  <c r="F26" i="32"/>
  <c r="F27" i="32" s="1"/>
  <c r="G26" i="32"/>
  <c r="G27" i="32" s="1"/>
  <c r="D26" i="32"/>
  <c r="D27" i="32" s="1"/>
  <c r="E18" i="32"/>
  <c r="F18" i="32"/>
  <c r="G18" i="32"/>
  <c r="L18" i="32"/>
  <c r="L17" i="32"/>
  <c r="L16" i="32"/>
  <c r="L15" i="32"/>
  <c r="L13" i="32"/>
  <c r="L14" i="32"/>
  <c r="L10" i="32"/>
  <c r="L11" i="32"/>
  <c r="L12" i="32"/>
  <c r="G21" i="33"/>
  <c r="G22" i="33"/>
  <c r="G23" i="33"/>
  <c r="G24" i="33"/>
  <c r="G25" i="33"/>
  <c r="G26" i="33"/>
  <c r="G27" i="33"/>
  <c r="G28" i="33"/>
  <c r="G29" i="33"/>
  <c r="G30" i="33"/>
  <c r="G13" i="33"/>
  <c r="G14" i="33"/>
  <c r="G15" i="33"/>
  <c r="G16" i="33"/>
  <c r="G17" i="33"/>
  <c r="G18" i="33"/>
  <c r="G19" i="33"/>
  <c r="G20" i="33"/>
  <c r="G12" i="33"/>
  <c r="D30" i="33"/>
  <c r="E30" i="33"/>
  <c r="F30" i="33"/>
  <c r="C30" i="33"/>
  <c r="F29" i="33"/>
  <c r="E29" i="33"/>
  <c r="D29" i="33"/>
  <c r="C29" i="33"/>
  <c r="F21" i="33"/>
  <c r="E21" i="33"/>
  <c r="D21" i="33"/>
  <c r="C21" i="33"/>
  <c r="I12" i="36"/>
  <c r="G12" i="35"/>
  <c r="G11" i="35"/>
  <c r="C11" i="35"/>
  <c r="G7" i="35"/>
  <c r="G5" i="30"/>
  <c r="G6" i="30"/>
  <c r="G28" i="30" s="1"/>
  <c r="G7" i="30"/>
  <c r="G8" i="30"/>
  <c r="G9" i="30"/>
  <c r="G10" i="30"/>
  <c r="G11" i="30"/>
  <c r="G12" i="30"/>
  <c r="G13" i="30"/>
  <c r="G14" i="30"/>
  <c r="G15" i="30"/>
  <c r="G16" i="30"/>
  <c r="G17" i="30"/>
  <c r="G18" i="30"/>
  <c r="G19" i="30"/>
  <c r="G20" i="30"/>
  <c r="G21" i="30"/>
  <c r="G22" i="30"/>
  <c r="G23" i="30"/>
  <c r="G24" i="30"/>
  <c r="G25" i="30"/>
  <c r="G26" i="30"/>
  <c r="G27" i="30"/>
  <c r="H16" i="36" l="1"/>
  <c r="H17" i="36"/>
  <c r="H18" i="36"/>
  <c r="C19" i="36"/>
  <c r="G19" i="36"/>
  <c r="F19" i="36"/>
  <c r="E19" i="36"/>
  <c r="D19" i="36"/>
  <c r="G17" i="34"/>
  <c r="M30" i="13"/>
  <c r="M29" i="13"/>
  <c r="S121" i="29"/>
  <c r="S109" i="29"/>
  <c r="S112" i="29"/>
  <c r="S89" i="29"/>
  <c r="S86" i="29"/>
  <c r="S125" i="29"/>
  <c r="S111" i="29"/>
  <c r="S128" i="29"/>
  <c r="S105" i="29"/>
  <c r="S102" i="29"/>
  <c r="S93" i="29"/>
  <c r="S118" i="29"/>
  <c r="S95" i="29"/>
  <c r="S81" i="29"/>
  <c r="H25" i="30"/>
  <c r="H24" i="30"/>
  <c r="H27" i="30"/>
  <c r="H19" i="30"/>
  <c r="H11" i="30"/>
  <c r="H16" i="30"/>
  <c r="H22" i="30"/>
  <c r="H10" i="30"/>
  <c r="H5" i="30"/>
  <c r="H21" i="30"/>
  <c r="H13" i="30"/>
  <c r="H26" i="30"/>
  <c r="H20" i="30"/>
  <c r="H15" i="30"/>
  <c r="H8" i="30"/>
  <c r="H14" i="30"/>
  <c r="H17" i="30"/>
  <c r="H9" i="30"/>
  <c r="H7" i="30"/>
  <c r="H23" i="30"/>
  <c r="H18" i="30"/>
  <c r="H12" i="30"/>
  <c r="H6" i="30"/>
  <c r="H19" i="36" l="1"/>
  <c r="M31" i="13"/>
  <c r="H28" i="30"/>
  <c r="F6" i="31" l="1"/>
  <c r="I108" i="8"/>
  <c r="G12" i="36" l="1"/>
  <c r="F12" i="36"/>
  <c r="E12" i="36"/>
  <c r="D12" i="36"/>
  <c r="C12" i="36"/>
  <c r="E11" i="35"/>
  <c r="D11" i="35"/>
  <c r="G9" i="35"/>
  <c r="G8" i="35"/>
  <c r="J26" i="12"/>
  <c r="L25" i="12"/>
  <c r="H20" i="12"/>
  <c r="H21" i="12" s="1"/>
  <c r="G20" i="12"/>
  <c r="G21" i="12" s="1"/>
  <c r="G22" i="12" s="1"/>
  <c r="F27" i="12" s="1"/>
  <c r="F20" i="12"/>
  <c r="F21" i="12" s="1"/>
  <c r="E20" i="12"/>
  <c r="E21" i="12" s="1"/>
  <c r="D20" i="12"/>
  <c r="D21" i="12" s="1"/>
  <c r="C20" i="12"/>
  <c r="C21" i="12" s="1"/>
  <c r="C22" i="12" s="1"/>
  <c r="D10" i="12"/>
  <c r="C10" i="12"/>
  <c r="I111" i="8"/>
  <c r="I110" i="8"/>
  <c r="I109" i="8"/>
  <c r="K109" i="8"/>
  <c r="K110" i="8"/>
  <c r="K111" i="8"/>
  <c r="K108" i="8"/>
  <c r="E26" i="12" l="1"/>
  <c r="F22" i="12"/>
  <c r="E27" i="12" s="1"/>
  <c r="E22" i="12"/>
  <c r="D27" i="12" s="1"/>
  <c r="D26" i="12"/>
  <c r="D22" i="12"/>
  <c r="C27" i="12" s="1"/>
  <c r="C26" i="12"/>
  <c r="H22" i="12"/>
  <c r="G27" i="12" s="1"/>
  <c r="G26" i="12"/>
  <c r="F26" i="12"/>
  <c r="M36" i="33" l="1"/>
  <c r="J45" i="33" s="1"/>
  <c r="M45" i="33" s="1"/>
  <c r="M37" i="33"/>
  <c r="J46" i="33" s="1"/>
  <c r="M46" i="33" s="1"/>
  <c r="M38" i="33"/>
  <c r="J47" i="33" s="1"/>
  <c r="J39" i="33"/>
  <c r="K39" i="33"/>
  <c r="L39" i="33"/>
  <c r="K48" i="33"/>
  <c r="L48" i="33"/>
  <c r="M47" i="33" l="1"/>
  <c r="J48" i="33"/>
  <c r="M48" i="33" s="1"/>
  <c r="M39" i="33"/>
  <c r="F20" i="2" l="1"/>
  <c r="G20" i="2"/>
  <c r="E20" i="2"/>
  <c r="X58" i="3"/>
  <c r="B39" i="9" l="1"/>
  <c r="E26" i="29" l="1"/>
  <c r="E27" i="29"/>
  <c r="E28" i="29"/>
  <c r="E25" i="29"/>
  <c r="D16" i="31" l="1"/>
  <c r="E8" i="31"/>
  <c r="D9" i="31" s="1"/>
  <c r="E9" i="31" s="1"/>
  <c r="D10" i="31" s="1"/>
  <c r="E10" i="31" s="1"/>
  <c r="D11" i="31" s="1"/>
  <c r="E11" i="31" s="1"/>
  <c r="D8" i="31"/>
  <c r="E7" i="31"/>
  <c r="G6" i="31"/>
  <c r="H6" i="31" s="1"/>
  <c r="I6" i="31" s="1"/>
  <c r="J6" i="31" s="1"/>
  <c r="K6" i="31" s="1"/>
  <c r="L6" i="31" s="1"/>
  <c r="M6" i="31" s="1"/>
  <c r="N6" i="31" s="1"/>
  <c r="O6" i="31" s="1"/>
  <c r="P6" i="31" s="1"/>
  <c r="Q6" i="31" s="1"/>
  <c r="R6" i="31" s="1"/>
  <c r="S6" i="31" s="1"/>
  <c r="T6" i="31" s="1"/>
  <c r="U6" i="31" s="1"/>
  <c r="V6" i="31" s="1"/>
  <c r="W6" i="31" s="1"/>
  <c r="X6" i="31" s="1"/>
  <c r="Y6" i="31" s="1"/>
  <c r="Z6" i="31" s="1"/>
  <c r="AA6" i="31" s="1"/>
  <c r="AB6" i="31" s="1"/>
  <c r="AC6" i="31" s="1"/>
  <c r="AD6" i="31" s="1"/>
  <c r="AE6" i="31" s="1"/>
  <c r="AF6" i="31" s="1"/>
  <c r="AG6" i="31" s="1"/>
  <c r="AH6" i="31" s="1"/>
  <c r="H128" i="29" l="1"/>
  <c r="G128" i="29"/>
  <c r="E128" i="29"/>
  <c r="D128" i="29"/>
  <c r="H127" i="29"/>
  <c r="G127" i="29"/>
  <c r="E127" i="29"/>
  <c r="D127" i="29"/>
  <c r="H126" i="29"/>
  <c r="G126" i="29"/>
  <c r="E126" i="29"/>
  <c r="D126" i="29"/>
  <c r="H125" i="29"/>
  <c r="G125" i="29"/>
  <c r="E125" i="29"/>
  <c r="D125" i="29"/>
  <c r="H124" i="29"/>
  <c r="G124" i="29"/>
  <c r="E124" i="29"/>
  <c r="D124" i="29"/>
  <c r="H123" i="29"/>
  <c r="G123" i="29"/>
  <c r="E123" i="29"/>
  <c r="D123" i="29"/>
  <c r="H122" i="29"/>
  <c r="G122" i="29"/>
  <c r="E122" i="29"/>
  <c r="D122" i="29"/>
  <c r="H121" i="29"/>
  <c r="G121" i="29"/>
  <c r="E121" i="29"/>
  <c r="D121" i="29"/>
  <c r="H120" i="29"/>
  <c r="G120" i="29"/>
  <c r="E120" i="29"/>
  <c r="D120" i="29"/>
  <c r="H119" i="29"/>
  <c r="G119" i="29"/>
  <c r="E119" i="29"/>
  <c r="D119" i="29"/>
  <c r="H118" i="29"/>
  <c r="G118" i="29"/>
  <c r="E118" i="29"/>
  <c r="D118" i="29"/>
  <c r="H117" i="29"/>
  <c r="G117" i="29"/>
  <c r="E117" i="29"/>
  <c r="D117" i="29"/>
  <c r="H116" i="29"/>
  <c r="G116" i="29"/>
  <c r="E116" i="29"/>
  <c r="D116" i="29"/>
  <c r="H115" i="29"/>
  <c r="G115" i="29"/>
  <c r="E115" i="29"/>
  <c r="D115" i="29"/>
  <c r="H114" i="29"/>
  <c r="G114" i="29"/>
  <c r="E114" i="29"/>
  <c r="D114" i="29"/>
  <c r="H113" i="29"/>
  <c r="G113" i="29"/>
  <c r="E113" i="29"/>
  <c r="D113" i="29"/>
  <c r="H112" i="29"/>
  <c r="G112" i="29"/>
  <c r="E112" i="29"/>
  <c r="D112" i="29"/>
  <c r="H111" i="29"/>
  <c r="G111" i="29"/>
  <c r="E111" i="29"/>
  <c r="D111" i="29"/>
  <c r="H110" i="29"/>
  <c r="G110" i="29"/>
  <c r="E110" i="29"/>
  <c r="D110" i="29"/>
  <c r="H109" i="29"/>
  <c r="G109" i="29"/>
  <c r="E109" i="29"/>
  <c r="D109" i="29"/>
  <c r="H108" i="29"/>
  <c r="G108" i="29"/>
  <c r="E108" i="29"/>
  <c r="D108" i="29"/>
  <c r="H107" i="29"/>
  <c r="G107" i="29"/>
  <c r="E107" i="29"/>
  <c r="D107" i="29"/>
  <c r="H106" i="29"/>
  <c r="G106" i="29"/>
  <c r="E106" i="29"/>
  <c r="D106" i="29"/>
  <c r="H105" i="29"/>
  <c r="G105" i="29"/>
  <c r="E105" i="29"/>
  <c r="D105" i="29"/>
  <c r="H104" i="29"/>
  <c r="G104" i="29"/>
  <c r="E104" i="29"/>
  <c r="D104" i="29"/>
  <c r="H103" i="29"/>
  <c r="G103" i="29"/>
  <c r="E103" i="29"/>
  <c r="D103" i="29"/>
  <c r="H102" i="29"/>
  <c r="G102" i="29"/>
  <c r="E102" i="29"/>
  <c r="D102" i="29"/>
  <c r="H101" i="29"/>
  <c r="G101" i="29"/>
  <c r="E101" i="29"/>
  <c r="D101" i="29"/>
  <c r="H100" i="29"/>
  <c r="G100" i="29"/>
  <c r="E100" i="29"/>
  <c r="D100" i="29"/>
  <c r="H99" i="29"/>
  <c r="G99" i="29"/>
  <c r="E99" i="29"/>
  <c r="D99" i="29"/>
  <c r="H98" i="29"/>
  <c r="G98" i="29"/>
  <c r="E98" i="29"/>
  <c r="D98" i="29"/>
  <c r="H97" i="29"/>
  <c r="G97" i="29"/>
  <c r="E97" i="29"/>
  <c r="D97" i="29"/>
  <c r="H96" i="29"/>
  <c r="G96" i="29"/>
  <c r="E96" i="29"/>
  <c r="D96" i="29"/>
  <c r="H95" i="29"/>
  <c r="G95" i="29"/>
  <c r="E95" i="29"/>
  <c r="D95" i="29"/>
  <c r="H94" i="29"/>
  <c r="G94" i="29"/>
  <c r="E94" i="29"/>
  <c r="D94" i="29"/>
  <c r="H93" i="29"/>
  <c r="G93" i="29"/>
  <c r="E93" i="29"/>
  <c r="D93" i="29"/>
  <c r="H92" i="29"/>
  <c r="G92" i="29"/>
  <c r="E92" i="29"/>
  <c r="D92" i="29"/>
  <c r="H91" i="29"/>
  <c r="G91" i="29"/>
  <c r="E91" i="29"/>
  <c r="D91" i="29"/>
  <c r="H90" i="29"/>
  <c r="G90" i="29"/>
  <c r="E90" i="29"/>
  <c r="D90" i="29"/>
  <c r="H89" i="29"/>
  <c r="G89" i="29"/>
  <c r="E89" i="29"/>
  <c r="D89" i="29"/>
  <c r="H88" i="29"/>
  <c r="G88" i="29"/>
  <c r="E88" i="29"/>
  <c r="D88" i="29"/>
  <c r="H87" i="29"/>
  <c r="G87" i="29"/>
  <c r="E87" i="29"/>
  <c r="D87" i="29"/>
  <c r="H86" i="29"/>
  <c r="G86" i="29"/>
  <c r="E86" i="29"/>
  <c r="D86" i="29"/>
  <c r="H85" i="29"/>
  <c r="G85" i="29"/>
  <c r="E85" i="29"/>
  <c r="D85" i="29"/>
  <c r="H84" i="29"/>
  <c r="G84" i="29"/>
  <c r="E84" i="29"/>
  <c r="D84" i="29"/>
  <c r="H83" i="29"/>
  <c r="G83" i="29"/>
  <c r="E83" i="29"/>
  <c r="D83" i="29"/>
  <c r="H82" i="29"/>
  <c r="G82" i="29"/>
  <c r="E82" i="29"/>
  <c r="D82" i="29"/>
  <c r="H81" i="29"/>
  <c r="G81" i="29"/>
  <c r="E81" i="29"/>
  <c r="D81" i="29"/>
  <c r="M64" i="29"/>
  <c r="E29" i="29"/>
  <c r="D29" i="29"/>
  <c r="E31" i="29" l="1"/>
  <c r="S129" i="29" l="1"/>
  <c r="C45" i="13"/>
  <c r="C45" i="2" l="1"/>
  <c r="C28" i="2"/>
  <c r="C24" i="2"/>
  <c r="C4" i="2"/>
  <c r="Y74" i="22" l="1"/>
  <c r="Y72" i="22"/>
  <c r="Y52" i="22"/>
  <c r="W16" i="22"/>
  <c r="V16" i="22"/>
  <c r="V15" i="22"/>
  <c r="W15" i="22" s="1"/>
  <c r="U14" i="22"/>
  <c r="V14" i="22" s="1"/>
  <c r="W14" i="22" s="1"/>
  <c r="V13" i="22"/>
  <c r="U13" i="22"/>
  <c r="W10" i="22"/>
  <c r="W9" i="22"/>
  <c r="W8" i="22"/>
  <c r="W7" i="22"/>
  <c r="W6" i="22"/>
  <c r="W5" i="22"/>
  <c r="W4" i="22"/>
  <c r="F11" i="18"/>
  <c r="F10" i="18"/>
  <c r="F9" i="18"/>
  <c r="F8" i="18"/>
  <c r="F7" i="18"/>
  <c r="F6" i="18"/>
  <c r="F5" i="18"/>
  <c r="F4" i="18"/>
  <c r="F3" i="18"/>
  <c r="F2" i="18"/>
  <c r="C18" i="13"/>
  <c r="D17" i="13"/>
  <c r="E17" i="13" s="1"/>
  <c r="D16" i="13"/>
  <c r="E16" i="13" s="1"/>
  <c r="D15" i="13"/>
  <c r="E15" i="13" s="1"/>
  <c r="D14" i="13"/>
  <c r="E14" i="13" s="1"/>
  <c r="D13" i="13"/>
  <c r="E13" i="13" s="1"/>
  <c r="D12" i="13"/>
  <c r="E12" i="13" s="1"/>
  <c r="D11" i="13"/>
  <c r="E11" i="13" s="1"/>
  <c r="D10" i="13"/>
  <c r="E10" i="13" s="1"/>
  <c r="E18" i="13" l="1"/>
  <c r="W13" i="22"/>
  <c r="F40" i="10"/>
  <c r="F39" i="10"/>
  <c r="F38" i="10"/>
  <c r="F37" i="10"/>
  <c r="F36" i="10"/>
  <c r="F35" i="10"/>
  <c r="F34" i="10"/>
  <c r="F33" i="10"/>
  <c r="F32" i="10"/>
  <c r="F31" i="10"/>
  <c r="F30" i="10"/>
  <c r="F29" i="10"/>
  <c r="F28" i="10"/>
  <c r="F27" i="10"/>
  <c r="F26" i="10"/>
  <c r="F25" i="10"/>
  <c r="F24" i="10"/>
  <c r="F23" i="10"/>
  <c r="F22" i="10"/>
  <c r="F21" i="10"/>
  <c r="F20" i="10"/>
  <c r="F19" i="10"/>
  <c r="F18" i="10"/>
  <c r="C20" i="9"/>
  <c r="D20" i="9" s="1"/>
  <c r="D17" i="9"/>
  <c r="F14" i="8"/>
  <c r="E14" i="8"/>
  <c r="D14" i="8"/>
  <c r="C14" i="8"/>
  <c r="AH16" i="7"/>
  <c r="AG16" i="7"/>
  <c r="AF16" i="7"/>
  <c r="AD16" i="7"/>
  <c r="AC16" i="7"/>
  <c r="AB16" i="7"/>
  <c r="Z16" i="7"/>
  <c r="Y16" i="7"/>
  <c r="X16" i="7"/>
  <c r="V16" i="7"/>
  <c r="U16" i="7"/>
  <c r="T16" i="7"/>
  <c r="Q16" i="7"/>
  <c r="P16" i="7"/>
  <c r="O16" i="7"/>
  <c r="M16" i="7"/>
  <c r="L16" i="7"/>
  <c r="K16" i="7"/>
  <c r="I16" i="7"/>
  <c r="H16" i="7"/>
  <c r="G16" i="7"/>
  <c r="E16" i="7"/>
  <c r="D16" i="7"/>
  <c r="C16" i="7"/>
  <c r="AI15" i="7"/>
  <c r="AE15" i="7"/>
  <c r="AA15" i="7"/>
  <c r="W15" i="7"/>
  <c r="R15" i="7"/>
  <c r="N15" i="7"/>
  <c r="J15" i="7"/>
  <c r="F15" i="7"/>
  <c r="AI14" i="7"/>
  <c r="AE14" i="7"/>
  <c r="AA14" i="7"/>
  <c r="W14" i="7"/>
  <c r="R14" i="7"/>
  <c r="N14" i="7"/>
  <c r="J14" i="7"/>
  <c r="F14" i="7"/>
  <c r="AI13" i="7"/>
  <c r="AE13" i="7"/>
  <c r="AA13" i="7"/>
  <c r="W13" i="7"/>
  <c r="R13" i="7"/>
  <c r="N13" i="7"/>
  <c r="J13" i="7"/>
  <c r="F13" i="7"/>
  <c r="AI12" i="7"/>
  <c r="AE12" i="7"/>
  <c r="AA12" i="7"/>
  <c r="W12" i="7"/>
  <c r="R12" i="7"/>
  <c r="N12" i="7"/>
  <c r="J12" i="7"/>
  <c r="F12" i="7"/>
  <c r="AI11" i="7"/>
  <c r="AE11" i="7"/>
  <c r="AE16" i="7" s="1"/>
  <c r="AA11" i="7"/>
  <c r="AA16" i="7" s="1"/>
  <c r="W11" i="7"/>
  <c r="W16" i="7" s="1"/>
  <c r="R11" i="7"/>
  <c r="N11" i="7"/>
  <c r="N16" i="7" s="1"/>
  <c r="J11" i="7"/>
  <c r="J16" i="7" s="1"/>
  <c r="F11" i="7"/>
  <c r="AH8" i="7"/>
  <c r="AG8" i="7"/>
  <c r="AG9" i="7" s="1"/>
  <c r="AF8" i="7"/>
  <c r="AF9" i="7" s="1"/>
  <c r="AF10" i="7" s="1"/>
  <c r="AD8" i="7"/>
  <c r="AC8" i="7"/>
  <c r="AC9" i="7" s="1"/>
  <c r="AB8" i="7"/>
  <c r="AB9" i="7" s="1"/>
  <c r="Z8" i="7"/>
  <c r="Y8" i="7"/>
  <c r="X8" i="7"/>
  <c r="V8" i="7"/>
  <c r="U8" i="7"/>
  <c r="U9" i="7" s="1"/>
  <c r="T8" i="7"/>
  <c r="T9" i="7" s="1"/>
  <c r="Q8" i="7"/>
  <c r="Q9" i="7" s="1"/>
  <c r="P8" i="7"/>
  <c r="O8" i="7"/>
  <c r="O9" i="7" s="1"/>
  <c r="M8" i="7"/>
  <c r="M9" i="7" s="1"/>
  <c r="L8" i="7"/>
  <c r="L9" i="7" s="1"/>
  <c r="K8" i="7"/>
  <c r="K9" i="7" s="1"/>
  <c r="I8" i="7"/>
  <c r="H8" i="7"/>
  <c r="G8" i="7"/>
  <c r="G9" i="7" s="1"/>
  <c r="E8" i="7"/>
  <c r="D8" i="7"/>
  <c r="D9" i="7" s="1"/>
  <c r="C8" i="7"/>
  <c r="C9" i="7" s="1"/>
  <c r="AI7" i="7"/>
  <c r="AE7" i="7"/>
  <c r="AA7" i="7"/>
  <c r="W7" i="7"/>
  <c r="R7" i="7"/>
  <c r="N7" i="7"/>
  <c r="J7" i="7"/>
  <c r="F7" i="7"/>
  <c r="AI6" i="7"/>
  <c r="AE6" i="7"/>
  <c r="AA6" i="7"/>
  <c r="W6" i="7"/>
  <c r="R6" i="7"/>
  <c r="N6" i="7"/>
  <c r="J6" i="7"/>
  <c r="F6" i="7"/>
  <c r="AI5" i="7"/>
  <c r="AE5" i="7"/>
  <c r="AA5" i="7"/>
  <c r="W5" i="7"/>
  <c r="R5" i="7"/>
  <c r="N5" i="7"/>
  <c r="J5" i="7"/>
  <c r="F5" i="7"/>
  <c r="AI4" i="7"/>
  <c r="AE4" i="7"/>
  <c r="AA4" i="7"/>
  <c r="W4" i="7"/>
  <c r="R4" i="7"/>
  <c r="N4" i="7"/>
  <c r="J4" i="7"/>
  <c r="F4" i="7"/>
  <c r="D88" i="6"/>
  <c r="G76" i="6"/>
  <c r="F76" i="6"/>
  <c r="I702" i="5"/>
  <c r="H702" i="5"/>
  <c r="I701" i="5"/>
  <c r="H701" i="5"/>
  <c r="I700" i="5"/>
  <c r="H700" i="5"/>
  <c r="I699" i="5"/>
  <c r="H699" i="5"/>
  <c r="I698" i="5"/>
  <c r="H698" i="5"/>
  <c r="I697" i="5"/>
  <c r="H697" i="5"/>
  <c r="I696" i="5"/>
  <c r="H696" i="5"/>
  <c r="I695" i="5"/>
  <c r="H695" i="5"/>
  <c r="I694" i="5"/>
  <c r="H694" i="5"/>
  <c r="I693" i="5"/>
  <c r="H693" i="5"/>
  <c r="I692" i="5"/>
  <c r="H692" i="5"/>
  <c r="I691" i="5"/>
  <c r="H691" i="5"/>
  <c r="I690" i="5"/>
  <c r="H690" i="5"/>
  <c r="I689" i="5"/>
  <c r="H689" i="5"/>
  <c r="I688" i="5"/>
  <c r="H688" i="5"/>
  <c r="I687" i="5"/>
  <c r="H687" i="5"/>
  <c r="I686" i="5"/>
  <c r="H686" i="5"/>
  <c r="I685" i="5"/>
  <c r="H685" i="5"/>
  <c r="I684" i="5"/>
  <c r="H684" i="5"/>
  <c r="I683" i="5"/>
  <c r="H683" i="5"/>
  <c r="I682" i="5"/>
  <c r="H682" i="5"/>
  <c r="I681" i="5"/>
  <c r="H681" i="5"/>
  <c r="I680" i="5"/>
  <c r="H680" i="5"/>
  <c r="I679" i="5"/>
  <c r="H679" i="5"/>
  <c r="I678" i="5"/>
  <c r="H678" i="5"/>
  <c r="I677" i="5"/>
  <c r="H677" i="5"/>
  <c r="I676" i="5"/>
  <c r="H676" i="5"/>
  <c r="I675" i="5"/>
  <c r="H675" i="5"/>
  <c r="I674" i="5"/>
  <c r="H674" i="5"/>
  <c r="I673" i="5"/>
  <c r="H673" i="5"/>
  <c r="I672" i="5"/>
  <c r="H672" i="5"/>
  <c r="I671" i="5"/>
  <c r="H671" i="5"/>
  <c r="I670" i="5"/>
  <c r="H670" i="5"/>
  <c r="I669" i="5"/>
  <c r="H669" i="5"/>
  <c r="I668" i="5"/>
  <c r="H668" i="5"/>
  <c r="I667" i="5"/>
  <c r="H667" i="5"/>
  <c r="I666" i="5"/>
  <c r="H666" i="5"/>
  <c r="I665" i="5"/>
  <c r="H665" i="5"/>
  <c r="I664" i="5"/>
  <c r="H664" i="5"/>
  <c r="I663" i="5"/>
  <c r="H663" i="5"/>
  <c r="I662" i="5"/>
  <c r="H662" i="5"/>
  <c r="I661" i="5"/>
  <c r="H661" i="5"/>
  <c r="I660" i="5"/>
  <c r="H660" i="5"/>
  <c r="I659" i="5"/>
  <c r="H659" i="5"/>
  <c r="I658" i="5"/>
  <c r="H658" i="5"/>
  <c r="I657" i="5"/>
  <c r="H657" i="5"/>
  <c r="I656" i="5"/>
  <c r="H656" i="5"/>
  <c r="I655" i="5"/>
  <c r="H655" i="5"/>
  <c r="I654" i="5"/>
  <c r="H654" i="5"/>
  <c r="I653" i="5"/>
  <c r="H653" i="5"/>
  <c r="I652" i="5"/>
  <c r="H652" i="5"/>
  <c r="I651" i="5"/>
  <c r="H651" i="5"/>
  <c r="I650" i="5"/>
  <c r="H650" i="5"/>
  <c r="I649" i="5"/>
  <c r="H649" i="5"/>
  <c r="I648" i="5"/>
  <c r="H648" i="5"/>
  <c r="I647" i="5"/>
  <c r="H647" i="5"/>
  <c r="I646" i="5"/>
  <c r="H646" i="5"/>
  <c r="I645" i="5"/>
  <c r="H645" i="5"/>
  <c r="I644" i="5"/>
  <c r="H644" i="5"/>
  <c r="I643" i="5"/>
  <c r="H643" i="5"/>
  <c r="I642" i="5"/>
  <c r="H642" i="5"/>
  <c r="I641" i="5"/>
  <c r="H641" i="5"/>
  <c r="I640" i="5"/>
  <c r="H640" i="5"/>
  <c r="I639" i="5"/>
  <c r="H639" i="5"/>
  <c r="I638" i="5"/>
  <c r="H638" i="5"/>
  <c r="I637" i="5"/>
  <c r="H637" i="5"/>
  <c r="I636" i="5"/>
  <c r="H636" i="5"/>
  <c r="I635" i="5"/>
  <c r="H635" i="5"/>
  <c r="I634" i="5"/>
  <c r="H634" i="5"/>
  <c r="I633" i="5"/>
  <c r="H633" i="5"/>
  <c r="I632" i="5"/>
  <c r="H632" i="5"/>
  <c r="I631" i="5"/>
  <c r="H631" i="5"/>
  <c r="I630" i="5"/>
  <c r="H630" i="5"/>
  <c r="I629" i="5"/>
  <c r="H629" i="5"/>
  <c r="I628" i="5"/>
  <c r="H628" i="5"/>
  <c r="I627" i="5"/>
  <c r="H627" i="5"/>
  <c r="I626" i="5"/>
  <c r="H626" i="5"/>
  <c r="I625" i="5"/>
  <c r="H625" i="5"/>
  <c r="I624" i="5"/>
  <c r="H624" i="5"/>
  <c r="I623" i="5"/>
  <c r="H623" i="5"/>
  <c r="I622" i="5"/>
  <c r="H622" i="5"/>
  <c r="I621" i="5"/>
  <c r="H621" i="5"/>
  <c r="I620" i="5"/>
  <c r="H620" i="5"/>
  <c r="I619" i="5"/>
  <c r="H619" i="5"/>
  <c r="I618" i="5"/>
  <c r="H618" i="5"/>
  <c r="I617" i="5"/>
  <c r="H617" i="5"/>
  <c r="I616" i="5"/>
  <c r="H616" i="5"/>
  <c r="I615" i="5"/>
  <c r="H615" i="5"/>
  <c r="I614" i="5"/>
  <c r="H614" i="5"/>
  <c r="I613" i="5"/>
  <c r="H613" i="5"/>
  <c r="I612" i="5"/>
  <c r="H612" i="5"/>
  <c r="I611" i="5"/>
  <c r="H611" i="5"/>
  <c r="I610" i="5"/>
  <c r="H610" i="5"/>
  <c r="I609" i="5"/>
  <c r="H609" i="5"/>
  <c r="I608" i="5"/>
  <c r="H608" i="5"/>
  <c r="I607" i="5"/>
  <c r="H607" i="5"/>
  <c r="I606" i="5"/>
  <c r="H606" i="5"/>
  <c r="I605" i="5"/>
  <c r="H605" i="5"/>
  <c r="I604" i="5"/>
  <c r="H604" i="5"/>
  <c r="I603" i="5"/>
  <c r="H603" i="5"/>
  <c r="I602" i="5"/>
  <c r="H602" i="5"/>
  <c r="I601" i="5"/>
  <c r="H601" i="5"/>
  <c r="I600" i="5"/>
  <c r="H600" i="5"/>
  <c r="I599" i="5"/>
  <c r="H599" i="5"/>
  <c r="I598" i="5"/>
  <c r="H598" i="5"/>
  <c r="I597" i="5"/>
  <c r="H597" i="5"/>
  <c r="I596" i="5"/>
  <c r="H596" i="5"/>
  <c r="I595" i="5"/>
  <c r="H595" i="5"/>
  <c r="I594" i="5"/>
  <c r="H594" i="5"/>
  <c r="I593" i="5"/>
  <c r="H593" i="5"/>
  <c r="I592" i="5"/>
  <c r="H592" i="5"/>
  <c r="I591" i="5"/>
  <c r="H591" i="5"/>
  <c r="I590" i="5"/>
  <c r="H590" i="5"/>
  <c r="I589" i="5"/>
  <c r="H589" i="5"/>
  <c r="I588" i="5"/>
  <c r="H588" i="5"/>
  <c r="I587" i="5"/>
  <c r="H587" i="5"/>
  <c r="I586" i="5"/>
  <c r="H586" i="5"/>
  <c r="I585" i="5"/>
  <c r="H585" i="5"/>
  <c r="I584" i="5"/>
  <c r="H584" i="5"/>
  <c r="I583" i="5"/>
  <c r="H583" i="5"/>
  <c r="I582" i="5"/>
  <c r="H582" i="5"/>
  <c r="I581" i="5"/>
  <c r="H581" i="5"/>
  <c r="I580" i="5"/>
  <c r="H580" i="5"/>
  <c r="I579" i="5"/>
  <c r="H579" i="5"/>
  <c r="I578" i="5"/>
  <c r="H578" i="5"/>
  <c r="I577" i="5"/>
  <c r="H577" i="5"/>
  <c r="I576" i="5"/>
  <c r="H576" i="5"/>
  <c r="I575" i="5"/>
  <c r="H575" i="5"/>
  <c r="I574" i="5"/>
  <c r="H574" i="5"/>
  <c r="I573" i="5"/>
  <c r="H573" i="5"/>
  <c r="I572" i="5"/>
  <c r="H572" i="5"/>
  <c r="I571" i="5"/>
  <c r="H571" i="5"/>
  <c r="I570" i="5"/>
  <c r="H570" i="5"/>
  <c r="I569" i="5"/>
  <c r="H569" i="5"/>
  <c r="I568" i="5"/>
  <c r="H568" i="5"/>
  <c r="I567" i="5"/>
  <c r="H567" i="5"/>
  <c r="I566" i="5"/>
  <c r="H566" i="5"/>
  <c r="I565" i="5"/>
  <c r="H565" i="5"/>
  <c r="I564" i="5"/>
  <c r="H564" i="5"/>
  <c r="I563" i="5"/>
  <c r="H563" i="5"/>
  <c r="I562" i="5"/>
  <c r="H562" i="5"/>
  <c r="I561" i="5"/>
  <c r="H561" i="5"/>
  <c r="I560" i="5"/>
  <c r="H560" i="5"/>
  <c r="I559" i="5"/>
  <c r="H559" i="5"/>
  <c r="I558" i="5"/>
  <c r="H558" i="5"/>
  <c r="I557" i="5"/>
  <c r="H557" i="5"/>
  <c r="I556" i="5"/>
  <c r="H556" i="5"/>
  <c r="I555" i="5"/>
  <c r="H555" i="5"/>
  <c r="I554" i="5"/>
  <c r="H554" i="5"/>
  <c r="I553" i="5"/>
  <c r="H553" i="5"/>
  <c r="I552" i="5"/>
  <c r="H552" i="5"/>
  <c r="I551" i="5"/>
  <c r="H551" i="5"/>
  <c r="I550" i="5"/>
  <c r="H550" i="5"/>
  <c r="I549" i="5"/>
  <c r="H549" i="5"/>
  <c r="I548" i="5"/>
  <c r="H548" i="5"/>
  <c r="I547" i="5"/>
  <c r="H547" i="5"/>
  <c r="I546" i="5"/>
  <c r="H546" i="5"/>
  <c r="I545" i="5"/>
  <c r="H545" i="5"/>
  <c r="I544" i="5"/>
  <c r="H544" i="5"/>
  <c r="I543" i="5"/>
  <c r="H543" i="5"/>
  <c r="I542" i="5"/>
  <c r="H542" i="5"/>
  <c r="I541" i="5"/>
  <c r="H541" i="5"/>
  <c r="I540" i="5"/>
  <c r="H540" i="5"/>
  <c r="I539" i="5"/>
  <c r="H539" i="5"/>
  <c r="I538" i="5"/>
  <c r="H538" i="5"/>
  <c r="I537" i="5"/>
  <c r="H537" i="5"/>
  <c r="I536" i="5"/>
  <c r="H536" i="5"/>
  <c r="I535" i="5"/>
  <c r="H535" i="5"/>
  <c r="I534" i="5"/>
  <c r="H534" i="5"/>
  <c r="I533" i="5"/>
  <c r="H533" i="5"/>
  <c r="I532" i="5"/>
  <c r="H532" i="5"/>
  <c r="I531" i="5"/>
  <c r="H531" i="5"/>
  <c r="I530" i="5"/>
  <c r="H530" i="5"/>
  <c r="I529" i="5"/>
  <c r="H529" i="5"/>
  <c r="I528" i="5"/>
  <c r="H528" i="5"/>
  <c r="I527" i="5"/>
  <c r="H527" i="5"/>
  <c r="I526" i="5"/>
  <c r="H526" i="5"/>
  <c r="I525" i="5"/>
  <c r="H525" i="5"/>
  <c r="I524" i="5"/>
  <c r="H524" i="5"/>
  <c r="I523" i="5"/>
  <c r="H523" i="5"/>
  <c r="I522" i="5"/>
  <c r="H522" i="5"/>
  <c r="I521" i="5"/>
  <c r="H521" i="5"/>
  <c r="I520" i="5"/>
  <c r="H520" i="5"/>
  <c r="I519" i="5"/>
  <c r="H519" i="5"/>
  <c r="I518" i="5"/>
  <c r="H518" i="5"/>
  <c r="I517" i="5"/>
  <c r="H517" i="5"/>
  <c r="I516" i="5"/>
  <c r="H516" i="5"/>
  <c r="I515" i="5"/>
  <c r="H515" i="5"/>
  <c r="I514" i="5"/>
  <c r="H514" i="5"/>
  <c r="I513" i="5"/>
  <c r="H513" i="5"/>
  <c r="I512" i="5"/>
  <c r="H512" i="5"/>
  <c r="I511" i="5"/>
  <c r="H511" i="5"/>
  <c r="I510" i="5"/>
  <c r="H510" i="5"/>
  <c r="I509" i="5"/>
  <c r="H509" i="5"/>
  <c r="I508" i="5"/>
  <c r="H508" i="5"/>
  <c r="I507" i="5"/>
  <c r="H507" i="5"/>
  <c r="I506" i="5"/>
  <c r="H506" i="5"/>
  <c r="I505" i="5"/>
  <c r="H505" i="5"/>
  <c r="I504" i="5"/>
  <c r="H504" i="5"/>
  <c r="I503" i="5"/>
  <c r="H503" i="5"/>
  <c r="I502" i="5"/>
  <c r="H502" i="5"/>
  <c r="I501" i="5"/>
  <c r="H501" i="5"/>
  <c r="I500" i="5"/>
  <c r="H500" i="5"/>
  <c r="I499" i="5"/>
  <c r="H499" i="5"/>
  <c r="I498" i="5"/>
  <c r="H498" i="5"/>
  <c r="I497" i="5"/>
  <c r="H497" i="5"/>
  <c r="I496" i="5"/>
  <c r="H496" i="5"/>
  <c r="I495" i="5"/>
  <c r="H495" i="5"/>
  <c r="I494" i="5"/>
  <c r="H494" i="5"/>
  <c r="I493" i="5"/>
  <c r="H493" i="5"/>
  <c r="I492" i="5"/>
  <c r="H492" i="5"/>
  <c r="I491" i="5"/>
  <c r="H491" i="5"/>
  <c r="I490" i="5"/>
  <c r="H490" i="5"/>
  <c r="I489" i="5"/>
  <c r="H489" i="5"/>
  <c r="I488" i="5"/>
  <c r="H488" i="5"/>
  <c r="I487" i="5"/>
  <c r="H487" i="5"/>
  <c r="I486" i="5"/>
  <c r="H486" i="5"/>
  <c r="I485" i="5"/>
  <c r="H485" i="5"/>
  <c r="I484" i="5"/>
  <c r="H484" i="5"/>
  <c r="I483" i="5"/>
  <c r="H483" i="5"/>
  <c r="I482" i="5"/>
  <c r="H482" i="5"/>
  <c r="I481" i="5"/>
  <c r="H481" i="5"/>
  <c r="I480" i="5"/>
  <c r="H480" i="5"/>
  <c r="I479" i="5"/>
  <c r="H479" i="5"/>
  <c r="I478" i="5"/>
  <c r="H478" i="5"/>
  <c r="I477" i="5"/>
  <c r="H477" i="5"/>
  <c r="I476" i="5"/>
  <c r="H476" i="5"/>
  <c r="I475" i="5"/>
  <c r="H475" i="5"/>
  <c r="I474" i="5"/>
  <c r="H474" i="5"/>
  <c r="I473" i="5"/>
  <c r="H473" i="5"/>
  <c r="I472" i="5"/>
  <c r="H472" i="5"/>
  <c r="I471" i="5"/>
  <c r="H471" i="5"/>
  <c r="I470" i="5"/>
  <c r="H470" i="5"/>
  <c r="I469" i="5"/>
  <c r="H469" i="5"/>
  <c r="I468" i="5"/>
  <c r="H468" i="5"/>
  <c r="I467" i="5"/>
  <c r="H467" i="5"/>
  <c r="I466" i="5"/>
  <c r="H466" i="5"/>
  <c r="I465" i="5"/>
  <c r="H465" i="5"/>
  <c r="I464" i="5"/>
  <c r="H464" i="5"/>
  <c r="I463" i="5"/>
  <c r="H463" i="5"/>
  <c r="I462" i="5"/>
  <c r="H462" i="5"/>
  <c r="I461" i="5"/>
  <c r="H461" i="5"/>
  <c r="I460" i="5"/>
  <c r="H460" i="5"/>
  <c r="I459" i="5"/>
  <c r="H459" i="5"/>
  <c r="I458" i="5"/>
  <c r="H458" i="5"/>
  <c r="I457" i="5"/>
  <c r="H457" i="5"/>
  <c r="I456" i="5"/>
  <c r="H456" i="5"/>
  <c r="I455" i="5"/>
  <c r="H455" i="5"/>
  <c r="I454" i="5"/>
  <c r="H454" i="5"/>
  <c r="I453" i="5"/>
  <c r="H453" i="5"/>
  <c r="I452" i="5"/>
  <c r="H452" i="5"/>
  <c r="I451" i="5"/>
  <c r="H451" i="5"/>
  <c r="I450" i="5"/>
  <c r="H450" i="5"/>
  <c r="I449" i="5"/>
  <c r="H449" i="5"/>
  <c r="I448" i="5"/>
  <c r="H448" i="5"/>
  <c r="I447" i="5"/>
  <c r="H447" i="5"/>
  <c r="I446" i="5"/>
  <c r="H446" i="5"/>
  <c r="I445" i="5"/>
  <c r="H445" i="5"/>
  <c r="I444" i="5"/>
  <c r="H444" i="5"/>
  <c r="I443" i="5"/>
  <c r="H443" i="5"/>
  <c r="I442" i="5"/>
  <c r="H442" i="5"/>
  <c r="I441" i="5"/>
  <c r="H441" i="5"/>
  <c r="I440" i="5"/>
  <c r="H440" i="5"/>
  <c r="I439" i="5"/>
  <c r="H439" i="5"/>
  <c r="I438" i="5"/>
  <c r="H438" i="5"/>
  <c r="I437" i="5"/>
  <c r="H437" i="5"/>
  <c r="I436" i="5"/>
  <c r="H436" i="5"/>
  <c r="I435" i="5"/>
  <c r="H435" i="5"/>
  <c r="I434" i="5"/>
  <c r="H434" i="5"/>
  <c r="I433" i="5"/>
  <c r="H433" i="5"/>
  <c r="I432" i="5"/>
  <c r="H432" i="5"/>
  <c r="I431" i="5"/>
  <c r="H431" i="5"/>
  <c r="I430" i="5"/>
  <c r="H430" i="5"/>
  <c r="I429" i="5"/>
  <c r="H429" i="5"/>
  <c r="I428" i="5"/>
  <c r="H428" i="5"/>
  <c r="I427" i="5"/>
  <c r="H427" i="5"/>
  <c r="I426" i="5"/>
  <c r="H426" i="5"/>
  <c r="I425" i="5"/>
  <c r="H425" i="5"/>
  <c r="I424" i="5"/>
  <c r="H424" i="5"/>
  <c r="I423" i="5"/>
  <c r="H423" i="5"/>
  <c r="I422" i="5"/>
  <c r="H422" i="5"/>
  <c r="I421" i="5"/>
  <c r="H421" i="5"/>
  <c r="I420" i="5"/>
  <c r="H420" i="5"/>
  <c r="I419" i="5"/>
  <c r="H419" i="5"/>
  <c r="I418" i="5"/>
  <c r="H418" i="5"/>
  <c r="I417" i="5"/>
  <c r="H417" i="5"/>
  <c r="I416" i="5"/>
  <c r="H416" i="5"/>
  <c r="I415" i="5"/>
  <c r="H415" i="5"/>
  <c r="I414" i="5"/>
  <c r="H414" i="5"/>
  <c r="I413" i="5"/>
  <c r="H413" i="5"/>
  <c r="I412" i="5"/>
  <c r="H412" i="5"/>
  <c r="I411" i="5"/>
  <c r="H411" i="5"/>
  <c r="I410" i="5"/>
  <c r="H410" i="5"/>
  <c r="I409" i="5"/>
  <c r="H409" i="5"/>
  <c r="I408" i="5"/>
  <c r="H408" i="5"/>
  <c r="I407" i="5"/>
  <c r="H407" i="5"/>
  <c r="I406" i="5"/>
  <c r="H406" i="5"/>
  <c r="I405" i="5"/>
  <c r="H405" i="5"/>
  <c r="I404" i="5"/>
  <c r="H404" i="5"/>
  <c r="I403" i="5"/>
  <c r="H403" i="5"/>
  <c r="I402" i="5"/>
  <c r="H402" i="5"/>
  <c r="I401" i="5"/>
  <c r="H401" i="5"/>
  <c r="I400" i="5"/>
  <c r="H400" i="5"/>
  <c r="I399" i="5"/>
  <c r="H399" i="5"/>
  <c r="I398" i="5"/>
  <c r="H398" i="5"/>
  <c r="I397" i="5"/>
  <c r="H397" i="5"/>
  <c r="I396" i="5"/>
  <c r="H396" i="5"/>
  <c r="I395" i="5"/>
  <c r="H395" i="5"/>
  <c r="I394" i="5"/>
  <c r="H394" i="5"/>
  <c r="I393" i="5"/>
  <c r="H393" i="5"/>
  <c r="I392" i="5"/>
  <c r="H392" i="5"/>
  <c r="I391" i="5"/>
  <c r="H391" i="5"/>
  <c r="I390" i="5"/>
  <c r="H390" i="5"/>
  <c r="I389" i="5"/>
  <c r="H389" i="5"/>
  <c r="I388" i="5"/>
  <c r="H388" i="5"/>
  <c r="I387" i="5"/>
  <c r="H387" i="5"/>
  <c r="I386" i="5"/>
  <c r="H386" i="5"/>
  <c r="I385" i="5"/>
  <c r="H385" i="5"/>
  <c r="I384" i="5"/>
  <c r="H384" i="5"/>
  <c r="I383" i="5"/>
  <c r="H383" i="5"/>
  <c r="I382" i="5"/>
  <c r="H382" i="5"/>
  <c r="I381" i="5"/>
  <c r="H381" i="5"/>
  <c r="I380" i="5"/>
  <c r="H380" i="5"/>
  <c r="I379" i="5"/>
  <c r="H379" i="5"/>
  <c r="I378" i="5"/>
  <c r="H378" i="5"/>
  <c r="I377" i="5"/>
  <c r="H377" i="5"/>
  <c r="I376" i="5"/>
  <c r="H376" i="5"/>
  <c r="I375" i="5"/>
  <c r="H375" i="5"/>
  <c r="I374" i="5"/>
  <c r="H374" i="5"/>
  <c r="I373" i="5"/>
  <c r="H373" i="5"/>
  <c r="I372" i="5"/>
  <c r="H372" i="5"/>
  <c r="I371" i="5"/>
  <c r="H371" i="5"/>
  <c r="I370" i="5"/>
  <c r="H370" i="5"/>
  <c r="I369" i="5"/>
  <c r="H369" i="5"/>
  <c r="I368" i="5"/>
  <c r="H368" i="5"/>
  <c r="I367" i="5"/>
  <c r="H367" i="5"/>
  <c r="I366" i="5"/>
  <c r="H366" i="5"/>
  <c r="I365" i="5"/>
  <c r="H365" i="5"/>
  <c r="I364" i="5"/>
  <c r="H364" i="5"/>
  <c r="I363" i="5"/>
  <c r="H363" i="5"/>
  <c r="I362" i="5"/>
  <c r="H362" i="5"/>
  <c r="I361" i="5"/>
  <c r="H361" i="5"/>
  <c r="I360" i="5"/>
  <c r="H360" i="5"/>
  <c r="I359" i="5"/>
  <c r="H359" i="5"/>
  <c r="I358" i="5"/>
  <c r="H358" i="5"/>
  <c r="I357" i="5"/>
  <c r="H357" i="5"/>
  <c r="I356" i="5"/>
  <c r="H356" i="5"/>
  <c r="I355" i="5"/>
  <c r="H355" i="5"/>
  <c r="I354" i="5"/>
  <c r="H354" i="5"/>
  <c r="I353" i="5"/>
  <c r="H353" i="5"/>
  <c r="I352" i="5"/>
  <c r="H352" i="5"/>
  <c r="I351" i="5"/>
  <c r="H351" i="5"/>
  <c r="I350" i="5"/>
  <c r="H350" i="5"/>
  <c r="I349" i="5"/>
  <c r="H349" i="5"/>
  <c r="I348" i="5"/>
  <c r="H348" i="5"/>
  <c r="I347" i="5"/>
  <c r="H347" i="5"/>
  <c r="I346" i="5"/>
  <c r="H346" i="5"/>
  <c r="I345" i="5"/>
  <c r="H345" i="5"/>
  <c r="I344" i="5"/>
  <c r="H344" i="5"/>
  <c r="I343" i="5"/>
  <c r="H343" i="5"/>
  <c r="I342" i="5"/>
  <c r="H342" i="5"/>
  <c r="I341" i="5"/>
  <c r="H341" i="5"/>
  <c r="I340" i="5"/>
  <c r="H340" i="5"/>
  <c r="I339" i="5"/>
  <c r="H339" i="5"/>
  <c r="I338" i="5"/>
  <c r="H338" i="5"/>
  <c r="I337" i="5"/>
  <c r="H337" i="5"/>
  <c r="I336" i="5"/>
  <c r="H336" i="5"/>
  <c r="I335" i="5"/>
  <c r="H335" i="5"/>
  <c r="I334" i="5"/>
  <c r="H334" i="5"/>
  <c r="I333" i="5"/>
  <c r="H333" i="5"/>
  <c r="I332" i="5"/>
  <c r="H332" i="5"/>
  <c r="I331" i="5"/>
  <c r="H331" i="5"/>
  <c r="I330" i="5"/>
  <c r="H330" i="5"/>
  <c r="I329" i="5"/>
  <c r="H329" i="5"/>
  <c r="I328" i="5"/>
  <c r="H328" i="5"/>
  <c r="I327" i="5"/>
  <c r="H327" i="5"/>
  <c r="I326" i="5"/>
  <c r="H326" i="5"/>
  <c r="I325" i="5"/>
  <c r="H325" i="5"/>
  <c r="I324" i="5"/>
  <c r="H324" i="5"/>
  <c r="I323" i="5"/>
  <c r="H323" i="5"/>
  <c r="I322" i="5"/>
  <c r="H322" i="5"/>
  <c r="I321" i="5"/>
  <c r="H321" i="5"/>
  <c r="I320" i="5"/>
  <c r="H320" i="5"/>
  <c r="I319" i="5"/>
  <c r="H319" i="5"/>
  <c r="I318" i="5"/>
  <c r="H318" i="5"/>
  <c r="I317" i="5"/>
  <c r="H317" i="5"/>
  <c r="I316" i="5"/>
  <c r="H316" i="5"/>
  <c r="I315" i="5"/>
  <c r="H315" i="5"/>
  <c r="I314" i="5"/>
  <c r="H314" i="5"/>
  <c r="I313" i="5"/>
  <c r="H313" i="5"/>
  <c r="I312" i="5"/>
  <c r="H312" i="5"/>
  <c r="I311" i="5"/>
  <c r="H311" i="5"/>
  <c r="I310" i="5"/>
  <c r="H310" i="5"/>
  <c r="I309" i="5"/>
  <c r="H309" i="5"/>
  <c r="I308" i="5"/>
  <c r="H308" i="5"/>
  <c r="I307" i="5"/>
  <c r="H307" i="5"/>
  <c r="I306" i="5"/>
  <c r="H306" i="5"/>
  <c r="I305" i="5"/>
  <c r="H305" i="5"/>
  <c r="I304" i="5"/>
  <c r="H304" i="5"/>
  <c r="I303" i="5"/>
  <c r="H303" i="5"/>
  <c r="I302" i="5"/>
  <c r="H302" i="5"/>
  <c r="I301" i="5"/>
  <c r="H301" i="5"/>
  <c r="I300" i="5"/>
  <c r="H300" i="5"/>
  <c r="I299" i="5"/>
  <c r="H299" i="5"/>
  <c r="I298" i="5"/>
  <c r="H298" i="5"/>
  <c r="I297" i="5"/>
  <c r="H297" i="5"/>
  <c r="I296" i="5"/>
  <c r="H296" i="5"/>
  <c r="I295" i="5"/>
  <c r="H295" i="5"/>
  <c r="I294" i="5"/>
  <c r="H294" i="5"/>
  <c r="I293" i="5"/>
  <c r="H293" i="5"/>
  <c r="I292" i="5"/>
  <c r="H292" i="5"/>
  <c r="I291" i="5"/>
  <c r="H291" i="5"/>
  <c r="I290" i="5"/>
  <c r="H290" i="5"/>
  <c r="I289" i="5"/>
  <c r="H289" i="5"/>
  <c r="I288" i="5"/>
  <c r="H288" i="5"/>
  <c r="I287" i="5"/>
  <c r="H287" i="5"/>
  <c r="I286" i="5"/>
  <c r="H286" i="5"/>
  <c r="I285" i="5"/>
  <c r="H285" i="5"/>
  <c r="I284" i="5"/>
  <c r="H284" i="5"/>
  <c r="I283" i="5"/>
  <c r="H283" i="5"/>
  <c r="I282" i="5"/>
  <c r="H282" i="5"/>
  <c r="I281" i="5"/>
  <c r="H281" i="5"/>
  <c r="I280" i="5"/>
  <c r="H280" i="5"/>
  <c r="I279" i="5"/>
  <c r="H279" i="5"/>
  <c r="I278" i="5"/>
  <c r="H278" i="5"/>
  <c r="I277" i="5"/>
  <c r="H277" i="5"/>
  <c r="I276" i="5"/>
  <c r="H276" i="5"/>
  <c r="I275" i="5"/>
  <c r="H275" i="5"/>
  <c r="I274" i="5"/>
  <c r="H274" i="5"/>
  <c r="I273" i="5"/>
  <c r="H273" i="5"/>
  <c r="I272" i="5"/>
  <c r="H272" i="5"/>
  <c r="I271" i="5"/>
  <c r="H271" i="5"/>
  <c r="I270" i="5"/>
  <c r="H270" i="5"/>
  <c r="I269" i="5"/>
  <c r="H269" i="5"/>
  <c r="I268" i="5"/>
  <c r="H268" i="5"/>
  <c r="I267" i="5"/>
  <c r="H267" i="5"/>
  <c r="I266" i="5"/>
  <c r="H266" i="5"/>
  <c r="I265" i="5"/>
  <c r="H265" i="5"/>
  <c r="I264" i="5"/>
  <c r="H264" i="5"/>
  <c r="I263" i="5"/>
  <c r="H263" i="5"/>
  <c r="I262" i="5"/>
  <c r="H262" i="5"/>
  <c r="I261" i="5"/>
  <c r="H261" i="5"/>
  <c r="I260" i="5"/>
  <c r="H260" i="5"/>
  <c r="I259" i="5"/>
  <c r="H259" i="5"/>
  <c r="I258" i="5"/>
  <c r="H258" i="5"/>
  <c r="I257" i="5"/>
  <c r="H257" i="5"/>
  <c r="I256" i="5"/>
  <c r="H256" i="5"/>
  <c r="I255" i="5"/>
  <c r="H255" i="5"/>
  <c r="I254" i="5"/>
  <c r="H254" i="5"/>
  <c r="I253" i="5"/>
  <c r="H253" i="5"/>
  <c r="I252" i="5"/>
  <c r="H252" i="5"/>
  <c r="I251" i="5"/>
  <c r="H251" i="5"/>
  <c r="I250" i="5"/>
  <c r="H250" i="5"/>
  <c r="I249" i="5"/>
  <c r="H249" i="5"/>
  <c r="I248" i="5"/>
  <c r="H248" i="5"/>
  <c r="I247" i="5"/>
  <c r="H247" i="5"/>
  <c r="I246" i="5"/>
  <c r="H246" i="5"/>
  <c r="I245" i="5"/>
  <c r="H245" i="5"/>
  <c r="I244" i="5"/>
  <c r="H244" i="5"/>
  <c r="I243" i="5"/>
  <c r="H243" i="5"/>
  <c r="I242" i="5"/>
  <c r="H242" i="5"/>
  <c r="I241" i="5"/>
  <c r="H241" i="5"/>
  <c r="I240" i="5"/>
  <c r="H240" i="5"/>
  <c r="I239" i="5"/>
  <c r="H239" i="5"/>
  <c r="I238" i="5"/>
  <c r="H238" i="5"/>
  <c r="I237" i="5"/>
  <c r="H237" i="5"/>
  <c r="I236" i="5"/>
  <c r="H236" i="5"/>
  <c r="I235" i="5"/>
  <c r="H235" i="5"/>
  <c r="I234" i="5"/>
  <c r="H234" i="5"/>
  <c r="I233" i="5"/>
  <c r="H233" i="5"/>
  <c r="I232" i="5"/>
  <c r="H232" i="5"/>
  <c r="I231" i="5"/>
  <c r="H231" i="5"/>
  <c r="I230" i="5"/>
  <c r="H230" i="5"/>
  <c r="I229" i="5"/>
  <c r="H229" i="5"/>
  <c r="I228" i="5"/>
  <c r="H228" i="5"/>
  <c r="I227" i="5"/>
  <c r="H227" i="5"/>
  <c r="I226" i="5"/>
  <c r="H226" i="5"/>
  <c r="I225" i="5"/>
  <c r="H225" i="5"/>
  <c r="I224" i="5"/>
  <c r="H224" i="5"/>
  <c r="I223" i="5"/>
  <c r="H223" i="5"/>
  <c r="I222" i="5"/>
  <c r="H222" i="5"/>
  <c r="I221" i="5"/>
  <c r="H221" i="5"/>
  <c r="I220" i="5"/>
  <c r="H220" i="5"/>
  <c r="I219" i="5"/>
  <c r="H219" i="5"/>
  <c r="I218" i="5"/>
  <c r="H218" i="5"/>
  <c r="I217" i="5"/>
  <c r="H217" i="5"/>
  <c r="I216" i="5"/>
  <c r="H216" i="5"/>
  <c r="I215" i="5"/>
  <c r="H215" i="5"/>
  <c r="I214" i="5"/>
  <c r="H214" i="5"/>
  <c r="I213" i="5"/>
  <c r="H213" i="5"/>
  <c r="I212" i="5"/>
  <c r="H212" i="5"/>
  <c r="I211" i="5"/>
  <c r="H211" i="5"/>
  <c r="I210" i="5"/>
  <c r="H210" i="5"/>
  <c r="I209" i="5"/>
  <c r="H209" i="5"/>
  <c r="I208" i="5"/>
  <c r="H208" i="5"/>
  <c r="I207" i="5"/>
  <c r="H207" i="5"/>
  <c r="I206" i="5"/>
  <c r="H206" i="5"/>
  <c r="I205" i="5"/>
  <c r="H205" i="5"/>
  <c r="I204" i="5"/>
  <c r="H204" i="5"/>
  <c r="I203" i="5"/>
  <c r="H203" i="5"/>
  <c r="I202" i="5"/>
  <c r="H202" i="5"/>
  <c r="I201" i="5"/>
  <c r="H201" i="5"/>
  <c r="I200" i="5"/>
  <c r="H200" i="5"/>
  <c r="I199" i="5"/>
  <c r="H199" i="5"/>
  <c r="I198" i="5"/>
  <c r="H198" i="5"/>
  <c r="I197" i="5"/>
  <c r="H197" i="5"/>
  <c r="I196" i="5"/>
  <c r="H196" i="5"/>
  <c r="I195" i="5"/>
  <c r="H195" i="5"/>
  <c r="I194" i="5"/>
  <c r="H194" i="5"/>
  <c r="I193" i="5"/>
  <c r="H193" i="5"/>
  <c r="I192" i="5"/>
  <c r="H192" i="5"/>
  <c r="I191" i="5"/>
  <c r="H191" i="5"/>
  <c r="I190" i="5"/>
  <c r="H190" i="5"/>
  <c r="I189" i="5"/>
  <c r="H189" i="5"/>
  <c r="I188" i="5"/>
  <c r="H188" i="5"/>
  <c r="I187" i="5"/>
  <c r="H187" i="5"/>
  <c r="I186" i="5"/>
  <c r="H186" i="5"/>
  <c r="I185" i="5"/>
  <c r="H185" i="5"/>
  <c r="I184" i="5"/>
  <c r="H184" i="5"/>
  <c r="I183" i="5"/>
  <c r="H183" i="5"/>
  <c r="I182" i="5"/>
  <c r="H182" i="5"/>
  <c r="I181" i="5"/>
  <c r="H181" i="5"/>
  <c r="I180" i="5"/>
  <c r="H180" i="5"/>
  <c r="I179" i="5"/>
  <c r="H179" i="5"/>
  <c r="I178" i="5"/>
  <c r="H178" i="5"/>
  <c r="I177" i="5"/>
  <c r="H177" i="5"/>
  <c r="I176" i="5"/>
  <c r="H176" i="5"/>
  <c r="I175" i="5"/>
  <c r="H175" i="5"/>
  <c r="I174" i="5"/>
  <c r="H174" i="5"/>
  <c r="I173" i="5"/>
  <c r="H173" i="5"/>
  <c r="I172" i="5"/>
  <c r="H172" i="5"/>
  <c r="I171" i="5"/>
  <c r="H171" i="5"/>
  <c r="I170" i="5"/>
  <c r="H170" i="5"/>
  <c r="I169" i="5"/>
  <c r="H169" i="5"/>
  <c r="I168" i="5"/>
  <c r="H168" i="5"/>
  <c r="I167" i="5"/>
  <c r="H167" i="5"/>
  <c r="I166" i="5"/>
  <c r="H166" i="5"/>
  <c r="I165" i="5"/>
  <c r="H165" i="5"/>
  <c r="I164" i="5"/>
  <c r="H164" i="5"/>
  <c r="I163" i="5"/>
  <c r="H163" i="5"/>
  <c r="I162" i="5"/>
  <c r="H162" i="5"/>
  <c r="I161" i="5"/>
  <c r="H161" i="5"/>
  <c r="I160" i="5"/>
  <c r="H160" i="5"/>
  <c r="I159" i="5"/>
  <c r="H159" i="5"/>
  <c r="I158" i="5"/>
  <c r="H158" i="5"/>
  <c r="I157" i="5"/>
  <c r="H157" i="5"/>
  <c r="I156" i="5"/>
  <c r="H156" i="5"/>
  <c r="I155" i="5"/>
  <c r="H155" i="5"/>
  <c r="I154" i="5"/>
  <c r="H154" i="5"/>
  <c r="I153" i="5"/>
  <c r="H153" i="5"/>
  <c r="I152" i="5"/>
  <c r="H152" i="5"/>
  <c r="I151" i="5"/>
  <c r="H151" i="5"/>
  <c r="I150" i="5"/>
  <c r="H150" i="5"/>
  <c r="I149" i="5"/>
  <c r="H149" i="5"/>
  <c r="I148" i="5"/>
  <c r="H148" i="5"/>
  <c r="I147" i="5"/>
  <c r="H147" i="5"/>
  <c r="I146" i="5"/>
  <c r="H146" i="5"/>
  <c r="I145" i="5"/>
  <c r="H145" i="5"/>
  <c r="I144" i="5"/>
  <c r="H144" i="5"/>
  <c r="I143" i="5"/>
  <c r="H143" i="5"/>
  <c r="I142" i="5"/>
  <c r="H142" i="5"/>
  <c r="I141" i="5"/>
  <c r="H141" i="5"/>
  <c r="I140" i="5"/>
  <c r="H140" i="5"/>
  <c r="I139" i="5"/>
  <c r="H139" i="5"/>
  <c r="I138" i="5"/>
  <c r="H138" i="5"/>
  <c r="I137" i="5"/>
  <c r="H137" i="5"/>
  <c r="I136" i="5"/>
  <c r="H136" i="5"/>
  <c r="I135" i="5"/>
  <c r="H135" i="5"/>
  <c r="I134" i="5"/>
  <c r="H134" i="5"/>
  <c r="I133" i="5"/>
  <c r="H133" i="5"/>
  <c r="I132" i="5"/>
  <c r="H132" i="5"/>
  <c r="I131" i="5"/>
  <c r="H131" i="5"/>
  <c r="I130" i="5"/>
  <c r="H130" i="5"/>
  <c r="I129" i="5"/>
  <c r="H129" i="5"/>
  <c r="I128" i="5"/>
  <c r="H128" i="5"/>
  <c r="I127" i="5"/>
  <c r="H127" i="5"/>
  <c r="I126" i="5"/>
  <c r="H126" i="5"/>
  <c r="I125" i="5"/>
  <c r="H125" i="5"/>
  <c r="I124" i="5"/>
  <c r="H124" i="5"/>
  <c r="I123" i="5"/>
  <c r="H123" i="5"/>
  <c r="I122" i="5"/>
  <c r="H122" i="5"/>
  <c r="I121" i="5"/>
  <c r="H121" i="5"/>
  <c r="I120" i="5"/>
  <c r="H120" i="5"/>
  <c r="I119" i="5"/>
  <c r="H119" i="5"/>
  <c r="I118" i="5"/>
  <c r="H118" i="5"/>
  <c r="I117" i="5"/>
  <c r="H117" i="5"/>
  <c r="I116" i="5"/>
  <c r="H116" i="5"/>
  <c r="I115" i="5"/>
  <c r="H115" i="5"/>
  <c r="I114" i="5"/>
  <c r="H114" i="5"/>
  <c r="I113" i="5"/>
  <c r="H113" i="5"/>
  <c r="I112" i="5"/>
  <c r="H112" i="5"/>
  <c r="I111" i="5"/>
  <c r="H111" i="5"/>
  <c r="I110" i="5"/>
  <c r="H110" i="5"/>
  <c r="I109" i="5"/>
  <c r="H109" i="5"/>
  <c r="I108" i="5"/>
  <c r="H108" i="5"/>
  <c r="I107" i="5"/>
  <c r="H107" i="5"/>
  <c r="I106" i="5"/>
  <c r="H106" i="5"/>
  <c r="I105" i="5"/>
  <c r="H105" i="5"/>
  <c r="I104" i="5"/>
  <c r="H104" i="5"/>
  <c r="I103" i="5"/>
  <c r="H103" i="5"/>
  <c r="I102" i="5"/>
  <c r="H102" i="5"/>
  <c r="I101" i="5"/>
  <c r="H101" i="5"/>
  <c r="I100" i="5"/>
  <c r="H100" i="5"/>
  <c r="I99" i="5"/>
  <c r="H99" i="5"/>
  <c r="I98" i="5"/>
  <c r="H98" i="5"/>
  <c r="I97" i="5"/>
  <c r="H97" i="5"/>
  <c r="I96" i="5"/>
  <c r="H96" i="5"/>
  <c r="I95" i="5"/>
  <c r="H95" i="5"/>
  <c r="I94" i="5"/>
  <c r="H94" i="5"/>
  <c r="I93" i="5"/>
  <c r="H93" i="5"/>
  <c r="I92" i="5"/>
  <c r="H92" i="5"/>
  <c r="I91" i="5"/>
  <c r="H91" i="5"/>
  <c r="I90" i="5"/>
  <c r="H90" i="5"/>
  <c r="I89" i="5"/>
  <c r="H89" i="5"/>
  <c r="I88" i="5"/>
  <c r="H88" i="5"/>
  <c r="I87" i="5"/>
  <c r="H87" i="5"/>
  <c r="I86" i="5"/>
  <c r="H86" i="5"/>
  <c r="I85" i="5"/>
  <c r="H85" i="5"/>
  <c r="I84" i="5"/>
  <c r="H84" i="5"/>
  <c r="I83" i="5"/>
  <c r="H83" i="5"/>
  <c r="I82" i="5"/>
  <c r="H82" i="5"/>
  <c r="I81" i="5"/>
  <c r="H81" i="5"/>
  <c r="I80" i="5"/>
  <c r="H80" i="5"/>
  <c r="I79" i="5"/>
  <c r="H79" i="5"/>
  <c r="I78" i="5"/>
  <c r="H78" i="5"/>
  <c r="I77" i="5"/>
  <c r="H77" i="5"/>
  <c r="I76" i="5"/>
  <c r="H76" i="5"/>
  <c r="I75" i="5"/>
  <c r="H75" i="5"/>
  <c r="I74" i="5"/>
  <c r="H74" i="5"/>
  <c r="I73" i="5"/>
  <c r="H73" i="5"/>
  <c r="I72" i="5"/>
  <c r="H72" i="5"/>
  <c r="I71" i="5"/>
  <c r="H71" i="5"/>
  <c r="I70" i="5"/>
  <c r="H70" i="5"/>
  <c r="I69" i="5"/>
  <c r="H69" i="5"/>
  <c r="I68" i="5"/>
  <c r="H68" i="5"/>
  <c r="I67" i="5"/>
  <c r="H67" i="5"/>
  <c r="I66" i="5"/>
  <c r="H66" i="5"/>
  <c r="I65" i="5"/>
  <c r="H65" i="5"/>
  <c r="I64" i="5"/>
  <c r="H64" i="5"/>
  <c r="I63" i="5"/>
  <c r="H63" i="5"/>
  <c r="I62" i="5"/>
  <c r="H62" i="5"/>
  <c r="I61" i="5"/>
  <c r="H61" i="5"/>
  <c r="I60" i="5"/>
  <c r="H60" i="5"/>
  <c r="I59" i="5"/>
  <c r="H59" i="5"/>
  <c r="I58" i="5"/>
  <c r="H58" i="5"/>
  <c r="I57" i="5"/>
  <c r="H57" i="5"/>
  <c r="I56" i="5"/>
  <c r="H56" i="5"/>
  <c r="I55" i="5"/>
  <c r="H55" i="5"/>
  <c r="I54" i="5"/>
  <c r="H54" i="5"/>
  <c r="I53" i="5"/>
  <c r="H53" i="5"/>
  <c r="I52" i="5"/>
  <c r="H52" i="5"/>
  <c r="I51" i="5"/>
  <c r="H51" i="5"/>
  <c r="I50" i="5"/>
  <c r="H50" i="5"/>
  <c r="I49" i="5"/>
  <c r="H49" i="5"/>
  <c r="I48" i="5"/>
  <c r="H48" i="5"/>
  <c r="I47" i="5"/>
  <c r="H47" i="5"/>
  <c r="I46" i="5"/>
  <c r="H46" i="5"/>
  <c r="I45" i="5"/>
  <c r="H45" i="5"/>
  <c r="I44" i="5"/>
  <c r="H44" i="5"/>
  <c r="I43" i="5"/>
  <c r="H43" i="5"/>
  <c r="I42" i="5"/>
  <c r="H42" i="5"/>
  <c r="I41" i="5"/>
  <c r="H41" i="5"/>
  <c r="I40" i="5"/>
  <c r="H40" i="5"/>
  <c r="I39" i="5"/>
  <c r="H39" i="5"/>
  <c r="I38" i="5"/>
  <c r="H38" i="5"/>
  <c r="I37" i="5"/>
  <c r="H37" i="5"/>
  <c r="I36" i="5"/>
  <c r="H36" i="5"/>
  <c r="I35" i="5"/>
  <c r="H35" i="5"/>
  <c r="I34" i="5"/>
  <c r="H34" i="5"/>
  <c r="I33" i="5"/>
  <c r="H33" i="5"/>
  <c r="I32" i="5"/>
  <c r="H32" i="5"/>
  <c r="I31" i="5"/>
  <c r="H31" i="5"/>
  <c r="I30" i="5"/>
  <c r="H30" i="5"/>
  <c r="I29" i="5"/>
  <c r="L21" i="5" s="1"/>
  <c r="H29" i="5"/>
  <c r="G55"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C3" i="2"/>
  <c r="C5" i="2"/>
  <c r="C6" i="2"/>
  <c r="C26" i="2"/>
  <c r="H34" i="2"/>
  <c r="I34" i="2" s="1"/>
  <c r="H35" i="2"/>
  <c r="I35" i="2" s="1"/>
  <c r="H36" i="2"/>
  <c r="I36" i="2" s="1"/>
  <c r="H37" i="2"/>
  <c r="I37" i="2" s="1"/>
  <c r="H38" i="2"/>
  <c r="I38" i="2" s="1"/>
  <c r="H39" i="2"/>
  <c r="I39" i="2" s="1"/>
  <c r="H40" i="2"/>
  <c r="I40" i="2" s="1"/>
  <c r="H41" i="2"/>
  <c r="I41" i="2" s="1"/>
  <c r="H42" i="2"/>
  <c r="I42" i="2" s="1"/>
  <c r="E43" i="2"/>
  <c r="F43" i="2"/>
  <c r="G43" i="2"/>
  <c r="H12" i="5" l="1"/>
  <c r="H11" i="5"/>
  <c r="H10" i="5"/>
  <c r="H9" i="5"/>
  <c r="H8" i="5"/>
  <c r="F12" i="5"/>
  <c r="F11" i="5"/>
  <c r="F10" i="5"/>
  <c r="F9" i="5"/>
  <c r="F8" i="5"/>
  <c r="AE8" i="7"/>
  <c r="AE9" i="7" s="1"/>
  <c r="AF17" i="7"/>
  <c r="W8" i="7"/>
  <c r="W9" i="7" s="1"/>
  <c r="AI16" i="7"/>
  <c r="L10" i="7"/>
  <c r="L17" i="7" s="1"/>
  <c r="Q10" i="7"/>
  <c r="Q17" i="7" s="1"/>
  <c r="AB10" i="7"/>
  <c r="AB17" i="7" s="1"/>
  <c r="E9" i="7"/>
  <c r="E10" i="7" s="1"/>
  <c r="E17" i="7" s="1"/>
  <c r="S11" i="7"/>
  <c r="AJ11" i="7"/>
  <c r="F16" i="7"/>
  <c r="AJ12" i="7"/>
  <c r="S13" i="7"/>
  <c r="AJ13" i="7"/>
  <c r="S14" i="7"/>
  <c r="AJ14" i="7"/>
  <c r="S15" i="7"/>
  <c r="AJ15" i="7"/>
  <c r="R16" i="7"/>
  <c r="AJ4" i="7"/>
  <c r="S5" i="7"/>
  <c r="AJ5" i="7"/>
  <c r="S6" i="7"/>
  <c r="AJ6" i="7"/>
  <c r="S7" i="7"/>
  <c r="AJ7" i="7"/>
  <c r="M10" i="7"/>
  <c r="M17" i="7" s="1"/>
  <c r="T10" i="7"/>
  <c r="T17" i="7" s="1"/>
  <c r="AC10" i="7"/>
  <c r="AC17" i="7" s="1"/>
  <c r="AG10" i="7"/>
  <c r="AG17" i="7" s="1"/>
  <c r="H9" i="7"/>
  <c r="H10" i="7" s="1"/>
  <c r="H17" i="7" s="1"/>
  <c r="P9" i="7"/>
  <c r="P10" i="7" s="1"/>
  <c r="P17" i="7" s="1"/>
  <c r="X9" i="7"/>
  <c r="X10" i="7" s="1"/>
  <c r="X17" i="7" s="1"/>
  <c r="D10" i="7"/>
  <c r="D17" i="7" s="1"/>
  <c r="U10" i="7"/>
  <c r="U17" i="7" s="1"/>
  <c r="I9" i="7"/>
  <c r="I10" i="7" s="1"/>
  <c r="I17" i="7" s="1"/>
  <c r="Y9" i="7"/>
  <c r="Y10" i="7" s="1"/>
  <c r="Y17" i="7" s="1"/>
  <c r="C21" i="9"/>
  <c r="C15" i="8"/>
  <c r="C16" i="8" s="1"/>
  <c r="D15" i="8"/>
  <c r="D16" i="8" s="1"/>
  <c r="E15" i="8"/>
  <c r="E16" i="8" s="1"/>
  <c r="F15" i="8"/>
  <c r="F16" i="8" s="1"/>
  <c r="S4" i="7"/>
  <c r="AA8" i="7"/>
  <c r="AA9" i="7" s="1"/>
  <c r="AI8" i="7"/>
  <c r="AI9" i="7" s="1"/>
  <c r="C10" i="7"/>
  <c r="C17" i="7" s="1"/>
  <c r="G10" i="7"/>
  <c r="G17" i="7" s="1"/>
  <c r="K10" i="7"/>
  <c r="K17" i="7" s="1"/>
  <c r="O10" i="7"/>
  <c r="O17" i="7" s="1"/>
  <c r="AE10" i="7"/>
  <c r="AE17" i="7" s="1"/>
  <c r="S12" i="7"/>
  <c r="V9" i="7"/>
  <c r="V10" i="7" s="1"/>
  <c r="V17" i="7" s="1"/>
  <c r="Z9" i="7"/>
  <c r="Z10" i="7" s="1"/>
  <c r="Z17" i="7" s="1"/>
  <c r="AD9" i="7"/>
  <c r="AD10" i="7" s="1"/>
  <c r="AD17" i="7" s="1"/>
  <c r="AH9" i="7"/>
  <c r="AH10" i="7" s="1"/>
  <c r="AH17" i="7" s="1"/>
  <c r="F8" i="7"/>
  <c r="F9" i="7" s="1"/>
  <c r="J8" i="7"/>
  <c r="J9" i="7" s="1"/>
  <c r="N8" i="7"/>
  <c r="N9" i="7" s="1"/>
  <c r="R8" i="7"/>
  <c r="R9" i="7" s="1"/>
  <c r="I43" i="2"/>
  <c r="H43" i="2"/>
  <c r="W10" i="7" l="1"/>
  <c r="W17" i="7" s="1"/>
  <c r="AJ16" i="7"/>
  <c r="S16" i="7"/>
  <c r="AI10" i="7"/>
  <c r="AI17" i="7" s="1"/>
  <c r="R10" i="7"/>
  <c r="R17" i="7" s="1"/>
  <c r="AJ8" i="7"/>
  <c r="AJ9" i="7" s="1"/>
  <c r="AA10" i="7"/>
  <c r="AA17" i="7" s="1"/>
  <c r="D21" i="9"/>
  <c r="C22" i="9"/>
  <c r="N10" i="7"/>
  <c r="N17" i="7" s="1"/>
  <c r="F10" i="7"/>
  <c r="F17" i="7" s="1"/>
  <c r="J10" i="7"/>
  <c r="J17" i="7" s="1"/>
  <c r="S8" i="7"/>
  <c r="S9" i="7" s="1"/>
  <c r="S10" i="7" l="1"/>
  <c r="S17" i="7" s="1"/>
  <c r="AJ10" i="7"/>
  <c r="AJ17" i="7" s="1"/>
  <c r="C23" i="9"/>
  <c r="D22" i="9"/>
  <c r="D23" i="9" l="1"/>
  <c r="C24" i="9"/>
  <c r="D24" i="9" s="1"/>
  <c r="E32" i="2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leonas.garbenis@gmail.com</author>
  </authors>
  <commentList>
    <comment ref="H7" authorId="0" shapeId="0" xr:uid="{00000000-0006-0000-0500-000001000000}">
      <text>
        <r>
          <rPr>
            <b/>
            <sz val="9"/>
            <color indexed="81"/>
            <rFont val="Tahoma"/>
            <family val="2"/>
          </rPr>
          <t>leonas.garbenis@gmail.com:</t>
        </r>
        <r>
          <rPr>
            <sz val="9"/>
            <color indexed="81"/>
            <rFont val="Tahoma"/>
            <family val="2"/>
          </rPr>
          <t xml:space="preserve">
</t>
        </r>
      </text>
    </comment>
    <comment ref="I7" authorId="0" shapeId="0" xr:uid="{00000000-0006-0000-0500-000002000000}">
      <text>
        <r>
          <rPr>
            <b/>
            <sz val="9"/>
            <color indexed="81"/>
            <rFont val="Tahoma"/>
            <family val="2"/>
          </rPr>
          <t>leonas.garbenis@gmail.com:</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tc={B8C96FE4-1B77-442D-B02F-6CEBDE2AFCD1}</author>
    <author>tc={2B21D6CB-66B5-401B-8B05-3A8E5B8046FE}</author>
    <author>tc={FB0C7A8B-3B80-48D5-9047-981F396AEC25}</author>
  </authors>
  <commentList>
    <comment ref="F13" authorId="0" shapeId="0" xr:uid="{B8C96FE4-1B77-442D-B02F-6CEBDE2AFCD1}">
      <text>
        <t>[Threaded comment]
Your version of Excel allows you to read this threaded comment; however, any edits to it will get removed if the file is opened in a newer version of Excel. Learn more: https://go.microsoft.com/fwlink/?linkid=870924
Comment:
    Parodo visas sumas be filtro ir matomas ir nematomas</t>
      </text>
    </comment>
    <comment ref="H13" authorId="1" shapeId="0" xr:uid="{2B21D6CB-66B5-401B-8B05-3A8E5B8046FE}">
      <text>
        <t>[Threaded comment]
Your version of Excel allows you to read this threaded comment; however, any edits to it will get removed if the file is opened in a newer version of Excel. Learn more: https://go.microsoft.com/fwlink/?linkid=870924
Comment:
    Sumos ijungus filtrus, skaiciuoja tik matomas datas</t>
      </text>
    </comment>
    <comment ref="L21" authorId="2" shapeId="0" xr:uid="{FB0C7A8B-3B80-48D5-9047-981F396AEC25}">
      <text>
        <t>[Threaded comment]
Your version of Excel allows you to read this threaded comment; however, any edits to it will get removed if the file is opened in a newer version of Excel. Learn more: https://go.microsoft.com/fwlink/?linkid=870924
Comment:
    Naudoti antram filtrui</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tc={5469EF87-7954-404E-AB0C-C7E42995E48F}</author>
  </authors>
  <commentList>
    <comment ref="J31" authorId="0" shapeId="0" xr:uid="{5469EF87-7954-404E-AB0C-C7E42995E48F}">
      <text>
        <t>[Threaded comment]
Your version of Excel allows you to read this threaded comment; however, any edits to it will get removed if the file is opened in a newer version of Excel. Learn more: https://go.microsoft.com/fwlink/?linkid=870924
Comment:
    Irasyti rankiniu budu</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tc={8BD30710-DD97-4BE7-A175-7773053BCA20}</author>
    <author>tc={1AA080B0-BC89-4A2A-8C0B-341F17414380}</author>
  </authors>
  <commentList>
    <comment ref="H14" authorId="0" shapeId="0" xr:uid="{8BD30710-DD97-4BE7-A175-7773053BCA20}">
      <text>
        <t>[Threaded comment]
Your version of Excel allows you to read this threaded comment; however, any edits to it will get removed if the file is opened in a newer version of Excel. Learn more: https://go.microsoft.com/fwlink/?linkid=870924
Comment:
    KINTAMASIS</t>
      </text>
    </comment>
    <comment ref="I15" authorId="1" shapeId="0" xr:uid="{1AA080B0-BC89-4A2A-8C0B-341F17414380}">
      <text>
        <t>[Threaded comment]
Your version of Excel allows you to read this threaded comment; however, any edits to it will get removed if the file is opened in a newer version of Excel. Learn more: https://go.microsoft.com/fwlink/?linkid=870924
Comment:
    FINANSINIAI ISTEKLIAI YRA MAZIAU NEI IS VISO, NEGALI VIRSYTI</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0FD666-050E-4F54-A809-503ED48EBCD0}" name="Query - Table1" description="Connection to the 'Table1' query in the workbook." type="100" refreshedVersion="8" minRefreshableVersion="5">
    <extLst>
      <ext xmlns:x15="http://schemas.microsoft.com/office/spreadsheetml/2010/11/main" uri="{DE250136-89BD-433C-8126-D09CA5730AF9}">
        <x15:connection id="a8dca675-4f28-45c4-9e79-0b0cac76ed08"/>
      </ext>
    </extLst>
  </connection>
  <connection id="2" xr16:uid="{BBA50D5B-3A2E-4378-970A-4A59BC6C3F62}" name="Query - tablegamintojai" description="Connection to the 'tablegamintojai' query in the workbook." type="100" refreshedVersion="8" minRefreshableVersion="5">
    <extLst>
      <ext xmlns:x15="http://schemas.microsoft.com/office/spreadsheetml/2010/11/main" uri="{DE250136-89BD-433C-8126-D09CA5730AF9}">
        <x15:connection id="749b954e-166f-4255-b4df-ab329bbadf70"/>
      </ext>
    </extLst>
  </connection>
  <connection id="3" xr16:uid="{DEB60AB1-DF03-4ABB-A01D-1322E3906F48}" name="Query - tableprekes" description="Connection to the 'tableprekes' query in the workbook." type="100" refreshedVersion="8" minRefreshableVersion="5">
    <extLst>
      <ext xmlns:x15="http://schemas.microsoft.com/office/spreadsheetml/2010/11/main" uri="{DE250136-89BD-433C-8126-D09CA5730AF9}">
        <x15:connection id="1b26b5f1-6db7-43e0-b8c0-e5321038fd0c"/>
      </ext>
    </extLst>
  </connection>
  <connection id="4" xr16:uid="{238BF67A-3E79-4203-ABEC-706D96E81924}" name="Query - tablesalys" description="Connection to the 'tablesalys' query in the workbook." type="100" refreshedVersion="8" minRefreshableVersion="5">
    <extLst>
      <ext xmlns:x15="http://schemas.microsoft.com/office/spreadsheetml/2010/11/main" uri="{DE250136-89BD-433C-8126-D09CA5730AF9}">
        <x15:connection id="0724799b-36b2-495d-b366-e61c422da45c"/>
      </ext>
    </extLst>
  </connection>
  <connection id="5" xr16:uid="{9B1661F4-8895-4B2F-A094-1AB44C2D078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<sst xmlns="http://schemas.openxmlformats.org/spreadsheetml/2006/main" count="6576" uniqueCount="1249">
  <si>
    <t>Langelių, puslapių, darbo knygų apsauga;</t>
  </si>
  <si>
    <t>Pratybų užduotis</t>
  </si>
  <si>
    <t xml:space="preserve">8. </t>
  </si>
  <si>
    <t>Melionai</t>
  </si>
  <si>
    <t>Kiviai</t>
  </si>
  <si>
    <t>Apelsinai</t>
  </si>
  <si>
    <t>Citrinos</t>
  </si>
  <si>
    <t>Bananai</t>
  </si>
  <si>
    <t>Vynuogės</t>
  </si>
  <si>
    <t>Slyvos</t>
  </si>
  <si>
    <t>Kriaušės</t>
  </si>
  <si>
    <t>Obuoliai</t>
  </si>
  <si>
    <t>Vaisiai ir uogos</t>
  </si>
  <si>
    <t>balandis</t>
  </si>
  <si>
    <t>kovas</t>
  </si>
  <si>
    <t>vasaris</t>
  </si>
  <si>
    <t>Suma, Eur</t>
  </si>
  <si>
    <t>Kainos</t>
  </si>
  <si>
    <t>Pavadinimas</t>
  </si>
  <si>
    <t>Prekės kategorija</t>
  </si>
  <si>
    <t xml:space="preserve">7. </t>
  </si>
  <si>
    <t xml:space="preserve">6. </t>
  </si>
  <si>
    <t xml:space="preserve">5. </t>
  </si>
  <si>
    <t>SUMPRODUCT-&gt;&gt;</t>
  </si>
  <si>
    <t xml:space="preserve">4. </t>
  </si>
  <si>
    <t xml:space="preserve">3. </t>
  </si>
  <si>
    <t xml:space="preserve">2. </t>
  </si>
  <si>
    <t xml:space="preserve">1. </t>
  </si>
  <si>
    <t>Formulių kopijavimas, langelių formatai, koordinatės (santykinės, absoliučios, mišrios)</t>
  </si>
  <si>
    <t>Sąlyginis formatavimas (CONDITIONAL FORMATTING);</t>
  </si>
  <si>
    <t>Langelių paryškinimas</t>
  </si>
  <si>
    <t xml:space="preserve">Papildykite formatavimo sąlygas, pagal kurias būtų paryškinti šaldytuvų pardavimai </t>
  </si>
  <si>
    <t>Papildykite formatavimo sąlygas, pagal kurias būtų paryškinti pasikartojantys duomenų įrašai (sąskaitų numeriai)</t>
  </si>
  <si>
    <t>Kainos &gt;</t>
  </si>
  <si>
    <t>Kainos &lt;</t>
  </si>
  <si>
    <t>Prekė</t>
  </si>
  <si>
    <t>Data</t>
  </si>
  <si>
    <t>Sąskaita</t>
  </si>
  <si>
    <t>Pardavėjas</t>
  </si>
  <si>
    <t>Kaina</t>
  </si>
  <si>
    <t>Apmokėti iki</t>
  </si>
  <si>
    <t>Patvirtinimas</t>
  </si>
  <si>
    <t>SF-030590</t>
  </si>
  <si>
    <t>Skalbimo mašina SAMSUNG</t>
  </si>
  <si>
    <t>Petras</t>
  </si>
  <si>
    <t>Apmokėta</t>
  </si>
  <si>
    <t>SF-030608</t>
  </si>
  <si>
    <t>Dulkių siurblys SAMSUNG</t>
  </si>
  <si>
    <t>Jonas</t>
  </si>
  <si>
    <t>SF-030611</t>
  </si>
  <si>
    <t>Skalbimo mašina WHIRPOOL</t>
  </si>
  <si>
    <t>SF-030594</t>
  </si>
  <si>
    <t>SF-030618</t>
  </si>
  <si>
    <t>Antanas</t>
  </si>
  <si>
    <t>SF-030605</t>
  </si>
  <si>
    <t>Skalbimo mašina BEKO</t>
  </si>
  <si>
    <t>SF-030589</t>
  </si>
  <si>
    <t>Šaldytuvas ZANUSSI</t>
  </si>
  <si>
    <t>SF-030614</t>
  </si>
  <si>
    <t>Dulkių siurblys DAEWOO</t>
  </si>
  <si>
    <t>SF-030612</t>
  </si>
  <si>
    <t>Šaldytuvas SNAIGĖ</t>
  </si>
  <si>
    <t>SF-030609</t>
  </si>
  <si>
    <t>SF-030622</t>
  </si>
  <si>
    <t>Dulkių siurblys SENCOR</t>
  </si>
  <si>
    <t>SF-030603</t>
  </si>
  <si>
    <t>Skalbimo mašina ZANUSSI</t>
  </si>
  <si>
    <t>SF-030617</t>
  </si>
  <si>
    <t>SF-030598</t>
  </si>
  <si>
    <t>Šaldytuvas SAMSUNG</t>
  </si>
  <si>
    <t>SF-030592</t>
  </si>
  <si>
    <t>Dulkių siurblys PHILIPS</t>
  </si>
  <si>
    <t>SF-030621</t>
  </si>
  <si>
    <t>SF-030604</t>
  </si>
  <si>
    <t>Skalbimo mašina GORENJE</t>
  </si>
  <si>
    <t>SF-030596</t>
  </si>
  <si>
    <t>SF-030620</t>
  </si>
  <si>
    <t>SF-030619</t>
  </si>
  <si>
    <t>SF-030593</t>
  </si>
  <si>
    <t>SF-030600</t>
  </si>
  <si>
    <t>SF-030597</t>
  </si>
  <si>
    <t>Šaldytuvas LG</t>
  </si>
  <si>
    <t>SF-030616</t>
  </si>
  <si>
    <t>SF-030615</t>
  </si>
  <si>
    <t>SF-030601</t>
  </si>
  <si>
    <t>Šaldytuvas BEKO</t>
  </si>
  <si>
    <t>SF-030607</t>
  </si>
  <si>
    <t>SF-030613</t>
  </si>
  <si>
    <t>SF-030602</t>
  </si>
  <si>
    <t>SF-030610</t>
  </si>
  <si>
    <t>SF-030591</t>
  </si>
  <si>
    <t>SF-030606</t>
  </si>
  <si>
    <t>SF-030599</t>
  </si>
  <si>
    <t>SF-030595</t>
  </si>
  <si>
    <t>Visos eilutės paryškinimas</t>
  </si>
  <si>
    <t>Data &lt;</t>
  </si>
  <si>
    <t>Rakt.form.</t>
  </si>
  <si>
    <t>Duomenų sekos, paieška/pakeitimas, rūšiavimas, filtravimas (sudėtingasis filtravimas), SUBTOTAL</t>
  </si>
  <si>
    <t>Skaičius</t>
  </si>
  <si>
    <t>Tekstas</t>
  </si>
  <si>
    <t>Prekė 11</t>
  </si>
  <si>
    <t>Kopijavimo žemyn būdu nukopijuokite šias sekas žemyn per 5 eilutes</t>
  </si>
  <si>
    <t>Nukopijuokite duomenis dešinėn</t>
  </si>
  <si>
    <t>January</t>
  </si>
  <si>
    <t>Jan</t>
  </si>
  <si>
    <t>Monday</t>
  </si>
  <si>
    <t>Mon</t>
  </si>
  <si>
    <t>Pr</t>
  </si>
  <si>
    <t>Pirmadienis</t>
  </si>
  <si>
    <t>Saus</t>
  </si>
  <si>
    <r>
      <t xml:space="preserve">Užpildykite kelis prekių užsakymus pasinaudodami automatiškai sudaromais sąrašais (PICK UP FROM DROP-DOWN LIST </t>
    </r>
    <r>
      <rPr>
        <sz val="11"/>
        <color theme="7" tint="-0.249977111117893"/>
        <rFont val="Calibri"/>
        <family val="2"/>
        <scheme val="minor"/>
      </rPr>
      <t>IŠSIRINKTI IŠ IŠPLEČIAMOJO SĄRAŠO</t>
    </r>
    <r>
      <rPr>
        <sz val="11"/>
        <color theme="1"/>
        <rFont val="Calibri"/>
        <family val="2"/>
        <charset val="186"/>
        <scheme val="minor"/>
      </rPr>
      <t>)</t>
    </r>
  </si>
  <si>
    <t>Pirkėjas</t>
  </si>
  <si>
    <t>Kiekis, t</t>
  </si>
  <si>
    <t>UAB "Aibė"</t>
  </si>
  <si>
    <t>Bulvės</t>
  </si>
  <si>
    <t>UAB "NORFA"</t>
  </si>
  <si>
    <t>Kopūstai</t>
  </si>
  <si>
    <t>UAB "Maksima"</t>
  </si>
  <si>
    <t>Burokėliai</t>
  </si>
  <si>
    <t xml:space="preserve">9. </t>
  </si>
  <si>
    <t xml:space="preserve">10. </t>
  </si>
  <si>
    <t xml:space="preserve">11. </t>
  </si>
  <si>
    <t xml:space="preserve">12. </t>
  </si>
  <si>
    <t>SUM</t>
  </si>
  <si>
    <t>Suma</t>
  </si>
  <si>
    <t>AVERAGE</t>
  </si>
  <si>
    <t>Vidurkis</t>
  </si>
  <si>
    <t>MIN</t>
  </si>
  <si>
    <t>Minimumas</t>
  </si>
  <si>
    <t>MAX</t>
  </si>
  <si>
    <t>Maksimumas</t>
  </si>
  <si>
    <t>COUNT</t>
  </si>
  <si>
    <t>Kiekis (langelių, užpildytų skaičiais)</t>
  </si>
  <si>
    <t xml:space="preserve">13. </t>
  </si>
  <si>
    <t>Išskleiskite (pliuso ženklas kairėje)</t>
  </si>
  <si>
    <t>Išplėstinio filtro pagalba išsręskite šias užduotis:</t>
  </si>
  <si>
    <t>a) Iš lentelės apačioje duomenų sudarykite unikalų prekių sąrašą</t>
  </si>
  <si>
    <t>b) Iš lentelės apačioje duomenų suformuokite vėlavių atsiskaitymų santrauką</t>
  </si>
  <si>
    <t>Prekės pavadinimas</t>
  </si>
  <si>
    <t>Tiekėjas</t>
  </si>
  <si>
    <t>Kiekis, vnt.</t>
  </si>
  <si>
    <t>Kaina, Eur</t>
  </si>
  <si>
    <t>Mokėti iki</t>
  </si>
  <si>
    <t>Atsisk. data</t>
  </si>
  <si>
    <t>Ar sumokėta</t>
  </si>
  <si>
    <t>Vėlavimai</t>
  </si>
  <si>
    <t>Rokiškio naminis pienas</t>
  </si>
  <si>
    <t>Rokiškio pienas</t>
  </si>
  <si>
    <t>Sumokėta</t>
  </si>
  <si>
    <t>Dvaro varškė</t>
  </si>
  <si>
    <t>Pieno žvaigždės</t>
  </si>
  <si>
    <t>Smetoniškas sviestas</t>
  </si>
  <si>
    <t>Rūkytas lydytas sūris "Visiems"</t>
  </si>
  <si>
    <t>Grietinė "Žaloji karvutė"</t>
  </si>
  <si>
    <t>Grūdėta varškė</t>
  </si>
  <si>
    <t>Nesumokėta</t>
  </si>
  <si>
    <t>Duomenų jungimas, skaidymas, grupavimas;</t>
  </si>
  <si>
    <t>ID</t>
  </si>
  <si>
    <t>VARDAS</t>
  </si>
  <si>
    <t>PAVARDĖ</t>
  </si>
  <si>
    <t>PAREIGOS</t>
  </si>
  <si>
    <t>TELEFONO NR.</t>
  </si>
  <si>
    <t>ELEKTRONINIS PAŠTAS</t>
  </si>
  <si>
    <t>SUJUNGTA INFORMACIJA</t>
  </si>
  <si>
    <t>Egidijus</t>
  </si>
  <si>
    <t>Purlys</t>
  </si>
  <si>
    <t>Viceministras</t>
  </si>
  <si>
    <t>egidijus.purlys@enmin.lt</t>
  </si>
  <si>
    <t>E. PURLYS, tel. 852034409</t>
  </si>
  <si>
    <t>Žygimantas</t>
  </si>
  <si>
    <t>Vaičiūnas</t>
  </si>
  <si>
    <t>Ministras</t>
  </si>
  <si>
    <t>Lina</t>
  </si>
  <si>
    <t>Sabaitienė</t>
  </si>
  <si>
    <t>Viceministrė</t>
  </si>
  <si>
    <t>Aurelija</t>
  </si>
  <si>
    <t>Vernickaitė</t>
  </si>
  <si>
    <t>Ministro patarėja</t>
  </si>
  <si>
    <t>Sandra</t>
  </si>
  <si>
    <t>Paulavičienė</t>
  </si>
  <si>
    <t>Ministro padėjėja</t>
  </si>
  <si>
    <t>Ramūnas</t>
  </si>
  <si>
    <t>Dilba</t>
  </si>
  <si>
    <t>Ministerijos kancleris</t>
  </si>
  <si>
    <t>Aušra</t>
  </si>
  <si>
    <t>Siniuvienė</t>
  </si>
  <si>
    <t>Kalbos tvarkytoja</t>
  </si>
  <si>
    <t>Ramunė</t>
  </si>
  <si>
    <t>Mikalauskienė</t>
  </si>
  <si>
    <t>Skyriaus vedėja</t>
  </si>
  <si>
    <t>Dovilė</t>
  </si>
  <si>
    <t>Zajauskaitė</t>
  </si>
  <si>
    <t>Patarėja</t>
  </si>
  <si>
    <t>Daiva</t>
  </si>
  <si>
    <t>Brazdžiuvienė</t>
  </si>
  <si>
    <t>Vyriausioji specialistė</t>
  </si>
  <si>
    <t>Žičkutė-Artamonova</t>
  </si>
  <si>
    <t>Brigita</t>
  </si>
  <si>
    <t>Paulikienė</t>
  </si>
  <si>
    <t>Asta</t>
  </si>
  <si>
    <t>Žalnieriūtė</t>
  </si>
  <si>
    <t>Patricija</t>
  </si>
  <si>
    <t>Ceiko</t>
  </si>
  <si>
    <t>Renatas</t>
  </si>
  <si>
    <t>Šumskis</t>
  </si>
  <si>
    <t>Vyriausiasis specialistas</t>
  </si>
  <si>
    <t>Ieva</t>
  </si>
  <si>
    <t>Lukošiūtė</t>
  </si>
  <si>
    <t>Šmočiukienė</t>
  </si>
  <si>
    <t>Violeta</t>
  </si>
  <si>
    <t>Greičiuvienė</t>
  </si>
  <si>
    <t>Vida</t>
  </si>
  <si>
    <t>Baltmiškytė</t>
  </si>
  <si>
    <t>Ineta</t>
  </si>
  <si>
    <t>Blakunovaitė</t>
  </si>
  <si>
    <t>Reda</t>
  </si>
  <si>
    <t>Lichadziauskienė</t>
  </si>
  <si>
    <t>Arūnas</t>
  </si>
  <si>
    <t>Tepelys</t>
  </si>
  <si>
    <t>Edvinas</t>
  </si>
  <si>
    <t>Federas</t>
  </si>
  <si>
    <t>Andrius</t>
  </si>
  <si>
    <t>Jovaiša</t>
  </si>
  <si>
    <t>Valdas</t>
  </si>
  <si>
    <t>Zibalas</t>
  </si>
  <si>
    <t>Alfonsas</t>
  </si>
  <si>
    <t>Martinkėnas</t>
  </si>
  <si>
    <t>Alina</t>
  </si>
  <si>
    <t>Grigalaitienė</t>
  </si>
  <si>
    <t>Ona</t>
  </si>
  <si>
    <t>Bankauskienė</t>
  </si>
  <si>
    <t>Inga</t>
  </si>
  <si>
    <t>Štrofienė</t>
  </si>
  <si>
    <t>Snieguolė</t>
  </si>
  <si>
    <t>Kanapickaitė</t>
  </si>
  <si>
    <t>Renata</t>
  </si>
  <si>
    <t>Adomaitytė-Šliogerienė</t>
  </si>
  <si>
    <t>Liudmila</t>
  </si>
  <si>
    <t>Naruševičiūtė</t>
  </si>
  <si>
    <t>Referentė</t>
  </si>
  <si>
    <t>Jakubėnaitė</t>
  </si>
  <si>
    <t>Rytis</t>
  </si>
  <si>
    <t>Kėvelaitis</t>
  </si>
  <si>
    <t>Alvydas</t>
  </si>
  <si>
    <t>Sakavičius</t>
  </si>
  <si>
    <t>Ministro patarėjas</t>
  </si>
  <si>
    <t>Ambrazevičienė</t>
  </si>
  <si>
    <t>Karolis</t>
  </si>
  <si>
    <t>Švaikauskas</t>
  </si>
  <si>
    <t>Grupės vadovas</t>
  </si>
  <si>
    <t>Grėbliūnaitė</t>
  </si>
  <si>
    <t>Dzermeikienė</t>
  </si>
  <si>
    <t>Kristina</t>
  </si>
  <si>
    <t>Rimkūnaitė</t>
  </si>
  <si>
    <t>Tomas</t>
  </si>
  <si>
    <t>Lukoševičius</t>
  </si>
  <si>
    <t>Skyriaus vedėjas</t>
  </si>
  <si>
    <t>Gelusevičienė</t>
  </si>
  <si>
    <t>Vyresnioji patarėja</t>
  </si>
  <si>
    <t>Ingrida</t>
  </si>
  <si>
    <t>Markinienė</t>
  </si>
  <si>
    <t>Vaidas</t>
  </si>
  <si>
    <t>Vaitėnas</t>
  </si>
  <si>
    <t>Banytė</t>
  </si>
  <si>
    <t>Dainius</t>
  </si>
  <si>
    <t>Bražiūnas</t>
  </si>
  <si>
    <t>Gabija</t>
  </si>
  <si>
    <t>Talačkaitė</t>
  </si>
  <si>
    <t>Gintautas</t>
  </si>
  <si>
    <t>Danaitis</t>
  </si>
  <si>
    <t>Janina</t>
  </si>
  <si>
    <t>Danaitienė</t>
  </si>
  <si>
    <t>Giedrė</t>
  </si>
  <si>
    <t>Šeškevičienė</t>
  </si>
  <si>
    <t>Marius</t>
  </si>
  <si>
    <t>Pareigis</t>
  </si>
  <si>
    <t>Almanytė</t>
  </si>
  <si>
    <t>Sveklaitė</t>
  </si>
  <si>
    <t>Mindaugas</t>
  </si>
  <si>
    <t>Stonkus</t>
  </si>
  <si>
    <t>Patarėjas</t>
  </si>
  <si>
    <t>Aurimas</t>
  </si>
  <si>
    <t>Salapėta</t>
  </si>
  <si>
    <t>Jevgenija</t>
  </si>
  <si>
    <t>Jankevič</t>
  </si>
  <si>
    <t>Sergej</t>
  </si>
  <si>
    <t>Garbar</t>
  </si>
  <si>
    <t>Vilija</t>
  </si>
  <si>
    <t>Tomkė</t>
  </si>
  <si>
    <t>Linas</t>
  </si>
  <si>
    <t>Bagdonavičius</t>
  </si>
  <si>
    <t>Vytautas</t>
  </si>
  <si>
    <t>Bernadišius</t>
  </si>
  <si>
    <t>Justina</t>
  </si>
  <si>
    <t>Ratkevičiūtė</t>
  </si>
  <si>
    <t>Ministerijos vyresnioji patarėja</t>
  </si>
  <si>
    <t>852034472</t>
  </si>
  <si>
    <t>Gintarė</t>
  </si>
  <si>
    <t>Krušnienė</t>
  </si>
  <si>
    <t>Daumantas</t>
  </si>
  <si>
    <t>Kerežis</t>
  </si>
  <si>
    <t>Jurgita</t>
  </si>
  <si>
    <t>Jakevičiūtė</t>
  </si>
  <si>
    <t>Eglė</t>
  </si>
  <si>
    <t>Krinickienė</t>
  </si>
  <si>
    <t>Gediminas</t>
  </si>
  <si>
    <t>Karalius</t>
  </si>
  <si>
    <t>Ministerijos patarėjas</t>
  </si>
  <si>
    <t>Žydrė</t>
  </si>
  <si>
    <t>Vasiliauskienė</t>
  </si>
  <si>
    <t>Vardas PAVARDĖ</t>
  </si>
  <si>
    <t>Jonas PETRAITIS</t>
  </si>
  <si>
    <t>Petraitis</t>
  </si>
  <si>
    <t>Violeta GREIČIUVIENĖ</t>
  </si>
  <si>
    <t>Vytautas BERNADIŠIUS</t>
  </si>
  <si>
    <t>Žydrė VASILIAUSKIENĖ</t>
  </si>
  <si>
    <t>Žygimantas VAIČIŪNAS</t>
  </si>
  <si>
    <t>4.</t>
  </si>
  <si>
    <t>Vas</t>
  </si>
  <si>
    <t>Kov</t>
  </si>
  <si>
    <t>2018 I ketv</t>
  </si>
  <si>
    <t>Bal</t>
  </si>
  <si>
    <t>Geg</t>
  </si>
  <si>
    <t>Birž</t>
  </si>
  <si>
    <t>2018 II ketv</t>
  </si>
  <si>
    <t>Liep</t>
  </si>
  <si>
    <t>Rugp</t>
  </si>
  <si>
    <t>Rugs</t>
  </si>
  <si>
    <t>2018 III ketv</t>
  </si>
  <si>
    <t>Spal</t>
  </si>
  <si>
    <t>Lapkr</t>
  </si>
  <si>
    <t>Gruod</t>
  </si>
  <si>
    <t>2018 IV ketv</t>
  </si>
  <si>
    <t>2018 metai</t>
  </si>
  <si>
    <t>2019 I ketv</t>
  </si>
  <si>
    <t>2019 II ketv</t>
  </si>
  <si>
    <t>2019 III ketv</t>
  </si>
  <si>
    <t>2019 IV ketv</t>
  </si>
  <si>
    <t>2019 metai</t>
  </si>
  <si>
    <t>Dujinės įrangos pajamos</t>
  </si>
  <si>
    <t>Skysto kuro įrangos pajamos</t>
  </si>
  <si>
    <t>Kieto kuro įrangos pajamos</t>
  </si>
  <si>
    <t>Įrangos montavimas ir priežiūra</t>
  </si>
  <si>
    <t>VISOS PAJAMOS</t>
  </si>
  <si>
    <t>Metalo profiliai ir skarda</t>
  </si>
  <si>
    <t>Komplektavimo detalės</t>
  </si>
  <si>
    <t>Pagalbinės medžiagos</t>
  </si>
  <si>
    <t>Darbo užmokestis</t>
  </si>
  <si>
    <t>VISOS IŠLAIDOS</t>
  </si>
  <si>
    <t>BALANSAS</t>
  </si>
  <si>
    <t>Duomenų teisingumo tikrinimas (Data Validation), sąrašų sudarymas;</t>
  </si>
  <si>
    <t>Laiko ir datos funkcijos, veiksmai su jomis;</t>
  </si>
  <si>
    <t>2. Darbas su šiandienos data</t>
  </si>
  <si>
    <t>Šiandienos data: TODAY() ir CTRL+;</t>
  </si>
  <si>
    <t>Laikas dabar NOW() ir CTRL+SHIFT+:</t>
  </si>
  <si>
    <t>Funkcijos TODAY() pritaikymas, naudojant sąlyginį formatavimą formulėmis</t>
  </si>
  <si>
    <t>Klientas</t>
  </si>
  <si>
    <t>Paslaugos data</t>
  </si>
  <si>
    <t>Atsiskaitymo data</t>
  </si>
  <si>
    <t>Atsiskaitymas</t>
  </si>
  <si>
    <t>UAB "Miesto vandenys"</t>
  </si>
  <si>
    <t>Atsiskaitė</t>
  </si>
  <si>
    <t>UAB "Senieji kaimo stogai"</t>
  </si>
  <si>
    <t>UAB "Būk apsiavęs"</t>
  </si>
  <si>
    <t>Neatsiskaitė</t>
  </si>
  <si>
    <t>UAB "Miesto švara"</t>
  </si>
  <si>
    <t>UAB "Želdiniai"</t>
  </si>
  <si>
    <t>YEAR()</t>
  </si>
  <si>
    <t>HOUR()</t>
  </si>
  <si>
    <t>MONTH()</t>
  </si>
  <si>
    <t>MINUTE()</t>
  </si>
  <si>
    <t>DAY()</t>
  </si>
  <si>
    <t>SECOND()</t>
  </si>
  <si>
    <t>DATE()</t>
  </si>
  <si>
    <t>TIME()</t>
  </si>
  <si>
    <t>4. Datos elementų šablonai (TEXT())</t>
  </si>
  <si>
    <t>YYYY</t>
  </si>
  <si>
    <t>MMMM</t>
  </si>
  <si>
    <t>rugpjūtis</t>
  </si>
  <si>
    <t>DDDD</t>
  </si>
  <si>
    <t>pirmadienis</t>
  </si>
  <si>
    <t>YYY</t>
  </si>
  <si>
    <t>MMM</t>
  </si>
  <si>
    <t>rugp</t>
  </si>
  <si>
    <t>DDD</t>
  </si>
  <si>
    <t>pr</t>
  </si>
  <si>
    <t>YY</t>
  </si>
  <si>
    <t>MM</t>
  </si>
  <si>
    <t>08</t>
  </si>
  <si>
    <t>DD</t>
  </si>
  <si>
    <t>05</t>
  </si>
  <si>
    <t>Y</t>
  </si>
  <si>
    <t>M</t>
  </si>
  <si>
    <t>D</t>
  </si>
  <si>
    <t>DAYS()</t>
  </si>
  <si>
    <t>NETWORKDAYS(),   NETWORKDAYS.INTL()</t>
  </si>
  <si>
    <t xml:space="preserve">WORKDAY(), WORKDAY.INTL() </t>
  </si>
  <si>
    <t>WEEKDAY()</t>
  </si>
  <si>
    <t>Lietuvoje</t>
  </si>
  <si>
    <t>Amerikoje</t>
  </si>
  <si>
    <t>6. Savaitės dienos eilės numeris</t>
  </si>
  <si>
    <t>EOMONTH</t>
  </si>
  <si>
    <t>EDATE</t>
  </si>
  <si>
    <t>Sąlyginės (loginės) funkcijos (IF, AND, OR, SUMIF(S), COUNTIF(S), AVERAGEIF(S)), funkcija funkcijoje;</t>
  </si>
  <si>
    <t>3. Už kokią sumą "Pieno žvaigždės" pardavė produkcijos  ir kiek išrašyta sąskaitų (SUMIF, COUNTIF)</t>
  </si>
  <si>
    <t>Mokėti</t>
  </si>
  <si>
    <t>Nuolaida, Eur</t>
  </si>
  <si>
    <t>Nuolaida, %</t>
  </si>
  <si>
    <t>Tarpinė suma</t>
  </si>
  <si>
    <t>Vynogės</t>
  </si>
  <si>
    <t>Klaidų pranešimų reikšmės, klaidų taisymas;</t>
  </si>
  <si>
    <t>Kiekis</t>
  </si>
  <si>
    <t>Stalas</t>
  </si>
  <si>
    <t>Kėdė</t>
  </si>
  <si>
    <t>Rašiklis</t>
  </si>
  <si>
    <t>What-If Analysis įrankis (Scenario Mananger, Goal Seek, Data Tables);</t>
  </si>
  <si>
    <t>?</t>
  </si>
  <si>
    <t>Atlyginimas</t>
  </si>
  <si>
    <t>Priedas %</t>
  </si>
  <si>
    <t>Priedas eur.</t>
  </si>
  <si>
    <t>Marytė</t>
  </si>
  <si>
    <t>Onutė</t>
  </si>
  <si>
    <t>Pranas</t>
  </si>
  <si>
    <t>Donatas</t>
  </si>
  <si>
    <t>Akvilė</t>
  </si>
  <si>
    <t>Variantų lentelė</t>
  </si>
  <si>
    <t>Pajėgumai</t>
  </si>
  <si>
    <t>Medž. kainos</t>
  </si>
  <si>
    <t>per 21 d.d.</t>
  </si>
  <si>
    <t>eur</t>
  </si>
  <si>
    <t>Smulki tara</t>
  </si>
  <si>
    <t>Vid. dydžio tara</t>
  </si>
  <si>
    <t>Pardavimas</t>
  </si>
  <si>
    <t>Medžiagos</t>
  </si>
  <si>
    <t>Marža</t>
  </si>
  <si>
    <t>Stambi tara</t>
  </si>
  <si>
    <t>Paskolos sąlygos</t>
  </si>
  <si>
    <t>Paskola</t>
  </si>
  <si>
    <t>Mėn. skaičius</t>
  </si>
  <si>
    <t>Palūkanos</t>
  </si>
  <si>
    <t>Mėn. įmoka</t>
  </si>
  <si>
    <t>Suvestinės lentelės sudarymas (PivotTable);</t>
  </si>
  <si>
    <t>1. Dviejų suvestinių ir diagramos iš tų pačių duomenų sudarymas</t>
  </si>
  <si>
    <t>Šalis</t>
  </si>
  <si>
    <t>Kategorija</t>
  </si>
  <si>
    <t>Ispanija</t>
  </si>
  <si>
    <t>Vaisiai</t>
  </si>
  <si>
    <t>Uogos</t>
  </si>
  <si>
    <t>Lietuva</t>
  </si>
  <si>
    <t>Daržovės</t>
  </si>
  <si>
    <t>Agurkai</t>
  </si>
  <si>
    <t>Vyšnios</t>
  </si>
  <si>
    <t>Lenkija</t>
  </si>
  <si>
    <t>Porai</t>
  </si>
  <si>
    <t>Pomidorai</t>
  </si>
  <si>
    <t>Svogūnai</t>
  </si>
  <si>
    <t>Mandarinai</t>
  </si>
  <si>
    <t>Vardas Pavardė</t>
  </si>
  <si>
    <t>Gatvė</t>
  </si>
  <si>
    <t>Vietovė</t>
  </si>
  <si>
    <t>Akcijų skaičius</t>
  </si>
  <si>
    <t>Vienos akcijos pelnas</t>
  </si>
  <si>
    <t>Paskaičiuoti dividendai</t>
  </si>
  <si>
    <t>Banko sąskaita</t>
  </si>
  <si>
    <t>Vardenis1 Pavardenis1</t>
  </si>
  <si>
    <t>Žirnių g. 15-3</t>
  </si>
  <si>
    <t>Klaipėda</t>
  </si>
  <si>
    <t>LT23215895478</t>
  </si>
  <si>
    <t>Vardenis2 Pavardenis2</t>
  </si>
  <si>
    <t>Šaltinio g. 25</t>
  </si>
  <si>
    <t>Ramučių k., Biržų r.</t>
  </si>
  <si>
    <t>LT23280664121</t>
  </si>
  <si>
    <t>Vardenis3 Pavardenis3</t>
  </si>
  <si>
    <t>Putinų takas 5</t>
  </si>
  <si>
    <t>Kuršėnai, Šiaulių r.</t>
  </si>
  <si>
    <t>LT23364863357</t>
  </si>
  <si>
    <t>Vardenis4 Pavardenis4</t>
  </si>
  <si>
    <t>Vyšnių g. 12</t>
  </si>
  <si>
    <t>Pakruojis</t>
  </si>
  <si>
    <t>LT23474322365</t>
  </si>
  <si>
    <t>Vardenis5 Pavardenis5</t>
  </si>
  <si>
    <t>Mėnulio g. 32-4</t>
  </si>
  <si>
    <t>Vilnius</t>
  </si>
  <si>
    <t>LT23616619074</t>
  </si>
  <si>
    <t>Vardenis6 Pavardenis6</t>
  </si>
  <si>
    <t>Alyvų takas 20</t>
  </si>
  <si>
    <t>Kaunas</t>
  </si>
  <si>
    <t>LT23801604797</t>
  </si>
  <si>
    <t>Vardenis7 Pavardenis7</t>
  </si>
  <si>
    <t>Upės g. 18-6</t>
  </si>
  <si>
    <t>Biržai</t>
  </si>
  <si>
    <t>LT23104208636</t>
  </si>
  <si>
    <t>Vardenis8 Pavardenis8</t>
  </si>
  <si>
    <t>Krantinė g. 26</t>
  </si>
  <si>
    <t>Palanga</t>
  </si>
  <si>
    <t>LT23134712107</t>
  </si>
  <si>
    <t>Vardenis9 Pavardenis9</t>
  </si>
  <si>
    <t>Plento g. 35-26</t>
  </si>
  <si>
    <t>Tauragė</t>
  </si>
  <si>
    <t>LT23176125739</t>
  </si>
  <si>
    <t>Vardenis10 Pavardenis10</t>
  </si>
  <si>
    <t>Centrinė g. 5</t>
  </si>
  <si>
    <t>Jurbarkas</t>
  </si>
  <si>
    <t>LT23228946461</t>
  </si>
  <si>
    <t>Automatinis duomenų perkėlimas į MS Word aplinką (Maillings);</t>
  </si>
  <si>
    <r>
      <t xml:space="preserve">Atidarome WORD naują dokumentą. MAILINGS-&gt;START MAIL MERGE-&gt;STEP-BY-STEP MAIL MERGE WIZARD </t>
    </r>
    <r>
      <rPr>
        <sz val="11"/>
        <color theme="7" tint="-0.249977111117893"/>
        <rFont val="Calibri"/>
        <family val="2"/>
        <scheme val="minor"/>
      </rPr>
      <t>PAŠTAS-&gt;PRADĖTI LAIŠKŲ SULIEJIMĄ-&gt;IŠSAMUS LAIŠKŲ SULIEJIMO VEDIKLIS</t>
    </r>
    <r>
      <rPr>
        <sz val="11"/>
        <color theme="1"/>
        <rFont val="Calibri"/>
        <family val="2"/>
        <charset val="186"/>
        <scheme val="minor"/>
      </rPr>
      <t>.</t>
    </r>
  </si>
  <si>
    <r>
      <t xml:space="preserve">2. SELECT STARTING DOCUMENT -&gt; USE THE CURRENT DOCUMENT </t>
    </r>
    <r>
      <rPr>
        <sz val="11"/>
        <color theme="7" tint="-0.249977111117893"/>
        <rFont val="Calibri"/>
        <family val="2"/>
        <scheme val="minor"/>
      </rPr>
      <t>PASIRINKITE PRADŽIOS DOKUMENTĄ-&gt;NAUDOTI ŠĮ DOKUMENTĄ</t>
    </r>
    <r>
      <rPr>
        <sz val="11"/>
        <color theme="1"/>
        <rFont val="Calibri"/>
        <family val="2"/>
        <charset val="186"/>
        <scheme val="minor"/>
      </rPr>
      <t xml:space="preserve">. NEXT </t>
    </r>
    <r>
      <rPr>
        <sz val="11"/>
        <color theme="7" tint="-0.249977111117893"/>
        <rFont val="Calibri"/>
        <family val="2"/>
        <scheme val="minor"/>
      </rPr>
      <t>PASKESNIS.</t>
    </r>
  </si>
  <si>
    <r>
      <t xml:space="preserve">3. SELECT RECIPIENTS -&gt; USE AN EXISTING LIST </t>
    </r>
    <r>
      <rPr>
        <sz val="11"/>
        <color theme="7" tint="-0.249977111117893"/>
        <rFont val="Calibri"/>
        <family val="2"/>
        <scheme val="minor"/>
      </rPr>
      <t>ŽYMĖTI GAVĖJUS-&gt;NAUDOTI ESAMĄ SĄRAŠĄ</t>
    </r>
    <r>
      <rPr>
        <sz val="11"/>
        <color theme="1"/>
        <rFont val="Calibri"/>
        <family val="2"/>
        <charset val="186"/>
        <scheme val="minor"/>
      </rPr>
      <t xml:space="preserve">. Apačioje pasirenkame EXCEL failą ir nurodome lapą, kuriame yra sąrašas. NEXT </t>
    </r>
    <r>
      <rPr>
        <sz val="11"/>
        <color theme="7" tint="-0.249977111117893"/>
        <rFont val="Calibri"/>
        <family val="2"/>
        <scheme val="minor"/>
      </rPr>
      <t>PASKESNIS.</t>
    </r>
  </si>
  <si>
    <r>
      <t xml:space="preserve">4. WRITE YOUR LETTER </t>
    </r>
    <r>
      <rPr>
        <sz val="11"/>
        <color theme="7" tint="-0.249977111117893"/>
        <rFont val="Calibri"/>
        <family val="2"/>
        <scheme val="minor"/>
      </rPr>
      <t>RAŠYKITE LAIŠKĄ</t>
    </r>
    <r>
      <rPr>
        <sz val="11"/>
        <color theme="1"/>
        <rFont val="Calibri"/>
        <family val="2"/>
        <charset val="186"/>
        <scheme val="minor"/>
      </rPr>
      <t xml:space="preserve">,  parašote laišką su kodais, kuriuos reikės pakeisti į duomenis iš EXCEL. Pasirenkate MORE ITEMS </t>
    </r>
    <r>
      <rPr>
        <sz val="11"/>
        <color theme="7" tint="-0.249977111117893"/>
        <rFont val="Calibri"/>
        <family val="2"/>
        <scheme val="minor"/>
      </rPr>
      <t>DAUGIAU ELEMENTŲ</t>
    </r>
    <r>
      <rPr>
        <sz val="11"/>
        <color theme="1"/>
        <rFont val="Calibri"/>
        <family val="2"/>
        <charset val="186"/>
        <scheme val="minor"/>
      </rPr>
      <t xml:space="preserve"> ir laiške pakeičiate kodus į EXCEL stulpelių pavadinimus (INSERT </t>
    </r>
    <r>
      <rPr>
        <sz val="11"/>
        <color theme="7" tint="-0.249977111117893"/>
        <rFont val="Calibri"/>
        <family val="2"/>
        <scheme val="minor"/>
      </rPr>
      <t>ĮTERPIMAS</t>
    </r>
    <r>
      <rPr>
        <sz val="11"/>
        <color theme="1"/>
        <rFont val="Calibri"/>
        <family val="2"/>
        <charset val="186"/>
        <scheme val="minor"/>
      </rPr>
      <t xml:space="preserve">). NEXT </t>
    </r>
    <r>
      <rPr>
        <sz val="11"/>
        <color theme="7" tint="-0.249977111117893"/>
        <rFont val="Calibri"/>
        <family val="2"/>
        <scheme val="minor"/>
      </rPr>
      <t>PASKESNIS.</t>
    </r>
  </si>
  <si>
    <r>
      <t xml:space="preserve">5. PREWIEW YOUR LETTERS </t>
    </r>
    <r>
      <rPr>
        <sz val="11"/>
        <color theme="7" tint="-0.249977111117893"/>
        <rFont val="Calibri"/>
        <family val="2"/>
        <scheme val="minor"/>
      </rPr>
      <t>PERŽIŪRĖKITE LAIŠKUS</t>
    </r>
    <r>
      <rPr>
        <sz val="11"/>
        <color theme="1"/>
        <rFont val="Calibri"/>
        <family val="2"/>
        <charset val="186"/>
        <scheme val="minor"/>
      </rPr>
      <t xml:space="preserve">. Čia galite peržiūrėti visus laiškus ir pakoreguoti gavėjų sąrašą. NEXT </t>
    </r>
    <r>
      <rPr>
        <sz val="11"/>
        <color theme="7" tint="-0.249977111117893"/>
        <rFont val="Calibri"/>
        <family val="2"/>
        <scheme val="minor"/>
      </rPr>
      <t>PASKESNIS.</t>
    </r>
  </si>
  <si>
    <r>
      <t xml:space="preserve">6. COMPLETE THE MERGE </t>
    </r>
    <r>
      <rPr>
        <sz val="11"/>
        <color theme="7" tint="-0.249977111117893"/>
        <rFont val="Calibri"/>
        <family val="2"/>
        <scheme val="minor"/>
      </rPr>
      <t>SUKOMPONUOTI</t>
    </r>
    <r>
      <rPr>
        <sz val="11"/>
        <color theme="1"/>
        <rFont val="Calibri"/>
        <family val="2"/>
        <charset val="186"/>
        <scheme val="minor"/>
      </rPr>
      <t>. Čia galite pakoreguoti laiškus ir juos išsaugoti ar atspausdinti.</t>
    </r>
  </si>
  <si>
    <t>Spausdinimas MS Excel aplinkoje.</t>
  </si>
  <si>
    <t>2018 metų pajamos/išlaidos</t>
  </si>
  <si>
    <t>Sausis</t>
  </si>
  <si>
    <t>Vasaris</t>
  </si>
  <si>
    <t>Kovas</t>
  </si>
  <si>
    <t>Balandis</t>
  </si>
  <si>
    <t>Gegužė</t>
  </si>
  <si>
    <t>Birželis</t>
  </si>
  <si>
    <t>Liepa</t>
  </si>
  <si>
    <t>Rugpjūtis</t>
  </si>
  <si>
    <t>Rugsėjis</t>
  </si>
  <si>
    <t>Spalis</t>
  </si>
  <si>
    <t>Lapkritis</t>
  </si>
  <si>
    <t>Gruodis</t>
  </si>
  <si>
    <t>Bandymų rezultatų suvestinė</t>
  </si>
  <si>
    <t>Medžiagos sudėtis</t>
  </si>
  <si>
    <t>Bandymas 1</t>
  </si>
  <si>
    <t>Bandymas 2</t>
  </si>
  <si>
    <t>Bandymas 3</t>
  </si>
  <si>
    <t>Bandymas 4</t>
  </si>
  <si>
    <t>Bandymas 5</t>
  </si>
  <si>
    <r>
      <t xml:space="preserve">Temperatūra, </t>
    </r>
    <r>
      <rPr>
        <sz val="11"/>
        <color theme="1"/>
        <rFont val="Calibri"/>
        <family val="2"/>
      </rPr>
      <t>⁰</t>
    </r>
    <r>
      <rPr>
        <sz val="11"/>
        <color theme="1"/>
        <rFont val="Calibri"/>
        <family val="2"/>
        <charset val="186"/>
      </rPr>
      <t>C</t>
    </r>
  </si>
  <si>
    <t>Medžiaga A 5% , medžiaga B 95%</t>
  </si>
  <si>
    <t>Medžiaga A 6% , medžiaga B 94%</t>
  </si>
  <si>
    <t>Medžiaga A 7% , medžiaga B 93%</t>
  </si>
  <si>
    <t>Medžiaga A 8% , medžiaga B 92%</t>
  </si>
  <si>
    <t>Medžiaga A 9% , medžiaga B 91%</t>
  </si>
  <si>
    <t>Medžiaga A 10% , medžiaga B 90%</t>
  </si>
  <si>
    <t>Medžiaga A 11% , medžiaga B 89%</t>
  </si>
  <si>
    <t>Medžiaga A 12% , medžiaga B 88%</t>
  </si>
  <si>
    <t>Medžiaga A 13% , medžiaga B 87%</t>
  </si>
  <si>
    <t>Medžiaga A 14% , medžiaga B 86%</t>
  </si>
  <si>
    <t>Medžiaga A 15% , medžiaga B 85%</t>
  </si>
  <si>
    <t>Medžiaga A 16% , medžiaga B 84%</t>
  </si>
  <si>
    <t>Medžiaga A 17% , medžiaga B 83%</t>
  </si>
  <si>
    <t>Medžiaga A 18% , medžiaga B 82%</t>
  </si>
  <si>
    <t>Medžiaga A 19% , medžiaga B 81%</t>
  </si>
  <si>
    <t>Medžiaga A 20% , medžiaga B 80%</t>
  </si>
  <si>
    <t>Medžiaga A 21% , medžiaga B 79%</t>
  </si>
  <si>
    <t>Medžiaga A 22% , medžiaga B 78%</t>
  </si>
  <si>
    <t>Medžiaga A 23% , medžiaga B 77%</t>
  </si>
  <si>
    <t>Medžiaga A 24% , medžiaga B 76%</t>
  </si>
  <si>
    <t>Medžiaga A 25% , medžiaga B 75%</t>
  </si>
  <si>
    <t>Medžiaga A 26% , medžiaga B 74%</t>
  </si>
  <si>
    <t>Medžiaga A 27% , medžiaga B 73%</t>
  </si>
  <si>
    <t>Medžiaga A 28% , medžiaga B 72%</t>
  </si>
  <si>
    <t>Medžiaga A 29% , medžiaga B 71%</t>
  </si>
  <si>
    <t>Medžiaga A 30% , medžiaga B 70%</t>
  </si>
  <si>
    <t>Medžiaga A 31% , medžiaga B 69%</t>
  </si>
  <si>
    <t>Medžiaga A 32% , medžiaga B 68%</t>
  </si>
  <si>
    <t>Medžiaga A 33% , medžiaga B 67%</t>
  </si>
  <si>
    <t>Medžiaga A 34% , medžiaga B 66%</t>
  </si>
  <si>
    <t>Medžiaga A 35% , medžiaga B 65%</t>
  </si>
  <si>
    <t>Medžiaga A 36% , medžiaga B 64%</t>
  </si>
  <si>
    <t>Medžiaga A 37% , medžiaga B 63%</t>
  </si>
  <si>
    <t>Medžiaga A 38% , medžiaga B 62%</t>
  </si>
  <si>
    <t>Medžiaga A 39% , medžiaga B 61%</t>
  </si>
  <si>
    <t>Medžiaga A 40% , medžiaga B 60%</t>
  </si>
  <si>
    <t>Medžiaga A 41% , medžiaga B 59%</t>
  </si>
  <si>
    <t>Medžiaga A 42% , medžiaga B 58%</t>
  </si>
  <si>
    <t>Medžiaga A 43% , medžiaga B 57%</t>
  </si>
  <si>
    <t>Medžiaga A 44% , medžiaga B 56%</t>
  </si>
  <si>
    <t>Medžiaga A 45% , medžiaga B 55%</t>
  </si>
  <si>
    <t>Medžiaga A 46% , medžiaga B 54%</t>
  </si>
  <si>
    <t>Medžiaga A 47% , medžiaga B 53%</t>
  </si>
  <si>
    <t>Medžiaga A 48% , medžiaga B 52%</t>
  </si>
  <si>
    <t>Medžiaga A 49% , medžiaga B 51%</t>
  </si>
  <si>
    <t>Medžiaga A 50% , medžiaga B 50%</t>
  </si>
  <si>
    <t>Medžiaga A 51% , medžiaga B 49%</t>
  </si>
  <si>
    <t>Medžiaga A 52% , medžiaga B 48%</t>
  </si>
  <si>
    <t>Medžiaga A 53% , medžiaga B 47%</t>
  </si>
  <si>
    <t>Medžiaga A 54% , medžiaga B 46%</t>
  </si>
  <si>
    <t>Medžiaga A 55% , medžiaga B 45%</t>
  </si>
  <si>
    <t>Medžiaga A 56% , medžiaga B 44%</t>
  </si>
  <si>
    <t>Medžiaga A 57% , medžiaga B 43%</t>
  </si>
  <si>
    <t>Medžiaga A 58% , medžiaga B 42%</t>
  </si>
  <si>
    <t>Medžiaga A 59% , medžiaga B 41%</t>
  </si>
  <si>
    <t>Medžiaga A 60% , medžiaga B 40%</t>
  </si>
  <si>
    <t>Medžiaga A 61% , medžiaga B 39%</t>
  </si>
  <si>
    <t>Medžiaga A 62% , medžiaga B 38%</t>
  </si>
  <si>
    <t>Medžiaga A 63% , medžiaga B 37%</t>
  </si>
  <si>
    <t>Medžiaga A 64% , medžiaga B 36%</t>
  </si>
  <si>
    <t>Medžiaga A 65% , medžiaga B 35%</t>
  </si>
  <si>
    <t>Medžiaga A 66% , medžiaga B 34%</t>
  </si>
  <si>
    <t>Medžiaga A 67% , medžiaga B 33%</t>
  </si>
  <si>
    <t>Medžiaga A 68% , medžiaga B 32%</t>
  </si>
  <si>
    <t>Medžiaga A 69% , medžiaga B 31%</t>
  </si>
  <si>
    <t>Medžiaga A 70% , medžiaga B 30%</t>
  </si>
  <si>
    <t>Medžiaga A 71% , medžiaga B 29%</t>
  </si>
  <si>
    <t>Medžiaga A 72% , medžiaga B 28%</t>
  </si>
  <si>
    <t>Medžiaga A 73% , medžiaga B 27%</t>
  </si>
  <si>
    <t>Medžiaga A 74% , medžiaga B 26%</t>
  </si>
  <si>
    <t>Medžiaga A 75% , medžiaga B 25%</t>
  </si>
  <si>
    <t>Medžiaga A 76% , medžiaga B 24%</t>
  </si>
  <si>
    <t>Medžiaga A 77% , medžiaga B 23%</t>
  </si>
  <si>
    <t>Medžiaga A 78% , medžiaga B 22%</t>
  </si>
  <si>
    <t>Medžiaga A 79% , medžiaga B 21%</t>
  </si>
  <si>
    <t>Medžiaga A 80% , medžiaga B 20%</t>
  </si>
  <si>
    <t>Medžiaga A 81% , medžiaga B 19%</t>
  </si>
  <si>
    <t>Medžiaga A 82% , medžiaga B 18%</t>
  </si>
  <si>
    <t>Medžiaga A 83% , medžiaga B 17%</t>
  </si>
  <si>
    <t>Medžiaga A 84% , medžiaga B 16%</t>
  </si>
  <si>
    <t>Medžiaga A 85% , medžiaga B 15%</t>
  </si>
  <si>
    <t>Medžiaga A 86% , medžiaga B 14%</t>
  </si>
  <si>
    <t>Medžiaga A 87% , medžiaga B 13%</t>
  </si>
  <si>
    <t>Medžiaga A 88% , medžiaga B 12%</t>
  </si>
  <si>
    <t>Medžiaga A 89% , medžiaga B 11%</t>
  </si>
  <si>
    <t>Medžiaga A 90% , medžiaga B 10%</t>
  </si>
  <si>
    <t>Medžiaga A 91% , medžiaga B 9%</t>
  </si>
  <si>
    <t>Medžiaga A 92% , medžiaga B 8%</t>
  </si>
  <si>
    <t>Medžiaga A 93% , medžiaga B 7%</t>
  </si>
  <si>
    <t>Medžiaga A 94% , medžiaga B 6%</t>
  </si>
  <si>
    <t>Medžiaga A 95% , medžiaga B 5%</t>
  </si>
  <si>
    <t>FINANSINIO LIZINGO SKAIČIUOKLĖ</t>
  </si>
  <si>
    <t>Turtas</t>
  </si>
  <si>
    <t>Turto pirkimo kaina</t>
  </si>
  <si>
    <t>EUR</t>
  </si>
  <si>
    <t>Turto tipas</t>
  </si>
  <si>
    <t>Nekomercinis</t>
  </si>
  <si>
    <t>Nuosavų lėšų dalis</t>
  </si>
  <si>
    <t>Finansuojama dalis</t>
  </si>
  <si>
    <t>Nuosavos lėšos</t>
  </si>
  <si>
    <t>Finansuojama suma</t>
  </si>
  <si>
    <t>Lizingo terminas</t>
  </si>
  <si>
    <t>mėn.</t>
  </si>
  <si>
    <t>Likutinė vertė</t>
  </si>
  <si>
    <t>Likutinė suma</t>
  </si>
  <si>
    <t>Palūkanų norma</t>
  </si>
  <si>
    <t>Administracinio mokesčio dalis</t>
  </si>
  <si>
    <t xml:space="preserve">    Administracinis mokestis</t>
  </si>
  <si>
    <t>Anuitetinė mėn. įmoka:</t>
  </si>
  <si>
    <t>Įmokos eilės nr.</t>
  </si>
  <si>
    <t>Mokėjimo data</t>
  </si>
  <si>
    <t>Neapmokėta bendra lizingo suma, EUR</t>
  </si>
  <si>
    <t>Grąžinama bendros lizingo sumos dalis, EUR</t>
  </si>
  <si>
    <t>Palūkanos, EUR</t>
  </si>
  <si>
    <t>IŠ VISO, EUR</t>
  </si>
  <si>
    <t>IŠ VISO:</t>
  </si>
  <si>
    <t>Diagramų, grafikų kūrimas ir redagavimas;</t>
  </si>
  <si>
    <t>Metai</t>
  </si>
  <si>
    <t>Reklamos pajamos</t>
  </si>
  <si>
    <t>Pekybos pajamos</t>
  </si>
  <si>
    <t>Populiariausi diagramų tipai:</t>
  </si>
  <si>
    <t xml:space="preserve"> 2006</t>
  </si>
  <si>
    <t xml:space="preserve"> 2007</t>
  </si>
  <si>
    <t>2. Juostinė (BAR). Individualių reikšmių palyginimui</t>
  </si>
  <si>
    <t xml:space="preserve"> 2008</t>
  </si>
  <si>
    <t>3. Plokštuminė (AREA). Pabrėžia nepertraukiamą dydžio kitimą laike</t>
  </si>
  <si>
    <t xml:space="preserve"> 2009</t>
  </si>
  <si>
    <t>4. Linijinė (LINE). Duomenų kitimo tendencijos lygiais intervalais</t>
  </si>
  <si>
    <t xml:space="preserve"> 2010</t>
  </si>
  <si>
    <t>5. Skritulinė (PIE). Parodo procentinį reikšmių pasiskirstymą, tam tikros vertės ir visumos santykį</t>
  </si>
  <si>
    <t xml:space="preserve"> 2011</t>
  </si>
  <si>
    <t xml:space="preserve"> 2012</t>
  </si>
  <si>
    <t>Pajamos</t>
  </si>
  <si>
    <t>Išlaidos</t>
  </si>
  <si>
    <t>Pelnas</t>
  </si>
  <si>
    <t>Prekyba</t>
  </si>
  <si>
    <t>Reklama</t>
  </si>
  <si>
    <t>Renginiai</t>
  </si>
  <si>
    <t>Leidyba</t>
  </si>
  <si>
    <t>Pardavimai</t>
  </si>
  <si>
    <r>
      <t xml:space="preserve">Diagramos tvarkymo įrankiai. DESIGN </t>
    </r>
    <r>
      <rPr>
        <sz val="11"/>
        <color theme="7" tint="-0.249977111117893"/>
        <rFont val="Calibri"/>
        <family val="2"/>
        <scheme val="minor"/>
      </rPr>
      <t>DIZIANAS</t>
    </r>
    <r>
      <rPr>
        <sz val="11"/>
        <color theme="1"/>
        <rFont val="Calibri"/>
        <family val="2"/>
        <scheme val="minor"/>
      </rPr>
      <t xml:space="preserve"> - diagramos tipui, maketui, dizainui, duomenų įtraukimui/šalinimui, diagramos vietos keitimo, diagramos tipo keitimui. FORMAT </t>
    </r>
    <r>
      <rPr>
        <sz val="11"/>
        <color theme="7" tint="-0.249977111117893"/>
        <rFont val="Calibri"/>
        <family val="2"/>
        <scheme val="minor"/>
      </rPr>
      <t>FORMATUOTI</t>
    </r>
    <r>
      <rPr>
        <sz val="11"/>
        <color theme="1"/>
        <rFont val="Calibri"/>
        <family val="2"/>
        <scheme val="minor"/>
      </rPr>
      <t xml:space="preserve"> - grafiniam apipavidalinimui</t>
    </r>
  </si>
  <si>
    <t>Diagramos tvarkymo įrankiai. DESIGN DIZIANAS - diagramos tipui, maketui, dizainui, duomenų įtraukimui/šalinimui, diagramos vietos keitimo, diagramos tipo keitimui. FORMAT FORMATUOTI - grafiniam apipavidalinimui</t>
  </si>
  <si>
    <r>
      <t>P</t>
    </r>
    <r>
      <rPr>
        <b/>
        <sz val="11"/>
        <color theme="1"/>
        <rFont val="Calibri"/>
        <family val="2"/>
        <scheme val="minor"/>
      </rPr>
      <t>apildoma duomenų ašis</t>
    </r>
    <r>
      <rPr>
        <sz val="11"/>
        <color theme="1"/>
        <rFont val="Calibri"/>
        <family val="2"/>
        <scheme val="minor"/>
      </rPr>
      <t xml:space="preserve">. Jei vienos duomenų sekos reikšmės yra keletą kartų didesnės už kitos, gauname vaizdą, kuriame vienos duomenų sekos kreivė yra labai arti X ašies ir jos kitimo beveik nematyti. Tokiu atveju šią seką reikėtų vaizduoti antroje Y ašyje. Renkamės COMBO </t>
    </r>
    <r>
      <rPr>
        <sz val="11"/>
        <color theme="7" tint="-0.249977111117893"/>
        <rFont val="Calibri"/>
        <family val="2"/>
        <scheme val="minor"/>
      </rPr>
      <t>KOMBINUOTOJI DIAGRAMA</t>
    </r>
    <r>
      <rPr>
        <sz val="11"/>
        <color theme="1"/>
        <rFont val="Calibri"/>
        <family val="2"/>
        <scheme val="minor"/>
      </rPr>
      <t xml:space="preserve"> diagramos tipą ir nurodome, kurią duomenų seką iškelti į antrąją Y ašį.</t>
    </r>
  </si>
  <si>
    <t>Papildoma duomenų ašis. Jei vienos duomenų sekos reikšmės yra keletą kartų didesnės už kitos, gauname vaizdą, kuriame vienos duomenų sekos kreivė yra labai arti X ašies ir jos kitimo beveik nematyti. Tokiu atveju šią seką reikėtų vaizduoti antroje Y ašyje. Renkamės COMBO KOMBINUOTOJI DIAGRAMA diagramos tipą ir nurodome, kurią duomenų seką iškelti į antrąją Y ašį.</t>
  </si>
  <si>
    <t>Pard. skaičius</t>
  </si>
  <si>
    <t>Lengviausiai tai atlikti 2 žingsniais:</t>
  </si>
  <si>
    <t>2. Pakeisti ją į kombinuotąją</t>
  </si>
  <si>
    <t>2. Pakeisti ją į kombinuotą</t>
  </si>
  <si>
    <t>Vaisiai ir uogos iš viso:</t>
  </si>
  <si>
    <t>Kiekis, kg</t>
  </si>
  <si>
    <t>Iš viso, kg</t>
  </si>
  <si>
    <t>Komisiniai, Eur</t>
  </si>
  <si>
    <t>Pasirinkite tokį sąlyginį kainos formatą, kuris paryškina kainas, didesnes kaip 100 Eur</t>
  </si>
  <si>
    <t>Papildykite formatavimo sąlygas su kainos, mažesnės kaip 150 Eur, paryškinimu</t>
  </si>
  <si>
    <t>Formatavimo ypatumai, jei formatavimo kriterijai persidengia</t>
  </si>
  <si>
    <t>Tarkime, šiandien 2019-06-01. Paryškinkite datas, kurioms sąskaitos jau turėjo būti apmokėtos</t>
  </si>
  <si>
    <t>Pakeiskite formatavimo sąlygas taip, kad būtų galima keisti formatavimo ribines reikšmes be formatavimo komandos perdarymo</t>
  </si>
  <si>
    <r>
      <t xml:space="preserve">Naudodami automatinio duomenų įvedimo įrankį nukopijuokite šiuos duomenis žemyn ir į dešinę. Atlikite tai su FILL (DOWN, RIGHT, ...) įrankiu (HOME-&gt;EDITING-&gt;FILL </t>
    </r>
    <r>
      <rPr>
        <sz val="11"/>
        <color theme="7" tint="-0.249977111117893"/>
        <rFont val="Calibri"/>
        <family val="2"/>
        <scheme val="minor"/>
      </rPr>
      <t>PAGRINDINIS-&gt;REDAGAVIMAS-&gt;UŽPILDYTI</t>
    </r>
    <r>
      <rPr>
        <sz val="11"/>
        <color theme="1"/>
        <rFont val="Calibri"/>
        <family val="2"/>
        <scheme val="minor"/>
      </rPr>
      <t xml:space="preserve">) </t>
    </r>
  </si>
  <si>
    <r>
      <t xml:space="preserve">Naudodamiesi SERIES </t>
    </r>
    <r>
      <rPr>
        <sz val="11"/>
        <color theme="7" tint="-0.249977111117893"/>
        <rFont val="Calibri"/>
        <family val="2"/>
        <scheme val="minor"/>
      </rPr>
      <t>SEKA</t>
    </r>
    <r>
      <rPr>
        <sz val="11"/>
        <color theme="1"/>
        <rFont val="Calibri"/>
        <family val="2"/>
        <charset val="186"/>
        <scheme val="minor"/>
      </rPr>
      <t xml:space="preserve"> įrankiu sudarykite datų seką žemyn, kurioje būtų kas antra mėnesio darbo diena</t>
    </r>
  </si>
  <si>
    <r>
      <t xml:space="preserve">5 užduoties lentelėje surūšiuokite naudodamiesi CUSTOM SORT </t>
    </r>
    <r>
      <rPr>
        <sz val="11"/>
        <color theme="7" tint="-0.249977111117893"/>
        <rFont val="Calibri"/>
        <family val="2"/>
        <scheme val="minor"/>
      </rPr>
      <t>PASIRINKTINIS RŪŠIAVIMAS</t>
    </r>
    <r>
      <rPr>
        <sz val="11"/>
        <color theme="1"/>
        <rFont val="Calibri"/>
        <family val="2"/>
        <charset val="186"/>
        <scheme val="minor"/>
      </rPr>
      <t xml:space="preserve"> įrankiu lentelės įrašus pagal pirkėją abėcėlės tvarka ir kiekius mažėjančia tvarka</t>
    </r>
  </si>
  <si>
    <r>
      <t xml:space="preserve">Naudodamiesi 5 užduoties Įrankiu SUBTOTAL </t>
    </r>
    <r>
      <rPr>
        <sz val="11"/>
        <color theme="7" tint="-0.249977111117893"/>
        <rFont val="Calibri"/>
        <family val="2"/>
        <scheme val="minor"/>
      </rPr>
      <t>TARPINĖ SUMA</t>
    </r>
    <r>
      <rPr>
        <sz val="11"/>
        <color theme="1"/>
        <rFont val="Calibri"/>
        <family val="2"/>
        <charset val="186"/>
        <scheme val="minor"/>
      </rPr>
      <t xml:space="preserve">  apskaičiuokite kiekvieno prekybos tinklo nupirktų daržovių kiekį</t>
    </r>
  </si>
  <si>
    <t>Lentelėje apačioje sudarykite filtrą, kuriuo naudodamiesi pamatytumėte visas 2018 m. sausio mėnesį "Rokiškio pieno" patiektas prekes.</t>
  </si>
  <si>
    <r>
      <t xml:space="preserve">Naudodami datos filtrus pakeiskite filtravimo kriterijų į bet kurių metų sausio mėnesius DATE FILTERS-&gt;ALL DATES IN THE PERIOD-&gt;JANUARY </t>
    </r>
    <r>
      <rPr>
        <sz val="11"/>
        <color theme="7" tint="-0.249977111117893"/>
        <rFont val="Calibri"/>
        <family val="2"/>
        <scheme val="minor"/>
      </rPr>
      <t>DATŲ FILTRAI-&gt;VISOS LAIKOTARPIO DATOS-&gt;SAUSIS</t>
    </r>
    <r>
      <rPr>
        <sz val="11"/>
        <color theme="1"/>
        <rFont val="Calibri"/>
        <family val="2"/>
        <charset val="186"/>
        <scheme val="minor"/>
      </rPr>
      <t>.</t>
    </r>
  </si>
  <si>
    <t xml:space="preserve">Naudodami funkciją SUBTOTAL gaukite matomų ekrane filtruotų duomenų skaičiavimus (SUM, MIN, MAX, AVERAGE, COUNT) kiekiams ir pinigų sumoms: </t>
  </si>
  <si>
    <t>Sparčiojo užpildymo būdu atkurkite trūkstamus el. pašto adresus bei sudarykite telefonų sąrašo stulpelį pagal pateiktus pavyzdžius</t>
  </si>
  <si>
    <r>
      <t xml:space="preserve">Naudodamiesi sparčiojo užpildymo FALSH FILL </t>
    </r>
    <r>
      <rPr>
        <sz val="11"/>
        <color theme="7" tint="-0.249977111117893"/>
        <rFont val="Calibri"/>
        <family val="2"/>
        <scheme val="minor"/>
      </rPr>
      <t xml:space="preserve">SPARTUSIS UŽPILDYMAS </t>
    </r>
    <r>
      <rPr>
        <sz val="11"/>
        <color theme="1"/>
        <rFont val="Calibri"/>
        <family val="2"/>
        <charset val="186"/>
        <scheme val="minor"/>
      </rPr>
      <t>įrankiu užpildykite tuščius langelius</t>
    </r>
  </si>
  <si>
    <r>
      <t xml:space="preserve">Naudodamiesi įrankiu TEXT TO COLLUMNS </t>
    </r>
    <r>
      <rPr>
        <sz val="11"/>
        <color theme="7" tint="-0.249977111117893"/>
        <rFont val="Calibri"/>
        <family val="2"/>
        <scheme val="minor"/>
      </rPr>
      <t xml:space="preserve">TEKSTĄ Į STULPELIUS </t>
    </r>
    <r>
      <rPr>
        <sz val="11"/>
        <color theme="1"/>
        <rFont val="Calibri"/>
        <family val="2"/>
        <charset val="186"/>
        <scheme val="minor"/>
      </rPr>
      <t>perkelkite į EXCEL formatą CSV duomenis</t>
    </r>
  </si>
  <si>
    <t>Elektros įrangos pajamos</t>
  </si>
  <si>
    <t>Įrangos pardavimas iš viso</t>
  </si>
  <si>
    <t>Elektros energijos sąnaudos</t>
  </si>
  <si>
    <r>
      <t xml:space="preserve">Naudodamiesi DATA VALIDATION </t>
    </r>
    <r>
      <rPr>
        <sz val="11"/>
        <color theme="7" tint="-0.249977111117893"/>
        <rFont val="Calibri"/>
        <family val="2"/>
        <scheme val="minor"/>
      </rPr>
      <t>DUOMENŲ TIKRINIMO</t>
    </r>
    <r>
      <rPr>
        <sz val="11"/>
        <color theme="1"/>
        <rFont val="Calibri"/>
        <family val="2"/>
        <charset val="186"/>
        <scheme val="minor"/>
      </rPr>
      <t xml:space="preserve"> įrankiu apribokite įvedimą geltoname langelyje tik skaičiams nuo 10 iki 25</t>
    </r>
  </si>
  <si>
    <r>
      <t xml:space="preserve">Naudodamiesi DATA VALIDATION </t>
    </r>
    <r>
      <rPr>
        <sz val="11"/>
        <color theme="7" tint="-0.249977111117893"/>
        <rFont val="Calibri"/>
        <family val="2"/>
        <scheme val="minor"/>
      </rPr>
      <t>DUOMENŲ TIKRINIMO</t>
    </r>
    <r>
      <rPr>
        <sz val="11"/>
        <color theme="1"/>
        <rFont val="Calibri"/>
        <family val="2"/>
        <charset val="186"/>
        <scheme val="minor"/>
      </rPr>
      <t xml:space="preserve"> įrankiu apribokite įvedimą geltoname langelyje tik tekstui nuo 5 iki 10 simbolių</t>
    </r>
  </si>
  <si>
    <r>
      <t xml:space="preserve">Naudodamiesi DATA VALIDATION </t>
    </r>
    <r>
      <rPr>
        <sz val="11"/>
        <color theme="7" tint="-0.249977111117893"/>
        <rFont val="Calibri"/>
        <family val="2"/>
        <scheme val="minor"/>
      </rPr>
      <t>DUOMENŲ TIKRINIMO</t>
    </r>
    <r>
      <rPr>
        <sz val="11"/>
        <color theme="1"/>
        <rFont val="Calibri"/>
        <family val="2"/>
        <charset val="186"/>
        <scheme val="minor"/>
      </rPr>
      <t xml:space="preserve"> įrankiu pažymėkite reikšmes &lt;40</t>
    </r>
  </si>
  <si>
    <r>
      <t xml:space="preserve">Naudodamiesi DATA VALIDATION </t>
    </r>
    <r>
      <rPr>
        <sz val="11"/>
        <color theme="7" tint="-0.249977111117893"/>
        <rFont val="Calibri"/>
        <family val="2"/>
        <scheme val="minor"/>
      </rPr>
      <t>DUOMENŲ TIKRINIMO</t>
    </r>
    <r>
      <rPr>
        <sz val="11"/>
        <color theme="1"/>
        <rFont val="Calibri"/>
        <family val="2"/>
        <charset val="186"/>
        <scheme val="minor"/>
      </rPr>
      <t xml:space="preserve"> įrankiu sudarykite unikalų pasirinkties sąrašą</t>
    </r>
  </si>
  <si>
    <t>1. Data – tai skaičius datos formatu</t>
  </si>
  <si>
    <t>3. Datos suskaldymas/sujungimas</t>
  </si>
  <si>
    <t xml:space="preserve">Susirinkimas skelbiamas </t>
  </si>
  <si>
    <t>5. Dienų skaičiaus skaičiavimai</t>
  </si>
  <si>
    <t>Apskaičiuoti dienų skaičių tarp 2-jų datų</t>
  </si>
  <si>
    <t>Apskaičiuoti darbo dienų skaičių tarp 2-jų datų</t>
  </si>
  <si>
    <t>Apskaičiuoti datą po tam tikro  darbo dienų skaičiaus</t>
  </si>
  <si>
    <t>Tinka paskolos grąžinimui apskaičiuoti</t>
  </si>
  <si>
    <t>1. Skaičiui geltoname langelyje pritaikykime funkciją IF, kad matytume, ar tas skaičius yra &lt; 5, ar &gt;= 5. Po to antrąjį teiginį išplėskite  į dar du galimus teiginius: &gt;5, =5.</t>
  </si>
  <si>
    <t>2. Panaudodami logines funkcijas IF, AND, OR parašykite formulę, kuria apskaičiuotumėte nuolaidos dydį. Nuolaidos taikymo sąlygos:</t>
  </si>
  <si>
    <t>1. Jei pirkėjas nuperka už 10 eur ir daugiau, taikoma 5% nuolaida</t>
  </si>
  <si>
    <t>2. Jei pirkėjas turi nuolaidų kortelę, taikoma 5% nuolaida</t>
  </si>
  <si>
    <t>3. Jei pirkėjas turi nuolaidų kortelę ir nuperka už 10 eur ir daugiau, taikoma 8% nuolaida</t>
  </si>
  <si>
    <t>4. Už kokią sumą "Pieno žvaigždės" pardavė produkcijos  ir kiek išrašyta sąskaitų nuo sausio 20 d. (SUMIFS, COUNIFS)</t>
  </si>
  <si>
    <t>Naudodami funkciją VLOOKUP raskite vynuogių kiekį ir kainą. Po to - bananų.</t>
  </si>
  <si>
    <t>Naudodami funkciją VLOOKUP,  pritaikę apytikrę paiešką, nustatykite pirkinio nuolaidos dydį</t>
  </si>
  <si>
    <t>Iš viso</t>
  </si>
  <si>
    <r>
      <t>Norėdami sudaryti diagramą, lentelėje pasižymime duomenų sritis, kurias norėsime matyti diagramoje, ir pasirenkame diagramos tipą (INSERT-&gt;CHARTS-&gt;RECOMENDED CHARTS arba ALL CHARTS</t>
    </r>
    <r>
      <rPr>
        <sz val="11"/>
        <color theme="7" tint="-0.249977111117893"/>
        <rFont val="Calibri"/>
        <family val="2"/>
        <scheme val="minor"/>
      </rPr>
      <t xml:space="preserve"> ĮTERPIMAS-&gt;DIAGRAMOS-&gt;REKOMENDUOJAMOS DIAGRAMOS arba VISOS DIAGRAMOS</t>
    </r>
    <r>
      <rPr>
        <sz val="11"/>
        <color theme="1"/>
        <rFont val="Calibri"/>
        <family val="2"/>
        <scheme val="minor"/>
      </rPr>
      <t xml:space="preserve">).  </t>
    </r>
  </si>
  <si>
    <t xml:space="preserve">Norėdami sudaryti diagramą, lentelėje pasižymime duomenų sritis, kurias norėsime matyti diagramoje, ir pasirenkame diagramos tipą (INSERT-&gt;CHARTS-&gt;RECOMENDED CHARTS arba ALL CHARTS ĮTERPIMAS-&gt;DIAGRAMOS-&gt;REKOMENDUOJAMOS DIAGRAMOS arba VISOS DIAGRAMOS).  </t>
  </si>
  <si>
    <r>
      <t xml:space="preserve">Jei X ašies reikšmės bus skaičiai, o ne tekstas ar datos, duomenys diagramoje gali būti pavaizduoti ne taip, kaip tikitės, t. y. X reikšmės pavaizduotos Y ašyje. Norėdami nurodyti, kur turi būti pavaizduotos reikšmės, pažymėję diagramą, įrankių juostoje CHART TOOLS-&gt;DESIGN-&gt;SELECT DATA </t>
    </r>
    <r>
      <rPr>
        <sz val="11"/>
        <color theme="7" tint="-0.249977111117893"/>
        <rFont val="Calibri"/>
        <family val="2"/>
        <scheme val="minor"/>
      </rPr>
      <t>DIAGRAMOS ĮRANKIAI-&gt;PASIRINKTI DUOMENIS-&gt;PASIRINKTI DUOMENIS</t>
    </r>
    <r>
      <rPr>
        <sz val="11"/>
        <color theme="1"/>
        <rFont val="Calibri"/>
        <family val="2"/>
        <scheme val="minor"/>
      </rPr>
      <t xml:space="preserve">.  Pasirodo SELECT DATA SOURCE </t>
    </r>
    <r>
      <rPr>
        <sz val="11"/>
        <color theme="7" tint="-0.249977111117893"/>
        <rFont val="Calibri"/>
        <family val="2"/>
        <scheme val="minor"/>
      </rPr>
      <t xml:space="preserve">DUOMENŲ ŠALTINIO PASIRINKIMAS </t>
    </r>
    <r>
      <rPr>
        <sz val="11"/>
        <color theme="1"/>
        <rFont val="Calibri"/>
        <family val="2"/>
        <scheme val="minor"/>
      </rPr>
      <t>dialogo langas, kuriame galime pridėti arba išimti duomenų sekas Y ašyje ir pakeisti horizontalios X ašies etiketes.</t>
    </r>
  </si>
  <si>
    <t>1. Pasidaryti paprastą (tarkim, linijinę) diagramą.</t>
  </si>
  <si>
    <t>Jei X ašies reikšmės bus skaičiai, o ne tekstas ar datos, duomenys diagramoje gali būti pavaizduoti ne taip, kaip tikitės, t. y. X reikšmės pavaizduotos Y ašyje. Norėdami nurodyti, kur turi būti pavaizduotos reikšmės, pažymėję diagramą, įrankių juostoje CHART TOOLS-&gt;DESIGN-&gt;SELECT DATA DIAGRAMOS ĮRANKIAI-&gt;PASIRINKTI DUOMENIS-&gt;PASIRINKTI DUOMENIS.  Pasirodo SELECT DATA SOURCE DUOMENŲ ŠALTINIO PASIRINKIMAS dialogo langas, kuriame galime pridėti arba išimti duomenų sekas Y ašyje ir pakeisti horizontalios X ašies etiketes.</t>
  </si>
  <si>
    <t>1. Naudodami Goal Seek įrankį išspręskite priemokos skaičiavimo uždavinį</t>
  </si>
  <si>
    <t>Vadovas nusprendė skirti priemoką savo darbuotojams. Tam paskyrė 5000 Eur. Jo sprendimas yra toks: visi darbuotojai turi gauti vienodą priedą procentais nuo savo atlygio.</t>
  </si>
  <si>
    <t>2. Naudodamiesi variantų lentele ir  Scenario Manager įrankiu, sudarykite medienos cecho gamybos plano scenarijus</t>
  </si>
  <si>
    <t>Iš viso:</t>
  </si>
  <si>
    <t>3. Naudodami Data Table įrankį sudarykite banko paskolos variantų lentelę įvairiems paskolos dydžiams bei paskolos trukmei</t>
  </si>
  <si>
    <t>Įvadas į makrokomandas;</t>
  </si>
  <si>
    <r>
      <t xml:space="preserve">Makrokomanda yra miniprograma, kurią pasidarote EXCEL skaičiuoklėje. Tai EXCEL komandų rinkinys, atliekamas užrašyta tvarka. Norint sukurti makrokomandą, reikia įsikelti į įrankių juostą kortelę DEVELOPER (FILE-&gt;OPTIONS-&gt;CUSTOMIZE RIBON-&gt;DEVELOPER TAB </t>
    </r>
    <r>
      <rPr>
        <sz val="11"/>
        <color theme="7" tint="-0.249977111117893"/>
        <rFont val="Calibri"/>
        <family val="2"/>
        <scheme val="minor"/>
      </rPr>
      <t>FAILAS-&gt;PARINKTYS-&gt;JUOSTELĖS TINKINIMAS-&gt;PROGRAMŲ KŪRĖJAS</t>
    </r>
    <r>
      <rPr>
        <sz val="11"/>
        <color theme="1"/>
        <rFont val="Calibri"/>
        <family val="2"/>
        <charset val="186"/>
        <scheme val="minor"/>
      </rPr>
      <t xml:space="preserve">). Norint sukurti makrokomandą reikės įjungti įrašymą (RECORD MACRO </t>
    </r>
    <r>
      <rPr>
        <sz val="11"/>
        <color theme="7" tint="-0.249977111117893"/>
        <rFont val="Calibri"/>
        <family val="2"/>
        <scheme val="minor"/>
      </rPr>
      <t>ĮRAŠYTI MAKROKOMANDĄ</t>
    </r>
    <r>
      <rPr>
        <sz val="11"/>
        <color theme="1"/>
        <rFont val="Calibri"/>
        <family val="2"/>
        <charset val="186"/>
        <scheme val="minor"/>
      </rPr>
      <t xml:space="preserve">), atlikti EXCEL lentelėje keletą veiksmų ir sustabdyti įrašymą (STOP RECORDING </t>
    </r>
    <r>
      <rPr>
        <sz val="11"/>
        <color theme="7" tint="-0.249977111117893"/>
        <rFont val="Calibri"/>
        <family val="2"/>
        <scheme val="minor"/>
      </rPr>
      <t>BAIGTI ĮRAŠYMĄ</t>
    </r>
    <r>
      <rPr>
        <sz val="11"/>
        <color theme="1"/>
        <rFont val="Calibri"/>
        <family val="2"/>
        <charset val="186"/>
        <scheme val="minor"/>
      </rPr>
      <t xml:space="preserve">). </t>
    </r>
  </si>
  <si>
    <r>
      <rPr>
        <b/>
        <sz val="11"/>
        <color theme="1"/>
        <rFont val="Calibri"/>
        <family val="2"/>
        <scheme val="minor"/>
      </rPr>
      <t>1 užduotis</t>
    </r>
    <r>
      <rPr>
        <sz val="11"/>
        <color theme="1"/>
        <rFont val="Calibri"/>
        <family val="2"/>
        <charset val="186"/>
        <scheme val="minor"/>
      </rPr>
      <t xml:space="preserve">: pažymėkite langelį A1, įjunkite įrašymą, įrašykite makrokomandos pavadinimą </t>
    </r>
    <r>
      <rPr>
        <b/>
        <sz val="11"/>
        <color theme="1"/>
        <rFont val="Calibri"/>
        <family val="2"/>
        <scheme val="minor"/>
      </rPr>
      <t>rasykdienas</t>
    </r>
    <r>
      <rPr>
        <sz val="11"/>
        <color theme="1"/>
        <rFont val="Calibri"/>
        <family val="2"/>
        <charset val="186"/>
        <scheme val="minor"/>
      </rPr>
      <t xml:space="preserve">, pažymėkite langelį C10, įrašykite jame </t>
    </r>
    <r>
      <rPr>
        <b/>
        <sz val="11"/>
        <color theme="1"/>
        <rFont val="Calibri"/>
        <family val="2"/>
        <scheme val="minor"/>
      </rPr>
      <t>Pirmadienis</t>
    </r>
    <r>
      <rPr>
        <sz val="11"/>
        <color theme="1"/>
        <rFont val="Calibri"/>
        <family val="2"/>
        <charset val="186"/>
        <scheme val="minor"/>
      </rPr>
      <t>, patraukite į dešinę pusę per 7 langelius (iki Sekmadienio), sustabdykite įrašymą.</t>
    </r>
  </si>
  <si>
    <r>
      <rPr>
        <b/>
        <sz val="11"/>
        <color theme="1"/>
        <rFont val="Calibri"/>
        <family val="2"/>
        <scheme val="minor"/>
      </rPr>
      <t>2 užduotis</t>
    </r>
    <r>
      <rPr>
        <sz val="11"/>
        <color theme="1"/>
        <rFont val="Calibri"/>
        <family val="2"/>
        <charset val="186"/>
        <scheme val="minor"/>
      </rPr>
      <t xml:space="preserve">: įjunkite USE RELATYVE REFERENCES </t>
    </r>
    <r>
      <rPr>
        <sz val="11"/>
        <color theme="7" tint="-0.249977111117893"/>
        <rFont val="Calibri"/>
        <family val="2"/>
        <scheme val="minor"/>
      </rPr>
      <t>NAUDOTI SUSIJUSIAS NUORODAS</t>
    </r>
    <r>
      <rPr>
        <sz val="11"/>
        <color theme="1"/>
        <rFont val="Calibri"/>
        <family val="2"/>
        <charset val="186"/>
        <scheme val="minor"/>
      </rPr>
      <t xml:space="preserve">, pažymėkite langelį C16, įjunkite įrašymą, įrašykite pavadinimą </t>
    </r>
    <r>
      <rPr>
        <b/>
        <sz val="11"/>
        <color theme="1"/>
        <rFont val="Calibri"/>
        <family val="2"/>
        <scheme val="minor"/>
      </rPr>
      <t>rasykdienasRELATYVE</t>
    </r>
    <r>
      <rPr>
        <sz val="11"/>
        <color theme="1"/>
        <rFont val="Calibri"/>
        <family val="2"/>
        <charset val="186"/>
        <scheme val="minor"/>
      </rPr>
      <t xml:space="preserve">, įrašykite langelyje C16 </t>
    </r>
    <r>
      <rPr>
        <b/>
        <sz val="11"/>
        <color theme="1"/>
        <rFont val="Calibri"/>
        <family val="2"/>
        <scheme val="minor"/>
      </rPr>
      <t>Pirmadienis</t>
    </r>
    <r>
      <rPr>
        <sz val="11"/>
        <color theme="1"/>
        <rFont val="Calibri"/>
        <family val="2"/>
        <charset val="186"/>
        <scheme val="minor"/>
      </rPr>
      <t>, patraukite į dešinę pusę per 7 langelius (iki Sekmadienio), sustabdykite įrašymą.</t>
    </r>
  </si>
  <si>
    <r>
      <t xml:space="preserve">Šiuo MS WORD įrankiu MAILINGS </t>
    </r>
    <r>
      <rPr>
        <sz val="11"/>
        <color theme="7" tint="-0.249977111117893"/>
        <rFont val="Calibri"/>
        <family val="2"/>
        <scheme val="minor"/>
      </rPr>
      <t>PAŠTAS</t>
    </r>
    <r>
      <rPr>
        <sz val="11"/>
        <color theme="1"/>
        <rFont val="Calibri"/>
        <family val="2"/>
        <charset val="186"/>
        <scheme val="minor"/>
      </rPr>
      <t xml:space="preserve"> galime palengvinti savo darbą. Juo galima atlikti laiškų, vokų bei adresų lipdukų, elektroninio pašto pranešimų paruošimą pagal šabloną dideliais kiekiais, panaudojant EXCEL lentelėje esamus gavėjo duomenis (pvz., vardas, pavardė, gyvenamoji vieta (adresas), el.pašto adresas ir pan.). </t>
    </r>
  </si>
  <si>
    <t>Laiško atveju MS WORD aplinkoje paruošiame laiško šabloną, pažymėdami vietas, kuriose informacija keisis priklausomai nuo laiško adresato (vardas, adresas ...). Be to, EXCEL lentelėje paruošiame informaciją apie laiško gavėjus bei kitą reikalingą su gavėjais susietą turinį laiškui. Šie duomenys EXCEL LENTELĖJE būtinai turi prasidėti nuo 1-os darbalapio eilutės, kurioje surašyti duomenų stulpelių pavadinimai. Pvz.:</t>
  </si>
  <si>
    <t>Reikia įsitikinti, kad EXCEL lentelėje duomenys prasideda nuo pirmos eilutės ir eina stulpeliais žemyn.</t>
  </si>
  <si>
    <r>
      <t xml:space="preserve">1. SELECT DOCUMENT TYPE </t>
    </r>
    <r>
      <rPr>
        <sz val="11"/>
        <color theme="7" tint="-0.249977111117893"/>
        <rFont val="Calibri"/>
        <family val="2"/>
        <scheme val="minor"/>
      </rPr>
      <t>PASIRINKITE DOKUMENTO TIPĄ.</t>
    </r>
    <r>
      <rPr>
        <sz val="11"/>
        <color theme="1"/>
        <rFont val="Calibri"/>
        <family val="2"/>
        <charset val="186"/>
        <scheme val="minor"/>
      </rPr>
      <t xml:space="preserve"> Naujame dialogo lange pasirinkite LETTERS </t>
    </r>
    <r>
      <rPr>
        <sz val="11"/>
        <color theme="7" tint="-0.249977111117893"/>
        <rFont val="Calibri"/>
        <family val="2"/>
        <scheme val="minor"/>
      </rPr>
      <t>LAIŠKAI</t>
    </r>
    <r>
      <rPr>
        <sz val="11"/>
        <color theme="1"/>
        <rFont val="Calibri"/>
        <family val="2"/>
        <charset val="186"/>
        <scheme val="minor"/>
      </rPr>
      <t xml:space="preserve">. NEXT </t>
    </r>
    <r>
      <rPr>
        <sz val="11"/>
        <color theme="7" tint="-0.249977111117893"/>
        <rFont val="Calibri"/>
        <family val="2"/>
        <scheme val="minor"/>
      </rPr>
      <t>PASKESNIS.</t>
    </r>
  </si>
  <si>
    <t>Reikia paruošti apsaugotą darbaknygę, kurioje vartotojas matytų tik vieną darbalapį, o jame galėtų keisti duomenis tik nustatytuose langeliuose. Kitas vartotojas (žinantis slaptažodį) galėtų matyti ir naudoti savo darbe visus (t. y. ir paslėptus) darbalapius.</t>
  </si>
  <si>
    <t>Reikia paruošti šį dokumentą spausdinti taip, kad jis estetiškai ir informatyviai atrodytų viename lape</t>
  </si>
  <si>
    <t>Reikia prijungti šios lentelės fragmentą prie 16B_UZD lape esančio paruošto spausdinti dokumento.</t>
  </si>
  <si>
    <r>
      <t xml:space="preserve">Naudodami CUSTOM FILTER </t>
    </r>
    <r>
      <rPr>
        <sz val="11"/>
        <color theme="7" tint="-0.249977111117893"/>
        <rFont val="Calibri"/>
        <family val="2"/>
        <scheme val="minor"/>
      </rPr>
      <t>PASIRINKTINĮ FILTRĄ</t>
    </r>
    <r>
      <rPr>
        <sz val="11"/>
        <color theme="1"/>
        <rFont val="Calibri"/>
        <family val="2"/>
        <charset val="186"/>
        <scheme val="minor"/>
      </rPr>
      <t xml:space="preserve"> nustatytus filtravimo kriterijus papildykite dar vienu: rodyti tik tuos duomenis, kuriuose kiekis yra &gt;=20 ir &lt;=30.  </t>
    </r>
  </si>
  <si>
    <t>Jei FLASH FILL šioje EXCEL versijoje napalaikoma, naudokite formules</t>
  </si>
  <si>
    <t>Lengviausia tai atlikti 2 žingsniais:</t>
  </si>
  <si>
    <t>1. Stulpelinė (COLUMN). Duomenų kitimui bėgant laikui (pvz., prekybos apimtys ketvirčiais)</t>
  </si>
  <si>
    <t>Pard. Kainos</t>
  </si>
  <si>
    <r>
      <rPr>
        <b/>
        <sz val="11"/>
        <color theme="1"/>
        <rFont val="Calibri"/>
        <family val="2"/>
        <scheme val="minor"/>
      </rPr>
      <t>3 užduotis</t>
    </r>
    <r>
      <rPr>
        <sz val="11"/>
        <color theme="1"/>
        <rFont val="Calibri"/>
        <family val="2"/>
        <charset val="186"/>
        <scheme val="minor"/>
      </rPr>
      <t>: įsivaizduokime, kad konvejerio darbininkas nustatyta eilės tvarka prie nustatytų vietų pritvirtina 5 iš eilės sudėliotas detales. Tačiau kiekviena jų yra skirtinga (dydis, svoris, spalva ...). Jei vietoje jų sudėliosime kitas 5 detales, veiksmų eiga bus ta pati, bet rezultatas kitoks. Trečia užduotis: įrašydami makrokomandą pritaikykite jai sparčiąją vykdymo komandą. Susumuokite stulpelį, sumą padauginkite iš dešinėje esančio skaičiaus, o atsakymą perkelkite kaip vertę į viršutinį žalią langelį.</t>
    </r>
  </si>
  <si>
    <t xml:space="preserve">Reikia paruošti šį dokumentą spausdinti taip, kad jis estetiškai ir informatyviai atrodytų. Lapų skaičius neapribotas. Visuose lapuose turi būti matomi stulpelių ir eilučių pavadinimai. </t>
  </si>
  <si>
    <t>Reikalingos antraštės ir poraštė  su lapų numeracija, spausdinimo data, laiku bei motininio dokumento ir darbalapio pavadinimais visuose lapuose.</t>
  </si>
  <si>
    <t>Norvegija</t>
  </si>
  <si>
    <t>2. Paskaičiuotų duomenų įterpimas</t>
  </si>
  <si>
    <t>Gamybos cechas 1</t>
  </si>
  <si>
    <t>Gamybos cechas 2</t>
  </si>
  <si>
    <t>Komplektavimo baras</t>
  </si>
  <si>
    <t>Logistikos padalinys</t>
  </si>
  <si>
    <t>Prekybos pavilijonas</t>
  </si>
  <si>
    <t>Padalinys</t>
  </si>
  <si>
    <t>7. Mėnesio dienos paskaičiavimai</t>
  </si>
  <si>
    <t>U21_3</t>
  </si>
  <si>
    <t>U21_2</t>
  </si>
  <si>
    <t>U21_1</t>
  </si>
  <si>
    <t>U20</t>
  </si>
  <si>
    <t>U19</t>
  </si>
  <si>
    <t>U17_2</t>
  </si>
  <si>
    <t>3. Duomenų grupavimas</t>
  </si>
  <si>
    <t>U18</t>
  </si>
  <si>
    <t>U17_4</t>
  </si>
  <si>
    <t>U17_3</t>
  </si>
  <si>
    <t>U17_1</t>
  </si>
  <si>
    <t>PrekKod</t>
  </si>
  <si>
    <t>BarKodas</t>
  </si>
  <si>
    <t>Preke1</t>
  </si>
  <si>
    <t>Preke2</t>
  </si>
  <si>
    <t>Preke3</t>
  </si>
  <si>
    <t>Preke4</t>
  </si>
  <si>
    <t>Preke5</t>
  </si>
  <si>
    <t>Preke6</t>
  </si>
  <si>
    <t>Preke7</t>
  </si>
  <si>
    <t xml:space="preserve">Prancūzija </t>
  </si>
  <si>
    <t>301</t>
  </si>
  <si>
    <t>302</t>
  </si>
  <si>
    <t>303</t>
  </si>
  <si>
    <t>Jungtinė Karalystė</t>
  </si>
  <si>
    <t>Gamintojai</t>
  </si>
  <si>
    <t>GamintKod</t>
  </si>
  <si>
    <t>Gamintojas1</t>
  </si>
  <si>
    <t>Gamintojas2</t>
  </si>
  <si>
    <t>Gamintojas3</t>
  </si>
  <si>
    <t>Gamintojas4</t>
  </si>
  <si>
    <t>4. Pivottable sudarymas iš kelių duomenų šaltinių (Data model)</t>
  </si>
  <si>
    <t>Data Analysis (Solver);</t>
  </si>
  <si>
    <t>Klient1</t>
  </si>
  <si>
    <t>Klient2</t>
  </si>
  <si>
    <t>Klient3</t>
  </si>
  <si>
    <t>Klient4</t>
  </si>
  <si>
    <t>Sandėlis1</t>
  </si>
  <si>
    <t>Sandėlis2</t>
  </si>
  <si>
    <t>Resursai</t>
  </si>
  <si>
    <t>Užsakytas kiekis</t>
  </si>
  <si>
    <t>Kaštų suma</t>
  </si>
  <si>
    <t>A</t>
  </si>
  <si>
    <t>B</t>
  </si>
  <si>
    <t>C</t>
  </si>
  <si>
    <t>Projektai ir jų finansavimo poreikis</t>
  </si>
  <si>
    <t>Nauja gamybos techno-logija</t>
  </si>
  <si>
    <t>Įmonės teritori-jos sutvar-kymas</t>
  </si>
  <si>
    <t>Trans-porto ūkio atnauji-nimas</t>
  </si>
  <si>
    <t>Parinkti projektai</t>
  </si>
  <si>
    <t>U16</t>
  </si>
  <si>
    <t>U16A_1</t>
  </si>
  <si>
    <t>U16A_2</t>
  </si>
  <si>
    <t>U16A_3</t>
  </si>
  <si>
    <t>U15</t>
  </si>
  <si>
    <t>U14</t>
  </si>
  <si>
    <t>U13</t>
  </si>
  <si>
    <t>S</t>
  </si>
  <si>
    <t>L</t>
  </si>
  <si>
    <t>XL</t>
  </si>
  <si>
    <t>XXL</t>
  </si>
  <si>
    <t>XXXL</t>
  </si>
  <si>
    <t>Suknelė</t>
  </si>
  <si>
    <t>Sijonas</t>
  </si>
  <si>
    <t>Mot. kelnės</t>
  </si>
  <si>
    <t>Mot. švarkelis</t>
  </si>
  <si>
    <t>Vyriškos kelnės</t>
  </si>
  <si>
    <t>Vyriškas švarkas</t>
  </si>
  <si>
    <t>0 - lygu</t>
  </si>
  <si>
    <t>-1 - daugiau nei (paieškos stities duomenys turi būti surikiuoti mažėjančia tvarka)</t>
  </si>
  <si>
    <t>Kainų keitimai nuo 2018 m. bazinių kainų</t>
  </si>
  <si>
    <t>2018 m. bazinės kainos, Eur</t>
  </si>
  <si>
    <t>Kainos eur. datai</t>
  </si>
  <si>
    <t>Kainininkas</t>
  </si>
  <si>
    <t>Medžiagos kodas</t>
  </si>
  <si>
    <t>Apibūdinimas</t>
  </si>
  <si>
    <r>
      <t>Kiana eur. (rėmeliui už bėginį m, stiklui ir plėvelei už m</t>
    </r>
    <r>
      <rPr>
        <vertAlign val="superscript"/>
        <sz val="11"/>
        <color theme="1"/>
        <rFont val="Calibri"/>
        <family val="2"/>
        <scheme val="minor"/>
      </rPr>
      <t>2</t>
    </r>
    <r>
      <rPr>
        <sz val="11"/>
        <color theme="1"/>
        <rFont val="Calibri"/>
        <family val="2"/>
        <charset val="186"/>
        <scheme val="minor"/>
      </rPr>
      <t>)</t>
    </r>
  </si>
  <si>
    <t>Medis</t>
  </si>
  <si>
    <t>Plonas</t>
  </si>
  <si>
    <t>Pastorintas</t>
  </si>
  <si>
    <t>Metalas</t>
  </si>
  <si>
    <t>Plastikas</t>
  </si>
  <si>
    <t>Stiklas</t>
  </si>
  <si>
    <t>Plėvelė</t>
  </si>
  <si>
    <t>Skaidri</t>
  </si>
  <si>
    <t>Matinė</t>
  </si>
  <si>
    <t>Nėra</t>
  </si>
  <si>
    <t>Užsakymai</t>
  </si>
  <si>
    <t>Rėmelio medžiaga</t>
  </si>
  <si>
    <t>Dengimo medžiaga</t>
  </si>
  <si>
    <t>Apibūdini-mas</t>
  </si>
  <si>
    <t>Gamybos data</t>
  </si>
  <si>
    <t>Aukštis, m</t>
  </si>
  <si>
    <t>Plotis, m</t>
  </si>
  <si>
    <t>Vienetų skaičius</t>
  </si>
  <si>
    <t>Sąnaudos rėmeliui, m</t>
  </si>
  <si>
    <t>Medžiagos kaina, eur/m</t>
  </si>
  <si>
    <t>Sąnaudos rėmeliui, eur</t>
  </si>
  <si>
    <r>
      <t>Sąnaudos dangai, m</t>
    </r>
    <r>
      <rPr>
        <vertAlign val="superscript"/>
        <sz val="11"/>
        <color theme="1"/>
        <rFont val="Calibri"/>
        <family val="2"/>
        <scheme val="minor"/>
      </rPr>
      <t>2</t>
    </r>
  </si>
  <si>
    <r>
      <t>Dangos kaina, eur/m</t>
    </r>
    <r>
      <rPr>
        <vertAlign val="superscript"/>
        <sz val="11"/>
        <color theme="1"/>
        <rFont val="Calibri"/>
        <family val="2"/>
        <scheme val="minor"/>
      </rPr>
      <t>2</t>
    </r>
  </si>
  <si>
    <t>Sąnaudos dangai, eur</t>
  </si>
  <si>
    <t>Sąnaudų suma, eur</t>
  </si>
  <si>
    <t>Paieškos funkcijos (VLOOKUP, HLOOKUP; INDEX/MATCH);</t>
  </si>
  <si>
    <t>U12</t>
  </si>
  <si>
    <t>Darbas su vardinėmis lentelėmis (TABLES);</t>
  </si>
  <si>
    <t>U9</t>
  </si>
  <si>
    <t>U10</t>
  </si>
  <si>
    <t>U11</t>
  </si>
  <si>
    <t>U8</t>
  </si>
  <si>
    <t>U8A</t>
  </si>
  <si>
    <t>U7</t>
  </si>
  <si>
    <t>U7A</t>
  </si>
  <si>
    <t>Procesas</t>
  </si>
  <si>
    <t>Proceso trukmė dienomis</t>
  </si>
  <si>
    <t>Proceso pradžia</t>
  </si>
  <si>
    <t>Proceso pabaiga</t>
  </si>
  <si>
    <t>2019 m. sausio mėnuo</t>
  </si>
  <si>
    <t>Apsirūpinimas m-gomis</t>
  </si>
  <si>
    <t>Metalo konstrukcijų montavimas</t>
  </si>
  <si>
    <t>Vamzdynų klojimas, virinimas</t>
  </si>
  <si>
    <t>Technologinių aparatų montavimas</t>
  </si>
  <si>
    <t>Darbų kokybės tikrinimas</t>
  </si>
  <si>
    <t>Duomenys, kuriuos reikia įvesti/pakeisti gelsvuose langeliuose</t>
  </si>
  <si>
    <t>Duomenys šiuose langeliuose yra datos, CUSTOM formate</t>
  </si>
  <si>
    <t>Rakt. form.</t>
  </si>
  <si>
    <t>­</t>
  </si>
  <si>
    <t>U6A</t>
  </si>
  <si>
    <t>U6</t>
  </si>
  <si>
    <t>Sąlyginio formatavimo formulėmis sudarykite darbų vizualinį grafiką.</t>
  </si>
  <si>
    <t>U5</t>
  </si>
  <si>
    <t>Kiekiai</t>
  </si>
  <si>
    <t>IFERROR(veiksmas1;veiksmas2)</t>
  </si>
  <si>
    <t xml:space="preserve">Dulkių siurblys </t>
  </si>
  <si>
    <r>
      <t xml:space="preserve">Naudodamiesi įrankiu TEXT TO COLLUMNS </t>
    </r>
    <r>
      <rPr>
        <sz val="11"/>
        <color theme="7" tint="-0.249977111117893"/>
        <rFont val="Calibri"/>
        <family val="2"/>
        <scheme val="minor"/>
      </rPr>
      <t xml:space="preserve">TEKSTĄ Į STULPELIUS </t>
    </r>
    <r>
      <rPr>
        <sz val="11"/>
        <color theme="1"/>
        <rFont val="Calibri"/>
        <family val="2"/>
        <charset val="186"/>
        <scheme val="minor"/>
      </rPr>
      <t>sutvarkykite duomenis:</t>
    </r>
  </si>
  <si>
    <t xml:space="preserve">A. </t>
  </si>
  <si>
    <t xml:space="preserve">B. </t>
  </si>
  <si>
    <t>Automobilių numerių sąrašą viename stulpelyje į atskirame stulpelyje matomus tris pirmuosius simbolius ir kitame stulpelyje tris sekančius simbolius</t>
  </si>
  <si>
    <t>Sąrašą su vardais ir pavardėmis viename stulpelyje perkelkite į skirtinguose stulpeliuose užrašytus vardus ir pavardes</t>
  </si>
  <si>
    <t>1. Leisti įvesti tik skaičių, mažesnį nei 5000</t>
  </si>
  <si>
    <t>Formulė:</t>
  </si>
  <si>
    <t>2. Leisti įvesti tik tekstą</t>
  </si>
  <si>
    <t>3. Leisti įvesti tekstą, kuris prasideda "AA-"</t>
  </si>
  <si>
    <t>Nustatykite  sudėtingus duomenų tikrinimo apribojimus, naudojant CUSTOM PASIRINKTINĮ duomenų tikrinimo būdą (įrašant funkcijas)</t>
  </si>
  <si>
    <t>8. Paskaičiavimai laiko formate</t>
  </si>
  <si>
    <t>Darbo laiko grafikas</t>
  </si>
  <si>
    <t>Valandų suma</t>
  </si>
  <si>
    <t>Susumuokite darbo valadų skaičių</t>
  </si>
  <si>
    <t>Paskaičiuokite laiko tarpus dviem laiko formatais: a) hh:mm:ss ir b) mm:ss</t>
  </si>
  <si>
    <t>Ugniagesių iškvietimas</t>
  </si>
  <si>
    <t>Ugniagesių išvykimas iš buvimo vietos</t>
  </si>
  <si>
    <t>Ugniagesių atvykimas į gaisro gesinimo vietą</t>
  </si>
  <si>
    <t>Gaisro užgesinimas</t>
  </si>
  <si>
    <t>a) hh:mm:ss</t>
  </si>
  <si>
    <t>b) mm:ss</t>
  </si>
  <si>
    <t>Data ir laikas</t>
  </si>
  <si>
    <t>Tarp  1 ir 2</t>
  </si>
  <si>
    <t>Tarp  1 ir 3</t>
  </si>
  <si>
    <t>Tarp  1 ir 4</t>
  </si>
  <si>
    <t>MATCH() paieškos tipai:           1- mažiau nei (paieškos srities duomenys turi būti surikiuoti didėjančia tvarka)</t>
  </si>
  <si>
    <t>1. Kainų stulpelyje keičiant kiekių informaciją gaunami klaidos pranešimai. Pritaikykite funkciją IFERROR, kurioje esant klaidai automatiškai būtų įrašomas nulis.</t>
  </si>
  <si>
    <t>2. Pritaikykite IFERROR funkciją paieškai dviejuose duomenų šaltiniuose</t>
  </si>
  <si>
    <t>3. Turime 2018 metų prekių bazines kainas. Naudodami INDEX ir MATCH žalsvuose langeliuose užrašykite funkcijas kainų dydžio paskaičiavimui bet kuriai šių metų datai (data geltoname langelyje). Atkreipkite dėmesį į tai, kad prekių eiliškumas kainininke ir paskaičiavimo lentelėse nesutampa.</t>
  </si>
  <si>
    <t>4. Įmonė gamina įvairius rėmelius paveikslams. Jie gaminami iš įvairių profilių ir įvairaus dydžio. Profiliams naudaojamų medžiagų bei stiklo /plėvelės kainos laikui einant kito. Mūsų užduotis paskaičiuoti visų per metus pagamintų rėmelių medžiagų sąnaudas, įvertunant medžiagų kainų kitimą.</t>
  </si>
  <si>
    <t>Raudonieji burokėliai</t>
  </si>
  <si>
    <t>Naujos kainos</t>
  </si>
  <si>
    <t>Didinimo %</t>
  </si>
  <si>
    <r>
      <t xml:space="preserve">Apvalinimas. </t>
    </r>
    <r>
      <rPr>
        <sz val="11"/>
        <color theme="1"/>
        <rFont val="Calibri"/>
        <family val="2"/>
        <scheme val="minor"/>
      </rPr>
      <t>Reikia vaisių ir daržovių kainas padidinti 15% ir suapvalinti  įprasuoju būdu iki cento.</t>
    </r>
  </si>
  <si>
    <t>Daržovės viso:</t>
  </si>
  <si>
    <t>Vaisiai ir uogos viso:</t>
  </si>
  <si>
    <t>Viso, kg</t>
  </si>
  <si>
    <t>Kiekis, kg.</t>
  </si>
  <si>
    <t>,</t>
  </si>
  <si>
    <t>Aritmetiniai veiksmai (formulės) ir pagrindinės funkcijos;</t>
  </si>
  <si>
    <t>Viso:</t>
  </si>
  <si>
    <t>Gal. likutis</t>
  </si>
  <si>
    <t>Atiduota</t>
  </si>
  <si>
    <t>Priimta</t>
  </si>
  <si>
    <t>Prad. likutis</t>
  </si>
  <si>
    <t>Nauja ataskaita</t>
  </si>
  <si>
    <t>Sena ataskaita</t>
  </si>
  <si>
    <t>Kaina, Eur/kg</t>
  </si>
  <si>
    <t>Daržovių kainos</t>
  </si>
  <si>
    <t>Vaisių ir uogų kainos</t>
  </si>
  <si>
    <t>Kainininkas 2</t>
  </si>
  <si>
    <t>Kainininkas 1</t>
  </si>
  <si>
    <t>UAB "VAISIAI IR DARŽUVĖS" 2019 m. II-o ketvirčio pardavimai</t>
  </si>
  <si>
    <t>1. Lentelės sudarymo ir formatavimo pratimai</t>
  </si>
  <si>
    <t>2. FORMAT PAINTER pagalba perkelkite lentelės formatą į naują ataskaitą</t>
  </si>
  <si>
    <t>UAB VAISIAI IR DARŽUVĖS pardavimai</t>
  </si>
  <si>
    <t>COUNTA</t>
  </si>
  <si>
    <t>COUNTBLANK</t>
  </si>
  <si>
    <t>LARGE</t>
  </si>
  <si>
    <t>SMALL</t>
  </si>
  <si>
    <t>ROUND</t>
  </si>
  <si>
    <t>ROUNDUP</t>
  </si>
  <si>
    <t>ROUNDDOWN</t>
  </si>
  <si>
    <t>U4C</t>
  </si>
  <si>
    <t>Naudodami CUSTOM SORT PASIRINKTINIS RŪŠIAVIMAS įrankį, surūšiuokite žemiau esančio duomenų masyvo duomenis taip, kad pierkėjai jame būtų sudėlioti abėcėlės tvarka, o kiekvieno pirkėjo nupirkta produkcija taip pat būtų sudėliota abėcėlės tvarka, o to paties pavadinimo prekių kiekiai būtų matomi nuo mažiausio iki didžiausio.</t>
  </si>
  <si>
    <t>Naudodami Solver įrankį apskaičiuokite pigiausią prekių išsiuntimo pirkėjams variantą</t>
  </si>
  <si>
    <t>Transportavimo kaštai (Eur/vnt.)</t>
  </si>
  <si>
    <t>Pervežtas kiekis (vnt.)</t>
  </si>
  <si>
    <t>Išsiųsta iš viso</t>
  </si>
  <si>
    <t>Gauta iš viso</t>
  </si>
  <si>
    <t>Geltonuose langeliuose reikia skaičius nuo 1 iki 9 surašyti taip, kad eilučių, stulpelių ir įstrižainių suma būtų lygi 15.</t>
  </si>
  <si>
    <t>Įmonės projektų valdymo tarnyba atrinko projektus, kuriuos reikia įdiegti per 2020–2022 metus. Tačiau nepakanka lėšų visiems projektams finansuoti. Todėl reikia pasirinkti projektus maksimaliai panaudojant, bet neviršijant kasmetinių finansavimo išteklių.</t>
  </si>
  <si>
    <t>Biuro atnaujini-mas</t>
  </si>
  <si>
    <t>IT sistemų moderni-zavimas</t>
  </si>
  <si>
    <t>Finansi-niai ištek-liai</t>
  </si>
  <si>
    <t>Prekės</t>
  </si>
  <si>
    <t>Šalys</t>
  </si>
  <si>
    <t>ŠalKod</t>
  </si>
  <si>
    <t>Tarp  3 ir 4</t>
  </si>
  <si>
    <t>4. Leisti įvesti rausvame diapazone tik unikalius įrašus</t>
  </si>
  <si>
    <t>Total</t>
  </si>
  <si>
    <t>=Table1[column1]</t>
  </si>
  <si>
    <t>=Table1[[column1]:[column1]]</t>
  </si>
  <si>
    <t>=Table1[@[column1]]</t>
  </si>
  <si>
    <t>=Table1[@[column1]:[column1]]</t>
  </si>
  <si>
    <t>Santykinė nuoroda</t>
  </si>
  <si>
    <t>Absoliuti nuoroda</t>
  </si>
  <si>
    <t>Stulpeliui</t>
  </si>
  <si>
    <t>Langeliui</t>
  </si>
  <si>
    <t>Procentas</t>
  </si>
  <si>
    <t>Vaisiai ir uogos suma:</t>
  </si>
  <si>
    <r>
      <t xml:space="preserve">ctr shift + </t>
    </r>
    <r>
      <rPr>
        <sz val="11"/>
        <rFont val="Calibri"/>
        <family val="2"/>
        <scheme val="minor"/>
      </rPr>
      <t>iterpti eilute</t>
    </r>
  </si>
  <si>
    <t>formtavimo kopijavimas</t>
  </si>
  <si>
    <t>Daržovės suma:</t>
  </si>
  <si>
    <t>suskaiciavo tuscius langelius</t>
  </si>
  <si>
    <t>skaiciuoja visus skaiciais uzpildytus langelius</t>
  </si>
  <si>
    <t>pirma pagal dydi kaina</t>
  </si>
  <si>
    <t>antra pagal mazuma kaina</t>
  </si>
  <si>
    <t>I DIDZIAJA PUSE</t>
  </si>
  <si>
    <t>I MAZAJA PUSE APVALINIMAS</t>
  </si>
  <si>
    <t>d turi dolerio zenkla or 34 ne, d fiksuojame o pavadinimas keiciasi</t>
  </si>
  <si>
    <t>Prekė 12</t>
  </si>
  <si>
    <t>Prekė 13</t>
  </si>
  <si>
    <t>Prekė 14</t>
  </si>
  <si>
    <t>Prekė 15</t>
  </si>
  <si>
    <t>February</t>
  </si>
  <si>
    <t>Feb</t>
  </si>
  <si>
    <t>Tuesday</t>
  </si>
  <si>
    <t>Tue</t>
  </si>
  <si>
    <t>March</t>
  </si>
  <si>
    <t>Mar</t>
  </si>
  <si>
    <t>Wednesday</t>
  </si>
  <si>
    <t>Wed</t>
  </si>
  <si>
    <t>April</t>
  </si>
  <si>
    <t>Apr</t>
  </si>
  <si>
    <t>Thursday</t>
  </si>
  <si>
    <t>Thu</t>
  </si>
  <si>
    <t>FILE-OPTIONS-ADVANCED-EDIT CUSTOM LIST</t>
  </si>
  <si>
    <t>How to copy a list and add it to make it outomatic</t>
  </si>
  <si>
    <t>UAB "Aibė" Total</t>
  </si>
  <si>
    <t>UAB "Maksima" Total</t>
  </si>
  <si>
    <t>UAB "NORFA" Total</t>
  </si>
  <si>
    <t>Grand Total</t>
  </si>
  <si>
    <t>insert subtotal</t>
  </si>
  <si>
    <t>right click pick from drop down list</t>
  </si>
  <si>
    <t>naudoti funkcija sort</t>
  </si>
  <si>
    <t>žygimantas.vaičiūnas@enmin.lt</t>
  </si>
  <si>
    <t>lina.sabaitienė@enmin.lt</t>
  </si>
  <si>
    <t>aurelija.vernickaitė@enmin.lt</t>
  </si>
  <si>
    <t>sandra.paulavičienė@enmin.lt</t>
  </si>
  <si>
    <t>ramūnas.dilba@enmin.lt</t>
  </si>
  <si>
    <t>aušra.siniuvienė@enmin.lt</t>
  </si>
  <si>
    <t>ramunė.mikalauskienė@enmin.lt</t>
  </si>
  <si>
    <t>dovilė.zajauskaitė@enmin.lt</t>
  </si>
  <si>
    <t>daiva.brazdžiuvienė@enmin.lt</t>
  </si>
  <si>
    <t>ramunė.žičkutė-artamonova@enmin.lt</t>
  </si>
  <si>
    <t>brigita.paulikienė@enmin.lt</t>
  </si>
  <si>
    <t>asta.žalnieriūtė@enmin.lt</t>
  </si>
  <si>
    <t>patricija.ceiko@enmin.lt</t>
  </si>
  <si>
    <t>renatas.šumskis@enmin.lt</t>
  </si>
  <si>
    <t>ieva.lukošiūtė@enmin.lt</t>
  </si>
  <si>
    <t>lina.šmočiukienė@enmin.lt</t>
  </si>
  <si>
    <t>violeta.greičiuvienė@enmin.lt</t>
  </si>
  <si>
    <t>vida.baltmiškytė@enmin.lt</t>
  </si>
  <si>
    <t>ineta.blakunovaitė@enmin.lt</t>
  </si>
  <si>
    <t>reda.lichadziauskienė@enmin.lt</t>
  </si>
  <si>
    <t>arūnas.tepelys@enmin.lt</t>
  </si>
  <si>
    <t>edvinas.federas@enmin.lt</t>
  </si>
  <si>
    <t>andrius.jovaiša@enmin.lt</t>
  </si>
  <si>
    <t>valdas.zibalas@enmin.lt</t>
  </si>
  <si>
    <t>alfonsas.martinkėnas@enmin.lt</t>
  </si>
  <si>
    <t>alina.grigalaitienė@enmin.lt</t>
  </si>
  <si>
    <t>ona.bankauskienė@enmin.lt</t>
  </si>
  <si>
    <t>inga.štrofienė@enmin.lt</t>
  </si>
  <si>
    <t>snieguolė.kanapickaitė@enmin.lt</t>
  </si>
  <si>
    <t>renata.adomaitytė-šliogerienė@enmin.lt</t>
  </si>
  <si>
    <t>liudmila.naruševičiūtė@enmin.lt</t>
  </si>
  <si>
    <t>inga.jakubėnaitė@enmin.lt</t>
  </si>
  <si>
    <t>rytis.kėvelaitis@enmin.lt</t>
  </si>
  <si>
    <t>alvydas.sakavičius@enmin.lt</t>
  </si>
  <si>
    <t>renata.ambrazevičienė@enmin.lt</t>
  </si>
  <si>
    <t>karolis.švaikauskas@enmin.lt</t>
  </si>
  <si>
    <t>aušra.grėbliūnaitė@enmin.lt</t>
  </si>
  <si>
    <t>vida.dzermeikienė@enmin.lt</t>
  </si>
  <si>
    <t>kristina.rimkūnaitė@enmin.lt</t>
  </si>
  <si>
    <t>tomas.lukoševičius@enmin.lt</t>
  </si>
  <si>
    <t>daiva.gelusevičienė@enmin.lt</t>
  </si>
  <si>
    <t>ingrida.markinienė@enmin.lt</t>
  </si>
  <si>
    <t>vaidas.vaitėnas@enmin.lt</t>
  </si>
  <si>
    <t>renata.banytė@enmin.lt</t>
  </si>
  <si>
    <t>dainius.bražiūnas@enmin.lt</t>
  </si>
  <si>
    <t>gabija.talačkaitė@enmin.lt</t>
  </si>
  <si>
    <t>gintautas.danaitis@enmin.lt</t>
  </si>
  <si>
    <t>janina.danaitienė@enmin.lt</t>
  </si>
  <si>
    <t>giedrė.šeškevičienė@enmin.lt</t>
  </si>
  <si>
    <t>marius.pareigis@enmin.lt</t>
  </si>
  <si>
    <t>dovilė.almanytė@enmin.lt</t>
  </si>
  <si>
    <t>lina.sveklaitė@enmin.lt</t>
  </si>
  <si>
    <t>mindaugas.stonkus@enmin.lt</t>
  </si>
  <si>
    <t>aurimas.salapėta@enmin.lt</t>
  </si>
  <si>
    <t>jevgenija.jankevič@enmin.lt</t>
  </si>
  <si>
    <t>sergej.garbar@enmin.lt</t>
  </si>
  <si>
    <t>vilija.tomkė@enmin.lt</t>
  </si>
  <si>
    <t>linas.bagdonavičius@enmin.lt</t>
  </si>
  <si>
    <t>vytautas.bernadišius@enmin.lt</t>
  </si>
  <si>
    <t>justina.ratkevičiūtė@enmin.lt</t>
  </si>
  <si>
    <t>gintarė.krušnienė@enmin.lt</t>
  </si>
  <si>
    <t>daumantas.kerežis@enmin.lt</t>
  </si>
  <si>
    <t>jurgita.jakevičiūtė@enmin.lt</t>
  </si>
  <si>
    <t>eglė.krinickienė@enmin.lt</t>
  </si>
  <si>
    <t>gediminas.karalius@enmin.lt</t>
  </si>
  <si>
    <t>žydrė.vasiliauskienė@enmin.lt</t>
  </si>
  <si>
    <t>Ž. VAIČIŪNAS, tel. 852034407</t>
  </si>
  <si>
    <t>L. SABAITIENĖ, tel. 852034408</t>
  </si>
  <si>
    <t>A. VERNICKAITĖ, tel. 852034427</t>
  </si>
  <si>
    <t>S. PAULAVIČIENĖ, tel. 852034407</t>
  </si>
  <si>
    <t>R. DILBA, tel. 852034425</t>
  </si>
  <si>
    <t>A. SINIUVIENĖ, tel. 852034470</t>
  </si>
  <si>
    <t>R. MIKALAUSKIENĖ, tel. 852034470</t>
  </si>
  <si>
    <t>D. ZAJAUSKAITĖ, tel. 852034470</t>
  </si>
  <si>
    <t>D. BRAZDŽIUVIENĖ, tel. 852034470</t>
  </si>
  <si>
    <t>R. ŽIČKUTĖ-ARTAMONOVA, tel. 852034470</t>
  </si>
  <si>
    <t>B. PAULIKIENĖ, tel. 852034470</t>
  </si>
  <si>
    <t>A. ŽALNIERIŪTĖ, tel. 852034684</t>
  </si>
  <si>
    <t>P. CEIKO, tel. 852034684</t>
  </si>
  <si>
    <t>R. ŠUMSKIS, tel. 852034684</t>
  </si>
  <si>
    <t>I. LUKOŠIŪTĖ, tel. 852034684</t>
  </si>
  <si>
    <t>L. ŠMOČIUKIENĖ, tel. 852034456</t>
  </si>
  <si>
    <t>V. GREIČIUVIENĖ, tel. 852034679</t>
  </si>
  <si>
    <t>V. BALTMIŠKYTĖ, tel. 852034679</t>
  </si>
  <si>
    <t>I. BLAKUNOVAITĖ, tel. 852034679</t>
  </si>
  <si>
    <t>R. LICHADZIAUSKIENĖ, tel. 852034679</t>
  </si>
  <si>
    <t>A. TEPELYS, tel. 852034830</t>
  </si>
  <si>
    <t>E. FEDERAS, tel. 852034830</t>
  </si>
  <si>
    <t>A. JOVAIŠA, tel. 852034830</t>
  </si>
  <si>
    <t>V. ZIBALAS, tel. 852034830</t>
  </si>
  <si>
    <t>A. MARTINKĖNAS, tel. 852034830</t>
  </si>
  <si>
    <t>A. GRIGALAITIENĖ, tel. 852034830</t>
  </si>
  <si>
    <t>O. BANKAUSKIENĖ, tel. 852034830</t>
  </si>
  <si>
    <t>I. ŠTROFIENĖ, tel. 852034830</t>
  </si>
  <si>
    <t>S. KANAPICKAITĖ, tel. 852034830</t>
  </si>
  <si>
    <t>R. ADOMAITYTĖ-ŠLIOGERIENĖ, tel. 852034830</t>
  </si>
  <si>
    <t>L. NARUŠEVIČIŪTĖ, tel. 852034424</t>
  </si>
  <si>
    <t>I. JAKUBĖNAITĖ, tel. 852034684</t>
  </si>
  <si>
    <t>R. KĖVELAITIS, tel. 852034410</t>
  </si>
  <si>
    <t>A. SAKAVIČIUS, tel. 852034451</t>
  </si>
  <si>
    <t>R. AMBRAZEVIČIENĖ, tel. 852034679</t>
  </si>
  <si>
    <t>K. ŠVAIKAUSKAS, tel. 852034474</t>
  </si>
  <si>
    <t>A. GRĖBLIŪNAITĖ, tel. 852034474</t>
  </si>
  <si>
    <t>V. DZERMEIKIENĖ, tel. 852034474</t>
  </si>
  <si>
    <t>K. RIMKŪNAITĖ, tel. 852034474</t>
  </si>
  <si>
    <t>T. LUKOŠEVIČIUS, tel. 852034689</t>
  </si>
  <si>
    <t>D. GELUSEVIČIENĖ, tel. 852034689</t>
  </si>
  <si>
    <t>I. MARKINIENĖ, tel. 852034689</t>
  </si>
  <si>
    <t>V. VAITĖNAS, tel. 852034689</t>
  </si>
  <si>
    <t>R. BANYTĖ, tel. 852034689</t>
  </si>
  <si>
    <t>D. BRAŽIŪNAS, tel. 852034471</t>
  </si>
  <si>
    <t>G. TALAČKAITĖ, tel. 852034471</t>
  </si>
  <si>
    <t>G. DANAITIS, tel. 852034471</t>
  </si>
  <si>
    <t>J. DANAITIENĖ, tel. 852034471</t>
  </si>
  <si>
    <t>G. ŠEŠKEVIČIENĖ, tel. 852034471</t>
  </si>
  <si>
    <t>M. PAREIGIS, tel. 852034471</t>
  </si>
  <si>
    <t>D. ALMANYTĖ, tel. 852034667</t>
  </si>
  <si>
    <t>L. SVEKLAITĖ, tel. 852034667</t>
  </si>
  <si>
    <t>M. STONKUS, tel. 852034667</t>
  </si>
  <si>
    <t>A. SALAPĖTA, tel. 852034667</t>
  </si>
  <si>
    <t>J. JANKEVIČ, tel. 852034667</t>
  </si>
  <si>
    <t>S. GARBAR, tel. 852034667</t>
  </si>
  <si>
    <t>V. TOMKĖ, tel. 852034667</t>
  </si>
  <si>
    <t>L. BAGDONAVIČIUS, tel. 852034667</t>
  </si>
  <si>
    <t>V. BERNADIŠIUS, tel. 852034667</t>
  </si>
  <si>
    <t>J. RATKEVIČIŪTĖ, tel. 852034472</t>
  </si>
  <si>
    <t>G. KRUŠNIENĖ, tel. 852034354</t>
  </si>
  <si>
    <t>D. KEREŽIS, tel. 852034677</t>
  </si>
  <si>
    <t>J. JAKEVIČIŪTĖ, tel. 852034677</t>
  </si>
  <si>
    <t>E. KRINICKIENĖ, tel. 852034677</t>
  </si>
  <si>
    <t>G. KARALIUS, tel. 852034472</t>
  </si>
  <si>
    <t>Ž. VASILIAUSKIENĖ, tel. 852034679</t>
  </si>
  <si>
    <t>LOWER</t>
  </si>
  <si>
    <t>&amp;</t>
  </si>
  <si>
    <t>UPPER</t>
  </si>
  <si>
    <t>PROPER</t>
  </si>
  <si>
    <t>LEFT</t>
  </si>
  <si>
    <t>MID</t>
  </si>
  <si>
    <t>RIGHT</t>
  </si>
  <si>
    <t>Date</t>
  </si>
  <si>
    <t>Ordered Product Sales</t>
  </si>
  <si>
    <t>Ordered Product Sales – B2B</t>
  </si>
  <si>
    <t>Units Ordered</t>
  </si>
  <si>
    <t>Units Ordered – B2B</t>
  </si>
  <si>
    <t>Total Order Items</t>
  </si>
  <si>
    <t>Total Order Items – B2B</t>
  </si>
  <si>
    <t>Petrauskas</t>
  </si>
  <si>
    <t>Kazlauskas</t>
  </si>
  <si>
    <t>Pranulienė</t>
  </si>
  <si>
    <t>Liudvikas</t>
  </si>
  <si>
    <t>van Bethovenas</t>
  </si>
  <si>
    <t>EE</t>
  </si>
  <si>
    <t>N6</t>
  </si>
  <si>
    <t>AE</t>
  </si>
  <si>
    <t>K7</t>
  </si>
  <si>
    <t>KB</t>
  </si>
  <si>
    <t>L2</t>
  </si>
  <si>
    <t>FIX WIGTH TEXT TO COLUMN</t>
  </si>
  <si>
    <t>MAMA</t>
  </si>
  <si>
    <t>length</t>
  </si>
  <si>
    <t>circle invalid data</t>
  </si>
  <si>
    <t>AA-</t>
  </si>
  <si>
    <t>Lojalumo kortele</t>
  </si>
  <si>
    <t>Sumos dydis</t>
  </si>
  <si>
    <t>Abu kriterijai</t>
  </si>
  <si>
    <t>Vienas kriterijus</t>
  </si>
  <si>
    <t>Nei vienas kriterijus</t>
  </si>
  <si>
    <t>Data validation:</t>
  </si>
  <si>
    <t>Taip</t>
  </si>
  <si>
    <t>IF:</t>
  </si>
  <si>
    <t>Suma:</t>
  </si>
  <si>
    <t>Vidurkis:</t>
  </si>
  <si>
    <t>Kiekis:</t>
  </si>
  <si>
    <t>List:</t>
  </si>
  <si>
    <t>Daugiau Kriteriju:</t>
  </si>
  <si>
    <t>Vienam Kriterijui:</t>
  </si>
  <si>
    <t>Kiekis,kg</t>
  </si>
  <si>
    <t>Kaina,EUR</t>
  </si>
  <si>
    <t>? PADEDA PATIKrinti ar yra klaidu</t>
  </si>
  <si>
    <t>ieskome c eilutej h reiskme ir rezultatas yra suma</t>
  </si>
  <si>
    <t>Galima filtruoti pagal spalva arba srifto spalva</t>
  </si>
  <si>
    <t>&gt;=15</t>
  </si>
  <si>
    <t>Data - advanced</t>
  </si>
  <si>
    <t>Padaryti atra filtra su velavimais, keisis tik vidurinysis, nukopijuoti langaeli</t>
  </si>
  <si>
    <t>Holidays</t>
  </si>
  <si>
    <t>autosumn ir opakeisti formata valandos turi buti laustiniuose skliaustuose</t>
  </si>
  <si>
    <t>data custom pakeisti formata hh:mm:ss</t>
  </si>
  <si>
    <t>valandas naudoti laustinius kliaustus kad neperzengtu ribas</t>
  </si>
  <si>
    <t>mm uzrakinti skliaustuose</t>
  </si>
  <si>
    <t>3 eilutes 3 stulpelio reiksme</t>
  </si>
  <si>
    <t>Obuoliai:</t>
  </si>
  <si>
    <t>eilute</t>
  </si>
  <si>
    <t>hlookup</t>
  </si>
  <si>
    <t>vlookup</t>
  </si>
  <si>
    <t>aprox reiksme</t>
  </si>
  <si>
    <t>IESKOME REIKSMES VIENOJE LENTELEJE, JEIGU NEBUS, TUOMET IESKOME KITOJE. NAUDOTI INDEX MATCH IR IFERROR FUNKCIJA</t>
  </si>
  <si>
    <t>Metai - chart design, select data - nukelti metus I desine puse</t>
  </si>
  <si>
    <t>pirma pasirinkti linijine kreive o poto ja pakeisti I komninuota</t>
  </si>
  <si>
    <t xml:space="preserve">what if analysis - goal seeker - </t>
  </si>
  <si>
    <t>option - adds in - manage adds in - excell adds ins- solver ads in - ok</t>
  </si>
  <si>
    <t>goal seek - set cell - is viso, to value pasirinkimas, by changing cell - procentas</t>
  </si>
  <si>
    <t>parodo kokios turi buti palukanos kad gauciau 6000.</t>
  </si>
  <si>
    <t>what if analysis:</t>
  </si>
  <si>
    <t>Sukurti skirtingus scenarijus 4 skirtingom tarom, ir paskui spausti show paziureti skirtingus rezultatus</t>
  </si>
  <si>
    <t>what if analysis - scenario manager:</t>
  </si>
  <si>
    <t>What if Analysis: data table, pirmas 5000, antras 60</t>
  </si>
  <si>
    <t>Sum of Kiekis</t>
  </si>
  <si>
    <t>(All)</t>
  </si>
  <si>
    <t>Ispanija Total</t>
  </si>
  <si>
    <t>Lenkija Total</t>
  </si>
  <si>
    <t>Lietuva Total</t>
  </si>
  <si>
    <t>Report layout pakeisti pavidala</t>
  </si>
  <si>
    <t>design:</t>
  </si>
  <si>
    <t>Salies Kodas</t>
  </si>
  <si>
    <t>Gamintojo kodas</t>
  </si>
  <si>
    <t>Prekes Kodas</t>
  </si>
  <si>
    <t>Prideti 4 stulpelius ir naudoti text to column fixed option. Padalinti barkoda I 4 dalis.</t>
  </si>
  <si>
    <t>Column1</t>
  </si>
  <si>
    <t>Nuadoti column to text option - fixed option ir padalinti barkoda</t>
  </si>
  <si>
    <t>Sum of Kiekis, vnt.</t>
  </si>
  <si>
    <t>Column Labels</t>
  </si>
  <si>
    <t>Row Labels</t>
  </si>
  <si>
    <t>Prancūzija</t>
  </si>
  <si>
    <t>1) Prideti 4 stulpelius ir barkoda isdalinti I 4 dalis, naudoti column to text fixed.</t>
  </si>
  <si>
    <t>2)pakeisti lenteles I lenteliu tipa</t>
  </si>
  <si>
    <t>3) data - from table/range, only create connection - tick data model. Sudeti visas 4 lenteles.</t>
  </si>
  <si>
    <t>4) data - view sujungti lenteles I kruva, sukurti connection.</t>
  </si>
  <si>
    <t>5) padaryti pivot table is modelio.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</si>
</sst>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quot;* #,##0.00_-;\-&quot;£&quot;* #,##0.00_-;_-&quot;£&quot;* &quot;-&quot;??_-;_-@_-"/>
    <numFmt numFmtId="43" formatCode="_-* #,##0.00_-;\-* #,##0.00_-;_-* &quot;-&quot;??_-;_-@_-"/>
    <numFmt numFmtId="164" formatCode="#,##0.00\ &quot;€&quot;"/>
    <numFmt numFmtId="165" formatCode="#\ ???/???"/>
    <numFmt numFmtId="166" formatCode="0.000"/>
    <numFmt numFmtId="167" formatCode="0.000%"/>
    <numFmt numFmtId="168" formatCode="0.0%"/>
    <numFmt numFmtId="169" formatCode="0.0"/>
    <numFmt numFmtId="170" formatCode="d"/>
    <numFmt numFmtId="171" formatCode="#,##0.000\ &quot;€&quot;"/>
    <numFmt numFmtId="172" formatCode="_-[$€-2]\ * #,##0.00_-;\-[$€-2]\ * #,##0.00_-;_-[$€-2]\ * &quot;-&quot;??_-;_-@_-"/>
    <numFmt numFmtId="173" formatCode="[hh]:mm"/>
    <numFmt numFmtId="174" formatCode="[hh]:mm:ss"/>
    <numFmt numFmtId="175" formatCode="[mm]:ss"/>
    <numFmt numFmtId="176" formatCode="_-* #,##0_-;\-* #,##0_-;_-* &quot;-&quot;??_-;_-@_-"/>
  </numFmts>
  <fonts count="48" x14ac:knownFonts="1">
    <font>
      <sz val="11"/>
      <color theme="1"/>
      <name val="Calibri"/>
      <family val="2"/>
      <charset val="186"/>
      <scheme val="minor"/>
    </font>
    <font>
      <sz val="11"/>
      <color theme="1"/>
      <name val="Calibri"/>
      <family val="2"/>
      <scheme val="minor"/>
    </font>
    <font>
      <sz val="11"/>
      <color theme="1"/>
      <name val="Calibri"/>
      <family val="2"/>
      <scheme val="minor"/>
    </font>
    <font>
      <sz val="11"/>
      <color theme="1"/>
      <name val="Calibri"/>
      <family val="2"/>
      <charset val="186"/>
      <scheme val="minor"/>
    </font>
    <font>
      <sz val="11"/>
      <color theme="0"/>
      <name val="Calibri"/>
      <family val="2"/>
      <charset val="186"/>
      <scheme val="minor"/>
    </font>
    <font>
      <b/>
      <sz val="18"/>
      <color theme="1"/>
      <name val="Calibri"/>
      <family val="2"/>
      <scheme val="minor"/>
    </font>
    <font>
      <sz val="11"/>
      <color theme="7" tint="-0.249977111117893"/>
      <name val="Calibri"/>
      <family val="2"/>
      <scheme val="minor"/>
    </font>
    <font>
      <b/>
      <sz val="11"/>
      <color theme="1"/>
      <name val="Calibri"/>
      <family val="2"/>
      <scheme val="minor"/>
    </font>
    <font>
      <sz val="11"/>
      <color theme="1"/>
      <name val="Times New Roman"/>
      <family val="1"/>
    </font>
    <font>
      <b/>
      <sz val="14"/>
      <color theme="1"/>
      <name val="Calibri"/>
      <family val="2"/>
      <scheme val="minor"/>
    </font>
    <font>
      <b/>
      <sz val="11"/>
      <color rgb="FFFF0000"/>
      <name val="Calibri"/>
      <family val="2"/>
      <scheme val="minor"/>
    </font>
    <font>
      <sz val="11"/>
      <color theme="1"/>
      <name val="Calibri"/>
      <family val="2"/>
      <scheme val="minor"/>
    </font>
    <font>
      <sz val="10"/>
      <name val="Arial"/>
      <family val="2"/>
      <charset val="186"/>
    </font>
    <font>
      <sz val="11"/>
      <color indexed="8"/>
      <name val="Calibri"/>
      <family val="2"/>
    </font>
    <font>
      <sz val="11"/>
      <color theme="1"/>
      <name val="Calibri"/>
      <family val="2"/>
      <charset val="186"/>
    </font>
    <font>
      <b/>
      <sz val="16"/>
      <color theme="1"/>
      <name val="Calibri"/>
      <family val="2"/>
      <scheme val="minor"/>
    </font>
    <font>
      <sz val="11"/>
      <color theme="1"/>
      <name val="Calibri"/>
      <family val="2"/>
    </font>
    <font>
      <sz val="11"/>
      <color theme="0"/>
      <name val="Calibri"/>
      <family val="2"/>
      <scheme val="minor"/>
    </font>
    <font>
      <i/>
      <sz val="11"/>
      <color theme="1"/>
      <name val="Calibri"/>
      <family val="2"/>
      <scheme val="minor"/>
    </font>
    <font>
      <sz val="11"/>
      <name val="Calibri"/>
      <family val="2"/>
      <scheme val="minor"/>
    </font>
    <font>
      <i/>
      <sz val="8"/>
      <color theme="1"/>
      <name val="Arial"/>
      <family val="2"/>
      <charset val="186"/>
    </font>
    <font>
      <b/>
      <sz val="11"/>
      <color theme="0"/>
      <name val="Calibri"/>
      <family val="2"/>
      <charset val="186"/>
      <scheme val="minor"/>
    </font>
    <font>
      <sz val="8"/>
      <name val="Calibri"/>
      <family val="2"/>
      <charset val="186"/>
      <scheme val="minor"/>
    </font>
    <font>
      <sz val="10"/>
      <color theme="1"/>
      <name val="Arial"/>
      <family val="2"/>
      <charset val="186"/>
    </font>
    <font>
      <vertAlign val="superscript"/>
      <sz val="11"/>
      <color theme="1"/>
      <name val="Calibri"/>
      <family val="2"/>
      <scheme val="minor"/>
    </font>
    <font>
      <sz val="14"/>
      <color theme="1"/>
      <name val="Calibri"/>
      <family val="2"/>
      <scheme val="minor"/>
    </font>
    <font>
      <b/>
      <sz val="15"/>
      <color theme="3"/>
      <name val="Calibri"/>
      <family val="2"/>
      <charset val="186"/>
      <scheme val="minor"/>
    </font>
    <font>
      <b/>
      <sz val="13"/>
      <color theme="3"/>
      <name val="Calibri"/>
      <family val="2"/>
      <charset val="186"/>
      <scheme val="minor"/>
    </font>
    <font>
      <sz val="11"/>
      <color theme="0"/>
      <name val="Times New Roman"/>
      <family val="1"/>
    </font>
    <font>
      <sz val="14"/>
      <color theme="0"/>
      <name val="Times New Roman"/>
      <family val="1"/>
    </font>
    <font>
      <b/>
      <sz val="9"/>
      <color indexed="81"/>
      <name val="Tahoma"/>
      <family val="2"/>
    </font>
    <font>
      <sz val="9"/>
      <color indexed="81"/>
      <name val="Tahoma"/>
      <family val="2"/>
    </font>
    <font>
      <b/>
      <i/>
      <sz val="11"/>
      <color theme="5" tint="-0.249977111117893"/>
      <name val="Calibri"/>
      <family val="2"/>
      <scheme val="minor"/>
    </font>
    <font>
      <i/>
      <sz val="11"/>
      <color theme="5" tint="-0.249977111117893"/>
      <name val="Calibri"/>
      <family val="2"/>
      <scheme val="minor"/>
    </font>
    <font>
      <sz val="18"/>
      <color theme="0"/>
      <name val="Calibri"/>
      <family val="2"/>
      <charset val="186"/>
      <scheme val="minor"/>
    </font>
    <font>
      <i/>
      <sz val="11"/>
      <color theme="5" tint="-0.499984740745262"/>
      <name val="Calibri"/>
      <family val="2"/>
      <scheme val="minor"/>
    </font>
    <font>
      <b/>
      <i/>
      <sz val="13"/>
      <color theme="3"/>
      <name val="Calibri"/>
      <family val="2"/>
      <scheme val="minor"/>
    </font>
    <font>
      <b/>
      <i/>
      <sz val="15"/>
      <color theme="3"/>
      <name val="Calibri"/>
      <family val="2"/>
      <scheme val="minor"/>
    </font>
    <font>
      <b/>
      <sz val="11"/>
      <color theme="0"/>
      <name val="Calibri"/>
      <family val="2"/>
      <scheme val="minor"/>
    </font>
    <font>
      <sz val="11"/>
      <color rgb="FFFF0000"/>
      <name val="Calibri"/>
      <family val="2"/>
      <charset val="186"/>
      <scheme val="minor"/>
    </font>
    <font>
      <sz val="10"/>
      <color theme="1"/>
      <name val="Calibri"/>
      <family val="2"/>
      <scheme val="minor"/>
    </font>
    <font>
      <i/>
      <sz val="10"/>
      <color theme="1"/>
      <name val="Calibri"/>
      <family val="2"/>
      <scheme val="minor"/>
    </font>
    <font>
      <i/>
      <sz val="10"/>
      <color theme="5" tint="-0.499984740745262"/>
      <name val="Calibri"/>
      <family val="2"/>
      <scheme val="minor"/>
    </font>
    <font>
      <b/>
      <sz val="11"/>
      <color theme="1"/>
      <name val="Calibri"/>
      <family val="2"/>
      <charset val="186"/>
      <scheme val="minor"/>
    </font>
    <font>
      <sz val="11"/>
      <name val="Calibri"/>
      <family val="2"/>
      <charset val="186"/>
      <scheme val="minor"/>
    </font>
    <font>
      <sz val="10"/>
      <color rgb="FFFF0000"/>
      <name val="Arial"/>
      <family val="2"/>
      <charset val="186"/>
    </font>
    <font>
      <sz val="10"/>
      <color rgb="FF00B0F0"/>
      <name val="Arial"/>
      <family val="2"/>
      <charset val="186"/>
    </font>
    <font>
      <u/>
      <sz val="11"/>
      <color theme="10"/>
      <name val="Calibri"/>
      <family val="2"/>
      <charset val="186"/>
      <scheme val="minor"/>
    </font>
  </fonts>
  <fills count="31">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FFFFCC"/>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5" tint="0.39997558519241921"/>
        <bgColor indexed="64"/>
      </patternFill>
    </fill>
    <fill>
      <patternFill patternType="solid">
        <fgColor rgb="FFCC66FF"/>
        <bgColor indexed="64"/>
      </patternFill>
    </fill>
    <fill>
      <patternFill patternType="solid">
        <fgColor theme="1" tint="0.34998626667073579"/>
        <bgColor indexed="64"/>
      </patternFill>
    </fill>
    <fill>
      <patternFill patternType="solid">
        <fgColor rgb="FFFFFF99"/>
        <bgColor indexed="64"/>
      </patternFill>
    </fill>
    <fill>
      <patternFill patternType="solid">
        <fgColor theme="9"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5" tint="-0.249977111117893"/>
        <bgColor indexed="64"/>
      </patternFill>
    </fill>
    <fill>
      <patternFill patternType="solid">
        <fgColor theme="4" tint="0.59999389629810485"/>
        <bgColor indexed="65"/>
      </patternFill>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FFC000"/>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right/>
      <top/>
      <bottom style="thin">
        <color indexed="64"/>
      </bottom>
      <diagonal/>
    </border>
    <border>
      <left style="medium">
        <color indexed="64"/>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right/>
      <top/>
      <bottom style="double">
        <color indexed="64"/>
      </bottom>
      <diagonal/>
    </border>
    <border>
      <left/>
      <right/>
      <top style="thin">
        <color indexed="64"/>
      </top>
      <bottom style="thin">
        <color indexed="64"/>
      </bottom>
      <diagonal/>
    </border>
    <border>
      <left/>
      <right style="thin">
        <color indexed="64"/>
      </right>
      <top/>
      <bottom/>
      <diagonal/>
    </border>
    <border>
      <left style="thin">
        <color indexed="64"/>
      </left>
      <right/>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style="thin">
        <color theme="4" tint="0.39997558519241921"/>
      </right>
      <top style="thin">
        <color theme="4" tint="0.39997558519241921"/>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ck">
        <color theme="4" tint="-0.24994659260841701"/>
      </bottom>
      <diagonal/>
    </border>
    <border>
      <left/>
      <right/>
      <top/>
      <bottom style="thick">
        <color theme="4"/>
      </bottom>
      <diagonal/>
    </border>
    <border>
      <left/>
      <right/>
      <top/>
      <bottom style="thick">
        <color theme="4" tint="0.499984740745262"/>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bottom style="double">
        <color indexed="64"/>
      </bottom>
      <diagonal/>
    </border>
    <border>
      <left/>
      <right/>
      <top/>
      <bottom style="double">
        <color theme="7" tint="-0.24994659260841701"/>
      </bottom>
      <diagonal/>
    </border>
    <border>
      <left style="thin">
        <color theme="4"/>
      </left>
      <right style="thick">
        <color theme="4"/>
      </right>
      <top style="thin">
        <color theme="4"/>
      </top>
      <bottom style="thick">
        <color theme="4"/>
      </bottom>
      <diagonal/>
    </border>
    <border>
      <left style="thick">
        <color theme="4"/>
      </left>
      <right style="thin">
        <color theme="4"/>
      </right>
      <top style="thin">
        <color theme="4"/>
      </top>
      <bottom style="thick">
        <color theme="4"/>
      </bottom>
      <diagonal/>
    </border>
    <border>
      <left style="thin">
        <color theme="4"/>
      </left>
      <right style="thick">
        <color theme="4"/>
      </right>
      <top style="thin">
        <color theme="4"/>
      </top>
      <bottom style="thin">
        <color theme="4"/>
      </bottom>
      <diagonal/>
    </border>
    <border>
      <left style="thick">
        <color theme="4"/>
      </left>
      <right style="thin">
        <color theme="4"/>
      </right>
      <top style="thin">
        <color theme="4"/>
      </top>
      <bottom style="thin">
        <color theme="4"/>
      </bottom>
      <diagonal/>
    </border>
    <border>
      <left style="thin">
        <color theme="5" tint="-0.24994659260841701"/>
      </left>
      <right style="thick">
        <color theme="5" tint="-0.24994659260841701"/>
      </right>
      <top style="thin">
        <color theme="5" tint="-0.24994659260841701"/>
      </top>
      <bottom style="thick">
        <color theme="5" tint="-0.24994659260841701"/>
      </bottom>
      <diagonal/>
    </border>
    <border>
      <left style="thick">
        <color theme="5" tint="-0.24994659260841701"/>
      </left>
      <right style="thin">
        <color theme="5" tint="-0.24994659260841701"/>
      </right>
      <top style="thin">
        <color theme="5" tint="-0.24994659260841701"/>
      </top>
      <bottom style="thick">
        <color theme="5" tint="-0.24994659260841701"/>
      </bottom>
      <diagonal/>
    </border>
    <border>
      <left style="thin">
        <color theme="5" tint="-0.24994659260841701"/>
      </left>
      <right style="thick">
        <color theme="5" tint="-0.24994659260841701"/>
      </right>
      <top style="thin">
        <color theme="5" tint="-0.24994659260841701"/>
      </top>
      <bottom style="thin">
        <color theme="5" tint="-0.24994659260841701"/>
      </bottom>
      <diagonal/>
    </border>
    <border>
      <left style="thick">
        <color theme="5" tint="-0.24994659260841701"/>
      </left>
      <right style="thin">
        <color theme="5" tint="-0.24994659260841701"/>
      </right>
      <top style="thin">
        <color theme="5" tint="-0.24994659260841701"/>
      </top>
      <bottom style="thin">
        <color theme="5" tint="-0.24994659260841701"/>
      </bottom>
      <diagonal/>
    </border>
    <border>
      <left style="thin">
        <color theme="5" tint="-0.24994659260841701"/>
      </left>
      <right style="thick">
        <color theme="5" tint="-0.24994659260841701"/>
      </right>
      <top style="thick">
        <color theme="5" tint="-0.24994659260841701"/>
      </top>
      <bottom style="thin">
        <color theme="5" tint="-0.24994659260841701"/>
      </bottom>
      <diagonal/>
    </border>
    <border>
      <left style="thick">
        <color theme="5" tint="-0.24994659260841701"/>
      </left>
      <right style="thin">
        <color theme="5" tint="-0.24994659260841701"/>
      </right>
      <top style="thick">
        <color theme="5" tint="-0.24994659260841701"/>
      </top>
      <bottom style="thin">
        <color theme="5" tint="-0.24994659260841701"/>
      </bottom>
      <diagonal/>
    </border>
    <border>
      <left style="thin">
        <color theme="4"/>
      </left>
      <right style="thick">
        <color theme="4"/>
      </right>
      <top style="thick">
        <color theme="4"/>
      </top>
      <bottom style="thin">
        <color theme="4"/>
      </bottom>
      <diagonal/>
    </border>
    <border>
      <left style="thick">
        <color theme="4"/>
      </left>
      <right style="thin">
        <color theme="4"/>
      </right>
      <top style="thick">
        <color theme="4"/>
      </top>
      <bottom style="thin">
        <color theme="4"/>
      </bottom>
      <diagonal/>
    </border>
    <border>
      <left/>
      <right/>
      <top/>
      <bottom style="thick">
        <color theme="5" tint="0.39994506668294322"/>
      </bottom>
      <diagonal/>
    </border>
    <border>
      <left/>
      <right/>
      <top/>
      <bottom style="thick">
        <color theme="5" tint="-0.24994659260841701"/>
      </bottom>
      <diagonal/>
    </border>
    <border>
      <left style="thin">
        <color theme="4" tint="0.39997558519241921"/>
      </left>
      <right/>
      <top/>
      <bottom/>
      <diagonal/>
    </border>
    <border>
      <left style="thin">
        <color indexed="64"/>
      </left>
      <right/>
      <top style="thin">
        <color theme="4" tint="0.39997558519241921"/>
      </top>
      <bottom/>
      <diagonal/>
    </border>
  </borders>
  <cellStyleXfs count="9">
    <xf numFmtId="0" fontId="0" fillId="0" borderId="0"/>
    <xf numFmtId="9" fontId="3" fillId="0" borderId="0" applyFont="0" applyFill="0" applyBorder="0" applyAlignment="0" applyProtection="0"/>
    <xf numFmtId="165" fontId="12" fillId="0" borderId="0"/>
    <xf numFmtId="0" fontId="26" fillId="0" borderId="41" applyNumberFormat="0" applyFill="0" applyAlignment="0" applyProtection="0"/>
    <xf numFmtId="0" fontId="27" fillId="0" borderId="42" applyNumberFormat="0" applyFill="0" applyAlignment="0" applyProtection="0"/>
    <xf numFmtId="0" fontId="3" fillId="26" borderId="0" applyNumberFormat="0" applyBorder="0" applyAlignment="0" applyProtection="0"/>
    <xf numFmtId="43" fontId="3" fillId="0" borderId="0" applyFont="0" applyFill="0" applyBorder="0" applyAlignment="0" applyProtection="0"/>
    <xf numFmtId="44" fontId="3" fillId="0" borderId="0" applyFont="0" applyFill="0" applyBorder="0" applyAlignment="0" applyProtection="0"/>
    <xf numFmtId="0" fontId="47" fillId="0" borderId="0" applyNumberFormat="0" applyFill="0" applyBorder="0" applyAlignment="0" applyProtection="0"/>
  </cellStyleXfs>
  <cellXfs count="449">
    <xf numFmtId="0" fontId="0" fillId="0" borderId="0" xfId="0"/>
    <xf numFmtId="0" fontId="5" fillId="2" borderId="0" xfId="0" applyFont="1" applyFill="1"/>
    <xf numFmtId="0" fontId="0" fillId="3" borderId="0" xfId="0" applyFill="1"/>
    <xf numFmtId="0" fontId="7" fillId="3" borderId="0" xfId="0" applyFont="1" applyFill="1"/>
    <xf numFmtId="0" fontId="0" fillId="0" borderId="1" xfId="0" applyBorder="1" applyAlignment="1">
      <alignment horizontal="center"/>
    </xf>
    <xf numFmtId="0" fontId="0" fillId="4" borderId="0" xfId="0" applyFill="1" applyAlignment="1">
      <alignment horizontal="center"/>
    </xf>
    <xf numFmtId="0" fontId="0" fillId="0" borderId="0" xfId="0" applyAlignment="1">
      <alignment horizontal="right"/>
    </xf>
    <xf numFmtId="2" fontId="8" fillId="5" borderId="2" xfId="0" applyNumberFormat="1" applyFont="1" applyFill="1" applyBorder="1" applyAlignment="1">
      <alignment horizontal="right" indent="1"/>
    </xf>
    <xf numFmtId="2" fontId="8" fillId="5" borderId="1" xfId="0" applyNumberFormat="1" applyFont="1" applyFill="1" applyBorder="1" applyAlignment="1">
      <alignment horizontal="right" indent="1"/>
    </xf>
    <xf numFmtId="2" fontId="8" fillId="5" borderId="3" xfId="0" applyNumberFormat="1" applyFont="1" applyFill="1" applyBorder="1" applyAlignment="1">
      <alignment horizontal="right" indent="1"/>
    </xf>
    <xf numFmtId="0" fontId="8" fillId="4" borderId="1" xfId="0" applyFont="1" applyFill="1" applyBorder="1" applyAlignment="1">
      <alignment horizontal="right" vertical="center" indent="1"/>
    </xf>
    <xf numFmtId="0" fontId="8" fillId="7" borderId="1" xfId="0" applyFont="1" applyFill="1" applyBorder="1" applyAlignment="1">
      <alignment horizontal="right" vertical="center"/>
    </xf>
    <xf numFmtId="164" fontId="8" fillId="7" borderId="1" xfId="0" applyNumberFormat="1" applyFont="1" applyFill="1" applyBorder="1" applyAlignment="1">
      <alignment horizontal="right" vertical="center"/>
    </xf>
    <xf numFmtId="0" fontId="8" fillId="7" borderId="1" xfId="0" applyFont="1" applyFill="1" applyBorder="1" applyAlignment="1">
      <alignment horizontal="left"/>
    </xf>
    <xf numFmtId="0" fontId="8" fillId="7" borderId="3" xfId="0" applyFont="1" applyFill="1" applyBorder="1" applyAlignment="1">
      <alignment horizontal="left" vertical="center" indent="1"/>
    </xf>
    <xf numFmtId="0" fontId="8" fillId="0" borderId="1" xfId="0" applyFont="1" applyBorder="1" applyAlignment="1">
      <alignment horizontal="right" indent="1"/>
    </xf>
    <xf numFmtId="0" fontId="8" fillId="0" borderId="1" xfId="0" applyFont="1" applyBorder="1" applyAlignment="1">
      <alignment horizontal="right" vertical="center" indent="1"/>
    </xf>
    <xf numFmtId="164" fontId="8" fillId="0" borderId="1" xfId="0" applyNumberFormat="1" applyFont="1" applyBorder="1" applyAlignment="1">
      <alignment horizontal="right" vertical="center" indent="1"/>
    </xf>
    <xf numFmtId="0" fontId="8" fillId="0" borderId="5" xfId="0" applyFont="1" applyBorder="1" applyAlignment="1">
      <alignment horizontal="left" indent="1"/>
    </xf>
    <xf numFmtId="0" fontId="8" fillId="0" borderId="6" xfId="0" applyFont="1" applyBorder="1" applyAlignment="1">
      <alignment horizontal="left" vertical="center" indent="1"/>
    </xf>
    <xf numFmtId="0" fontId="8" fillId="8" borderId="1" xfId="0" applyFont="1" applyFill="1" applyBorder="1" applyAlignment="1">
      <alignment horizontal="right" indent="1"/>
    </xf>
    <xf numFmtId="0" fontId="8" fillId="8" borderId="1" xfId="0" applyFont="1" applyFill="1" applyBorder="1" applyAlignment="1">
      <alignment horizontal="right" vertical="center" indent="1"/>
    </xf>
    <xf numFmtId="164" fontId="8" fillId="8" borderId="1" xfId="0" applyNumberFormat="1" applyFont="1" applyFill="1" applyBorder="1" applyAlignment="1">
      <alignment horizontal="right" vertical="center" indent="1"/>
    </xf>
    <xf numFmtId="0" fontId="8" fillId="8" borderId="5" xfId="0" applyFont="1" applyFill="1" applyBorder="1" applyAlignment="1">
      <alignment horizontal="left" indent="1"/>
    </xf>
    <xf numFmtId="0" fontId="8" fillId="0" borderId="7" xfId="0" applyFont="1" applyBorder="1" applyAlignment="1">
      <alignment horizontal="left" vertical="center" indent="1"/>
    </xf>
    <xf numFmtId="0" fontId="8" fillId="0" borderId="8" xfId="0" applyFont="1" applyBorder="1" applyAlignment="1">
      <alignment horizontal="left" vertical="center" indent="1"/>
    </xf>
    <xf numFmtId="0" fontId="8" fillId="5" borderId="2" xfId="0" applyFont="1" applyFill="1" applyBorder="1" applyAlignment="1">
      <alignment horizontal="left" indent="1"/>
    </xf>
    <xf numFmtId="0" fontId="8" fillId="5" borderId="1" xfId="0" applyFont="1" applyFill="1" applyBorder="1" applyAlignment="1">
      <alignment horizontal="left" indent="1"/>
    </xf>
    <xf numFmtId="0" fontId="8" fillId="5" borderId="3" xfId="0" applyFont="1" applyFill="1" applyBorder="1" applyAlignment="1">
      <alignment horizontal="left" indent="1"/>
    </xf>
    <xf numFmtId="0" fontId="8" fillId="9" borderId="4" xfId="0" applyFont="1" applyFill="1" applyBorder="1" applyAlignment="1">
      <alignment horizontal="left" indent="1"/>
    </xf>
    <xf numFmtId="0" fontId="8" fillId="9" borderId="1" xfId="0" applyFont="1" applyFill="1" applyBorder="1" applyAlignment="1">
      <alignment horizontal="left" indent="1"/>
    </xf>
    <xf numFmtId="0" fontId="8" fillId="9" borderId="3" xfId="0" applyFont="1" applyFill="1" applyBorder="1" applyAlignment="1">
      <alignment horizontal="left" indent="1"/>
    </xf>
    <xf numFmtId="0" fontId="8" fillId="4" borderId="1" xfId="0" applyFont="1" applyFill="1" applyBorder="1" applyAlignment="1">
      <alignment horizontal="left" indent="1"/>
    </xf>
    <xf numFmtId="0" fontId="0" fillId="0" borderId="0" xfId="0" applyAlignment="1">
      <alignment horizontal="right" indent="1"/>
    </xf>
    <xf numFmtId="2" fontId="0" fillId="0" borderId="0" xfId="0" applyNumberFormat="1" applyAlignment="1">
      <alignment horizontal="right" indent="1"/>
    </xf>
    <xf numFmtId="0" fontId="8" fillId="0" borderId="12" xfId="0" applyFont="1" applyBorder="1" applyAlignment="1">
      <alignment horizontal="left" vertical="center" indent="1"/>
    </xf>
    <xf numFmtId="0" fontId="8" fillId="0" borderId="22" xfId="0" applyFont="1" applyBorder="1" applyAlignment="1">
      <alignment horizontal="left" vertical="center" indent="1"/>
    </xf>
    <xf numFmtId="0" fontId="8" fillId="0" borderId="23" xfId="0" applyFont="1" applyBorder="1" applyAlignment="1">
      <alignment horizontal="left" vertical="center" indent="1"/>
    </xf>
    <xf numFmtId="0" fontId="7" fillId="2" borderId="0" xfId="0" applyFont="1" applyFill="1"/>
    <xf numFmtId="0" fontId="9" fillId="2" borderId="0" xfId="0" applyFont="1" applyFill="1"/>
    <xf numFmtId="0" fontId="7" fillId="0" borderId="0" xfId="0" applyFont="1"/>
    <xf numFmtId="0" fontId="0" fillId="0" borderId="0" xfId="0" applyAlignment="1">
      <alignment horizontal="left"/>
    </xf>
    <xf numFmtId="14" fontId="0" fillId="0" borderId="0" xfId="0" applyNumberFormat="1"/>
    <xf numFmtId="0" fontId="0" fillId="4" borderId="0" xfId="0" applyFill="1"/>
    <xf numFmtId="14" fontId="0" fillId="0" borderId="0" xfId="0" applyNumberFormat="1" applyAlignment="1">
      <alignment horizontal="center"/>
    </xf>
    <xf numFmtId="0" fontId="0" fillId="0" borderId="0" xfId="0" applyAlignment="1">
      <alignment horizontal="center"/>
    </xf>
    <xf numFmtId="14" fontId="10" fillId="0" borderId="0" xfId="0" applyNumberFormat="1" applyFont="1"/>
    <xf numFmtId="0" fontId="0" fillId="7" borderId="0" xfId="0" applyFill="1"/>
    <xf numFmtId="0" fontId="4" fillId="10" borderId="0" xfId="0" applyFont="1" applyFill="1"/>
    <xf numFmtId="2" fontId="0" fillId="0" borderId="0" xfId="0" applyNumberFormat="1"/>
    <xf numFmtId="0" fontId="0" fillId="0" borderId="0" xfId="0" applyAlignment="1">
      <alignment horizontal="left" vertical="center"/>
    </xf>
    <xf numFmtId="0" fontId="0" fillId="0" borderId="0" xfId="0" applyAlignment="1">
      <alignment vertical="center"/>
    </xf>
    <xf numFmtId="2" fontId="0" fillId="11" borderId="0" xfId="0" applyNumberFormat="1" applyFill="1"/>
    <xf numFmtId="0" fontId="0" fillId="12" borderId="0" xfId="0" applyFill="1"/>
    <xf numFmtId="14" fontId="12" fillId="0" borderId="1" xfId="2" applyNumberFormat="1" applyBorder="1"/>
    <xf numFmtId="0" fontId="12" fillId="0" borderId="1" xfId="2" applyNumberFormat="1" applyBorder="1"/>
    <xf numFmtId="0" fontId="12" fillId="0" borderId="1" xfId="2" applyNumberFormat="1" applyBorder="1" applyAlignment="1">
      <alignment horizontal="center"/>
    </xf>
    <xf numFmtId="2" fontId="12" fillId="0" borderId="1" xfId="2" applyNumberFormat="1" applyBorder="1"/>
    <xf numFmtId="49" fontId="4" fillId="10" borderId="0" xfId="0" applyNumberFormat="1" applyFont="1" applyFill="1"/>
    <xf numFmtId="49" fontId="0" fillId="0" borderId="0" xfId="0" applyNumberFormat="1"/>
    <xf numFmtId="0" fontId="0" fillId="8" borderId="0" xfId="0" applyFill="1"/>
    <xf numFmtId="49" fontId="0" fillId="8" borderId="0" xfId="0" applyNumberFormat="1" applyFill="1"/>
    <xf numFmtId="0" fontId="4" fillId="13" borderId="0" xfId="0" applyFont="1" applyFill="1"/>
    <xf numFmtId="0" fontId="0" fillId="14" borderId="0" xfId="0" applyFill="1"/>
    <xf numFmtId="0" fontId="0" fillId="15" borderId="0" xfId="0" applyFill="1"/>
    <xf numFmtId="0" fontId="4" fillId="16" borderId="0" xfId="0" applyFont="1" applyFill="1"/>
    <xf numFmtId="1" fontId="0" fillId="0" borderId="0" xfId="0" applyNumberFormat="1"/>
    <xf numFmtId="0" fontId="7" fillId="17" borderId="0" xfId="0" applyFont="1" applyFill="1"/>
    <xf numFmtId="0" fontId="0" fillId="17" borderId="0" xfId="0" applyFill="1"/>
    <xf numFmtId="0" fontId="7" fillId="18" borderId="0" xfId="0" applyFont="1" applyFill="1"/>
    <xf numFmtId="0" fontId="0" fillId="18" borderId="0" xfId="0" applyFill="1"/>
    <xf numFmtId="0" fontId="4" fillId="19" borderId="0" xfId="0" applyFont="1" applyFill="1"/>
    <xf numFmtId="0" fontId="0" fillId="11" borderId="0" xfId="0" applyFill="1"/>
    <xf numFmtId="0" fontId="0" fillId="0" borderId="1" xfId="0" applyBorder="1"/>
    <xf numFmtId="2" fontId="11" fillId="3" borderId="0" xfId="0" applyNumberFormat="1" applyFont="1" applyFill="1"/>
    <xf numFmtId="14" fontId="11" fillId="3" borderId="0" xfId="0" applyNumberFormat="1" applyFont="1" applyFill="1"/>
    <xf numFmtId="0" fontId="11" fillId="3" borderId="0" xfId="0" applyFont="1" applyFill="1"/>
    <xf numFmtId="14" fontId="0" fillId="20" borderId="0" xfId="0" applyNumberFormat="1" applyFill="1"/>
    <xf numFmtId="21" fontId="0" fillId="20" borderId="0" xfId="0" applyNumberFormat="1" applyFill="1"/>
    <xf numFmtId="0" fontId="0" fillId="2" borderId="0" xfId="0" applyFill="1"/>
    <xf numFmtId="0" fontId="0" fillId="21" borderId="0" xfId="0" applyFill="1"/>
    <xf numFmtId="0" fontId="0" fillId="21" borderId="0" xfId="0" applyFill="1" applyAlignment="1">
      <alignment horizontal="right"/>
    </xf>
    <xf numFmtId="0" fontId="0" fillId="21" borderId="0" xfId="0" applyFill="1" applyAlignment="1">
      <alignment horizontal="left"/>
    </xf>
    <xf numFmtId="0" fontId="0" fillId="21" borderId="0" xfId="0" quotePrefix="1" applyFill="1" applyAlignment="1">
      <alignment horizontal="right"/>
    </xf>
    <xf numFmtId="14" fontId="11" fillId="21" borderId="0" xfId="0" applyNumberFormat="1" applyFont="1" applyFill="1"/>
    <xf numFmtId="0" fontId="11" fillId="0" borderId="0" xfId="0" applyFont="1"/>
    <xf numFmtId="14" fontId="0" fillId="11" borderId="0" xfId="0" applyNumberFormat="1" applyFill="1"/>
    <xf numFmtId="0" fontId="0" fillId="22" borderId="0" xfId="0" applyFill="1"/>
    <xf numFmtId="10" fontId="0" fillId="0" borderId="0" xfId="0" applyNumberFormat="1"/>
    <xf numFmtId="164" fontId="11" fillId="0" borderId="12" xfId="0" applyNumberFormat="1" applyFont="1" applyBorder="1" applyAlignment="1">
      <alignment horizontal="right" vertical="center" indent="1"/>
    </xf>
    <xf numFmtId="166" fontId="11" fillId="0" borderId="12" xfId="0" applyNumberFormat="1" applyFont="1" applyBorder="1" applyAlignment="1">
      <alignment horizontal="right" vertical="center" indent="1"/>
    </xf>
    <xf numFmtId="0" fontId="11" fillId="0" borderId="12" xfId="0" applyFont="1" applyBorder="1" applyAlignment="1">
      <alignment horizontal="left" indent="1"/>
    </xf>
    <xf numFmtId="164" fontId="11" fillId="0" borderId="27" xfId="0" applyNumberFormat="1" applyFont="1" applyBorder="1" applyAlignment="1">
      <alignment horizontal="right" vertical="center" indent="1"/>
    </xf>
    <xf numFmtId="166" fontId="11" fillId="0" borderId="28" xfId="0" applyNumberFormat="1" applyFont="1" applyBorder="1" applyAlignment="1">
      <alignment horizontal="right" vertical="center" indent="1"/>
    </xf>
    <xf numFmtId="164" fontId="11" fillId="0" borderId="28" xfId="0" applyNumberFormat="1" applyFont="1" applyBorder="1" applyAlignment="1">
      <alignment horizontal="right" vertical="center" indent="1"/>
    </xf>
    <xf numFmtId="0" fontId="11" fillId="0" borderId="28" xfId="0" applyFont="1" applyBorder="1" applyAlignment="1">
      <alignment horizontal="left" indent="1"/>
    </xf>
    <xf numFmtId="166" fontId="11" fillId="0" borderId="1" xfId="0" applyNumberFormat="1" applyFont="1" applyBorder="1" applyAlignment="1">
      <alignment horizontal="right" vertical="center" indent="1"/>
    </xf>
    <xf numFmtId="164" fontId="11" fillId="0" borderId="1" xfId="0" applyNumberFormat="1" applyFont="1" applyBorder="1" applyAlignment="1">
      <alignment horizontal="right" vertical="center" indent="1"/>
    </xf>
    <xf numFmtId="0" fontId="11" fillId="0" borderId="1" xfId="0" applyFont="1" applyBorder="1" applyAlignment="1">
      <alignment horizontal="left" indent="1"/>
    </xf>
    <xf numFmtId="166" fontId="11" fillId="0" borderId="27" xfId="0" applyNumberFormat="1" applyFont="1" applyBorder="1" applyAlignment="1">
      <alignment horizontal="right" vertical="center" indent="1"/>
    </xf>
    <xf numFmtId="0" fontId="11" fillId="0" borderId="27" xfId="0" applyFont="1" applyBorder="1" applyAlignment="1">
      <alignment horizontal="left" indent="1"/>
    </xf>
    <xf numFmtId="9" fontId="0" fillId="0" borderId="1" xfId="0" applyNumberFormat="1" applyBorder="1"/>
    <xf numFmtId="0" fontId="0" fillId="3" borderId="1" xfId="0" applyFill="1" applyBorder="1" applyAlignment="1">
      <alignment horizontal="right" indent="1"/>
    </xf>
    <xf numFmtId="0" fontId="0" fillId="3" borderId="1" xfId="0" applyFill="1" applyBorder="1"/>
    <xf numFmtId="2" fontId="0" fillId="20" borderId="0" xfId="0" applyNumberFormat="1" applyFill="1"/>
    <xf numFmtId="0" fontId="0" fillId="3" borderId="29" xfId="0" applyFill="1" applyBorder="1"/>
    <xf numFmtId="167" fontId="0" fillId="22" borderId="0" xfId="0" applyNumberFormat="1" applyFill="1"/>
    <xf numFmtId="0" fontId="4" fillId="10" borderId="0" xfId="0" applyFont="1" applyFill="1" applyAlignment="1">
      <alignment horizontal="center"/>
    </xf>
    <xf numFmtId="9" fontId="0" fillId="0" borderId="0" xfId="0" applyNumberFormat="1"/>
    <xf numFmtId="0" fontId="0" fillId="0" borderId="29" xfId="0" applyBorder="1"/>
    <xf numFmtId="0" fontId="0" fillId="0" borderId="29" xfId="0" applyBorder="1" applyAlignment="1">
      <alignment horizontal="right" indent="1"/>
    </xf>
    <xf numFmtId="9" fontId="0" fillId="0" borderId="29" xfId="0" applyNumberFormat="1" applyBorder="1"/>
    <xf numFmtId="2" fontId="0" fillId="0" borderId="29" xfId="0" applyNumberFormat="1" applyBorder="1"/>
    <xf numFmtId="0" fontId="13" fillId="0" borderId="0" xfId="0" applyFont="1" applyAlignment="1">
      <alignment horizontal="right" indent="1"/>
    </xf>
    <xf numFmtId="0" fontId="14" fillId="0" borderId="0" xfId="0" applyFont="1" applyAlignment="1">
      <alignment horizontal="left" indent="1"/>
    </xf>
    <xf numFmtId="2" fontId="0" fillId="0" borderId="1" xfId="0" applyNumberFormat="1" applyBorder="1" applyAlignment="1">
      <alignment horizontal="right" indent="1"/>
    </xf>
    <xf numFmtId="0" fontId="0" fillId="0" borderId="27" xfId="0" applyBorder="1"/>
    <xf numFmtId="164" fontId="0" fillId="0" borderId="0" xfId="0" applyNumberFormat="1" applyAlignment="1">
      <alignment horizontal="right" indent="1"/>
    </xf>
    <xf numFmtId="9" fontId="0" fillId="0" borderId="0" xfId="0" applyNumberFormat="1" applyAlignment="1">
      <alignment horizontal="right" indent="1"/>
    </xf>
    <xf numFmtId="0" fontId="0" fillId="23" borderId="0" xfId="0" applyFill="1"/>
    <xf numFmtId="0" fontId="0" fillId="0" borderId="0" xfId="0" applyAlignment="1">
      <alignment horizontal="center" vertical="center" wrapText="1"/>
    </xf>
    <xf numFmtId="0" fontId="0" fillId="0" borderId="0" xfId="0" applyAlignment="1">
      <alignment horizontal="left" vertical="center" indent="1"/>
    </xf>
    <xf numFmtId="0" fontId="0" fillId="0" borderId="0" xfId="0" applyAlignment="1">
      <alignment horizontal="left" indent="1"/>
    </xf>
    <xf numFmtId="0" fontId="0" fillId="3" borderId="0" xfId="0" applyFill="1" applyAlignment="1">
      <alignment vertical="center"/>
    </xf>
    <xf numFmtId="0" fontId="0" fillId="3" borderId="0" xfId="0" applyFill="1" applyAlignment="1">
      <alignment vertical="center" wrapText="1"/>
    </xf>
    <xf numFmtId="0" fontId="15" fillId="0" borderId="0" xfId="0" applyFont="1"/>
    <xf numFmtId="0" fontId="7" fillId="0" borderId="1" xfId="0" applyFont="1" applyBorder="1" applyAlignment="1">
      <alignment horizontal="left" indent="2"/>
    </xf>
    <xf numFmtId="0" fontId="7" fillId="0" borderId="1" xfId="0" applyFont="1" applyBorder="1"/>
    <xf numFmtId="0" fontId="0" fillId="0" borderId="1" xfId="0" applyBorder="1" applyAlignment="1">
      <alignment horizontal="left" vertical="center" wrapText="1"/>
    </xf>
    <xf numFmtId="0" fontId="0" fillId="0" borderId="1" xfId="0" applyBorder="1" applyAlignment="1">
      <alignment horizontal="right" vertical="center" wrapText="1" indent="1"/>
    </xf>
    <xf numFmtId="2" fontId="0" fillId="0" borderId="1" xfId="0" applyNumberFormat="1" applyBorder="1"/>
    <xf numFmtId="168" fontId="0" fillId="0" borderId="0" xfId="0" applyNumberFormat="1"/>
    <xf numFmtId="0" fontId="0" fillId="0" borderId="0" xfId="0" applyProtection="1">
      <protection hidden="1"/>
    </xf>
    <xf numFmtId="0" fontId="11" fillId="0" borderId="0" xfId="0" applyFont="1" applyProtection="1">
      <protection hidden="1"/>
    </xf>
    <xf numFmtId="0" fontId="7" fillId="0" borderId="0" xfId="0" applyFont="1" applyProtection="1">
      <protection hidden="1"/>
    </xf>
    <xf numFmtId="0" fontId="11" fillId="0" borderId="0" xfId="0" applyFont="1" applyAlignment="1" applyProtection="1">
      <alignment horizontal="right"/>
      <protection hidden="1"/>
    </xf>
    <xf numFmtId="14" fontId="11" fillId="0" borderId="1" xfId="0" applyNumberFormat="1" applyFont="1" applyBorder="1" applyAlignment="1" applyProtection="1">
      <alignment horizontal="center"/>
      <protection locked="0"/>
    </xf>
    <xf numFmtId="4" fontId="11" fillId="0" borderId="1" xfId="0" applyNumberFormat="1" applyFont="1" applyBorder="1" applyProtection="1">
      <protection locked="0"/>
    </xf>
    <xf numFmtId="0" fontId="11" fillId="0" borderId="0" xfId="0" applyFont="1" applyAlignment="1" applyProtection="1">
      <alignment horizontal="left" indent="1"/>
      <protection locked="0"/>
    </xf>
    <xf numFmtId="4" fontId="17" fillId="0" borderId="0" xfId="0" applyNumberFormat="1" applyFont="1" applyProtection="1">
      <protection hidden="1"/>
    </xf>
    <xf numFmtId="10" fontId="11" fillId="0" borderId="1" xfId="1" applyNumberFormat="1" applyFont="1" applyFill="1" applyBorder="1" applyProtection="1">
      <protection locked="0"/>
    </xf>
    <xf numFmtId="9" fontId="11" fillId="0" borderId="1" xfId="1" applyFont="1" applyFill="1" applyBorder="1" applyProtection="1">
      <protection hidden="1"/>
    </xf>
    <xf numFmtId="4" fontId="11" fillId="0" borderId="1" xfId="0" applyNumberFormat="1" applyFont="1" applyBorder="1" applyProtection="1">
      <protection hidden="1"/>
    </xf>
    <xf numFmtId="0" fontId="11" fillId="0" borderId="0" xfId="0" applyFont="1" applyAlignment="1" applyProtection="1">
      <alignment horizontal="left" indent="1"/>
      <protection hidden="1"/>
    </xf>
    <xf numFmtId="3" fontId="11" fillId="0" borderId="1" xfId="0" applyNumberFormat="1" applyFont="1" applyBorder="1" applyProtection="1">
      <protection locked="0"/>
    </xf>
    <xf numFmtId="0" fontId="18" fillId="0" borderId="0" xfId="0" applyFont="1" applyProtection="1">
      <protection hidden="1"/>
    </xf>
    <xf numFmtId="0" fontId="11" fillId="0" borderId="0" xfId="0" applyFont="1" applyAlignment="1" applyProtection="1">
      <alignment wrapText="1"/>
      <protection hidden="1"/>
    </xf>
    <xf numFmtId="0" fontId="11" fillId="0" borderId="0" xfId="0" applyFont="1" applyAlignment="1">
      <alignment wrapText="1"/>
    </xf>
    <xf numFmtId="2" fontId="11" fillId="0" borderId="1" xfId="0" applyNumberFormat="1" applyFont="1" applyBorder="1" applyProtection="1">
      <protection hidden="1"/>
    </xf>
    <xf numFmtId="0" fontId="20" fillId="0" borderId="0" xfId="0" applyFont="1" applyProtection="1">
      <protection hidden="1"/>
    </xf>
    <xf numFmtId="0" fontId="0" fillId="0" borderId="0" xfId="0" applyAlignment="1" applyProtection="1">
      <alignment wrapText="1"/>
      <protection hidden="1"/>
    </xf>
    <xf numFmtId="0" fontId="0" fillId="0" borderId="1" xfId="0" applyBorder="1" applyAlignment="1" applyProtection="1">
      <alignment horizontal="center" vertical="center" wrapText="1"/>
      <protection hidden="1"/>
    </xf>
    <xf numFmtId="0" fontId="11" fillId="0" borderId="1" xfId="0" applyFont="1" applyBorder="1" applyAlignment="1" applyProtection="1">
      <alignment horizontal="center" vertical="center" wrapText="1"/>
      <protection hidden="1"/>
    </xf>
    <xf numFmtId="0" fontId="0" fillId="0" borderId="1" xfId="0" applyBorder="1" applyAlignment="1" applyProtection="1">
      <alignment horizontal="right" indent="1"/>
      <protection hidden="1"/>
    </xf>
    <xf numFmtId="4" fontId="0" fillId="0" borderId="1" xfId="0" applyNumberFormat="1" applyBorder="1" applyAlignment="1" applyProtection="1">
      <alignment horizontal="right" indent="1"/>
      <protection hidden="1"/>
    </xf>
    <xf numFmtId="4" fontId="0" fillId="0" borderId="1" xfId="0" quotePrefix="1" applyNumberFormat="1" applyBorder="1" applyAlignment="1" applyProtection="1">
      <alignment horizontal="right" indent="1"/>
      <protection hidden="1"/>
    </xf>
    <xf numFmtId="0" fontId="4" fillId="0" borderId="0" xfId="0" applyFont="1" applyAlignment="1" applyProtection="1">
      <alignment horizontal="right" indent="1"/>
      <protection hidden="1"/>
    </xf>
    <xf numFmtId="0" fontId="0" fillId="0" borderId="0" xfId="0" applyAlignment="1" applyProtection="1">
      <alignment horizontal="right" indent="1"/>
      <protection hidden="1"/>
    </xf>
    <xf numFmtId="4" fontId="7" fillId="0" borderId="0" xfId="0" applyNumberFormat="1" applyFont="1" applyAlignment="1" applyProtection="1">
      <alignment horizontal="right" indent="1"/>
      <protection hidden="1"/>
    </xf>
    <xf numFmtId="0" fontId="13" fillId="3" borderId="0" xfId="0" applyFont="1" applyFill="1" applyAlignment="1">
      <alignment horizontal="left" indent="1"/>
    </xf>
    <xf numFmtId="0" fontId="13" fillId="3" borderId="0" xfId="0" applyFont="1" applyFill="1" applyAlignment="1">
      <alignment horizontal="left"/>
    </xf>
    <xf numFmtId="1" fontId="0" fillId="3" borderId="0" xfId="0" applyNumberFormat="1" applyFill="1"/>
    <xf numFmtId="0" fontId="0" fillId="3" borderId="0" xfId="0" applyFill="1" applyAlignment="1">
      <alignment horizontal="left"/>
    </xf>
    <xf numFmtId="0" fontId="0" fillId="3" borderId="0" xfId="0" applyFill="1" applyAlignment="1">
      <alignment horizontal="center"/>
    </xf>
    <xf numFmtId="0" fontId="0" fillId="0" borderId="0" xfId="0" applyAlignment="1">
      <alignment vertical="center" wrapText="1"/>
    </xf>
    <xf numFmtId="0" fontId="0" fillId="0" borderId="1" xfId="0" applyBorder="1" applyAlignment="1">
      <alignment horizontal="center" vertical="center" wrapText="1"/>
    </xf>
    <xf numFmtId="169" fontId="0" fillId="0" borderId="0" xfId="0" applyNumberFormat="1"/>
    <xf numFmtId="22" fontId="0" fillId="0" borderId="0" xfId="0" applyNumberFormat="1"/>
    <xf numFmtId="0" fontId="23" fillId="0" borderId="1" xfId="2" applyNumberFormat="1" applyFont="1" applyBorder="1"/>
    <xf numFmtId="0" fontId="23" fillId="0" borderId="1" xfId="2" applyNumberFormat="1" applyFont="1" applyBorder="1" applyAlignment="1">
      <alignment horizontal="center"/>
    </xf>
    <xf numFmtId="0" fontId="0" fillId="0" borderId="33" xfId="0" applyBorder="1"/>
    <xf numFmtId="49" fontId="0" fillId="0" borderId="34" xfId="0" applyNumberFormat="1" applyBorder="1"/>
    <xf numFmtId="14" fontId="12" fillId="0" borderId="26" xfId="2" applyNumberFormat="1" applyBorder="1"/>
    <xf numFmtId="0" fontId="12" fillId="0" borderId="26" xfId="2" applyNumberFormat="1" applyBorder="1"/>
    <xf numFmtId="0" fontId="12" fillId="0" borderId="26" xfId="2" applyNumberFormat="1" applyBorder="1" applyAlignment="1">
      <alignment horizontal="center"/>
    </xf>
    <xf numFmtId="2" fontId="12" fillId="0" borderId="23" xfId="2" applyNumberFormat="1" applyBorder="1"/>
    <xf numFmtId="0" fontId="0" fillId="0" borderId="34" xfId="0" applyBorder="1"/>
    <xf numFmtId="49" fontId="0" fillId="0" borderId="35" xfId="0" applyNumberFormat="1" applyBorder="1"/>
    <xf numFmtId="0" fontId="0" fillId="8" borderId="0" xfId="0" applyFill="1" applyAlignment="1">
      <alignment horizontal="center"/>
    </xf>
    <xf numFmtId="0" fontId="0" fillId="0" borderId="26" xfId="0" applyBorder="1"/>
    <xf numFmtId="0" fontId="0" fillId="0" borderId="23" xfId="0" applyBorder="1"/>
    <xf numFmtId="0" fontId="0" fillId="0" borderId="24" xfId="0" applyBorder="1"/>
    <xf numFmtId="0" fontId="0" fillId="0" borderId="32" xfId="0" applyBorder="1"/>
    <xf numFmtId="0" fontId="0" fillId="0" borderId="22" xfId="0" applyBorder="1"/>
    <xf numFmtId="0" fontId="0" fillId="2" borderId="11" xfId="0" applyFill="1" applyBorder="1"/>
    <xf numFmtId="0" fontId="0" fillId="2" borderId="12" xfId="0" applyFill="1" applyBorder="1"/>
    <xf numFmtId="0" fontId="0" fillId="2" borderId="13" xfId="0" applyFill="1" applyBorder="1"/>
    <xf numFmtId="0" fontId="0" fillId="0" borderId="4" xfId="0" applyBorder="1" applyAlignment="1">
      <alignment vertical="center"/>
    </xf>
    <xf numFmtId="0" fontId="0" fillId="0" borderId="1" xfId="0" applyBorder="1" applyAlignment="1">
      <alignment horizontal="center" vertical="center"/>
    </xf>
    <xf numFmtId="2" fontId="0" fillId="0" borderId="1" xfId="0" applyNumberFormat="1" applyBorder="1" applyAlignment="1">
      <alignment horizontal="right" vertical="center" indent="1"/>
    </xf>
    <xf numFmtId="0" fontId="0" fillId="0" borderId="0" xfId="0" quotePrefix="1" applyAlignment="1">
      <alignment vertical="center"/>
    </xf>
    <xf numFmtId="0" fontId="0" fillId="0" borderId="23" xfId="0" applyBorder="1" applyAlignment="1">
      <alignment vertical="center"/>
    </xf>
    <xf numFmtId="0" fontId="0" fillId="0" borderId="12" xfId="0" applyBorder="1"/>
    <xf numFmtId="9" fontId="0" fillId="0" borderId="1" xfId="0" applyNumberFormat="1" applyBorder="1" applyAlignment="1">
      <alignment horizontal="right" vertical="center" indent="1"/>
    </xf>
    <xf numFmtId="14" fontId="7" fillId="22" borderId="12" xfId="0" applyNumberFormat="1" applyFont="1" applyFill="1" applyBorder="1"/>
    <xf numFmtId="0" fontId="9" fillId="0" borderId="0" xfId="0" applyFont="1"/>
    <xf numFmtId="0" fontId="0" fillId="0" borderId="4" xfId="0" applyBorder="1"/>
    <xf numFmtId="0" fontId="0" fillId="0" borderId="30" xfId="0" applyBorder="1"/>
    <xf numFmtId="0" fontId="0" fillId="0" borderId="5" xfId="0" applyBorder="1"/>
    <xf numFmtId="14" fontId="0" fillId="0" borderId="1" xfId="0" applyNumberFormat="1" applyBorder="1"/>
    <xf numFmtId="170" fontId="0" fillId="6" borderId="1" xfId="0" applyNumberFormat="1" applyFill="1" applyBorder="1" applyAlignment="1">
      <alignment horizontal="center"/>
    </xf>
    <xf numFmtId="170" fontId="0" fillId="6" borderId="2" xfId="0" applyNumberFormat="1" applyFill="1" applyBorder="1" applyAlignment="1">
      <alignment horizontal="center"/>
    </xf>
    <xf numFmtId="0" fontId="0" fillId="24" borderId="3" xfId="0" applyFill="1" applyBorder="1"/>
    <xf numFmtId="0" fontId="0" fillId="24" borderId="1" xfId="0" applyFill="1" applyBorder="1" applyAlignment="1">
      <alignment horizontal="center"/>
    </xf>
    <xf numFmtId="14" fontId="0" fillId="24" borderId="1" xfId="0" applyNumberFormat="1" applyFill="1" applyBorder="1" applyAlignment="1">
      <alignment horizontal="right" indent="1"/>
    </xf>
    <xf numFmtId="14" fontId="0" fillId="0" borderId="1" xfId="0" applyNumberFormat="1" applyBorder="1" applyAlignment="1">
      <alignment horizontal="right" indent="1"/>
    </xf>
    <xf numFmtId="0" fontId="0" fillId="0" borderId="2" xfId="0" applyBorder="1"/>
    <xf numFmtId="0" fontId="0" fillId="24" borderId="37" xfId="0" applyFill="1" applyBorder="1"/>
    <xf numFmtId="0" fontId="0" fillId="24" borderId="38" xfId="0" applyFill="1" applyBorder="1" applyAlignment="1">
      <alignment horizontal="center"/>
    </xf>
    <xf numFmtId="14" fontId="0" fillId="0" borderId="38" xfId="0" applyNumberFormat="1" applyBorder="1" applyAlignment="1">
      <alignment horizontal="right" indent="1"/>
    </xf>
    <xf numFmtId="0" fontId="0" fillId="0" borderId="38" xfId="0" applyBorder="1"/>
    <xf numFmtId="0" fontId="0" fillId="0" borderId="39" xfId="0" applyBorder="1"/>
    <xf numFmtId="0" fontId="0" fillId="24" borderId="0" xfId="0" applyFill="1"/>
    <xf numFmtId="170" fontId="0" fillId="6" borderId="0" xfId="0" applyNumberFormat="1" applyFill="1" applyAlignment="1">
      <alignment horizontal="left"/>
    </xf>
    <xf numFmtId="170" fontId="0" fillId="6" borderId="0" xfId="0" applyNumberFormat="1" applyFill="1" applyAlignment="1">
      <alignment horizontal="center"/>
    </xf>
    <xf numFmtId="0" fontId="5" fillId="3" borderId="0" xfId="0" applyFont="1" applyFill="1"/>
    <xf numFmtId="20" fontId="0" fillId="0" borderId="0" xfId="0" applyNumberFormat="1"/>
    <xf numFmtId="14" fontId="0" fillId="25" borderId="0" xfId="0" applyNumberFormat="1" applyFill="1"/>
    <xf numFmtId="0" fontId="0" fillId="22" borderId="0" xfId="0" applyFill="1" applyAlignment="1">
      <alignment horizontal="center"/>
    </xf>
    <xf numFmtId="0" fontId="0" fillId="7" borderId="40" xfId="0" quotePrefix="1" applyFill="1" applyBorder="1"/>
    <xf numFmtId="14" fontId="4" fillId="10" borderId="0" xfId="0" applyNumberFormat="1" applyFont="1" applyFill="1"/>
    <xf numFmtId="0" fontId="7" fillId="3" borderId="0" xfId="0" applyFont="1" applyFill="1" applyAlignment="1">
      <alignment horizontal="center"/>
    </xf>
    <xf numFmtId="0" fontId="25" fillId="0" borderId="0" xfId="0" applyFont="1"/>
    <xf numFmtId="1" fontId="0" fillId="20" borderId="1" xfId="0" applyNumberFormat="1" applyFill="1" applyBorder="1"/>
    <xf numFmtId="1" fontId="0" fillId="20" borderId="1" xfId="0" applyNumberFormat="1" applyFill="1" applyBorder="1" applyAlignment="1">
      <alignment horizontal="center"/>
    </xf>
    <xf numFmtId="9" fontId="8" fillId="0" borderId="1" xfId="0" applyNumberFormat="1" applyFont="1" applyBorder="1" applyAlignment="1">
      <alignment horizontal="right" vertical="center" indent="1"/>
    </xf>
    <xf numFmtId="0" fontId="8" fillId="0" borderId="5" xfId="0" applyFont="1" applyBorder="1" applyAlignment="1">
      <alignment horizontal="left" wrapText="1" indent="1"/>
    </xf>
    <xf numFmtId="0" fontId="0" fillId="4" borderId="44" xfId="0" applyFill="1" applyBorder="1"/>
    <xf numFmtId="0" fontId="8" fillId="4" borderId="45" xfId="0" applyFont="1" applyFill="1" applyBorder="1" applyAlignment="1">
      <alignment horizontal="left" vertical="center" indent="1"/>
    </xf>
    <xf numFmtId="0" fontId="0" fillId="7" borderId="27" xfId="0" applyFill="1" applyBorder="1" applyAlignment="1">
      <alignment horizontal="left" indent="1"/>
    </xf>
    <xf numFmtId="0" fontId="8" fillId="7" borderId="46" xfId="0" applyFont="1" applyFill="1" applyBorder="1" applyAlignment="1">
      <alignment horizontal="left" vertical="center" indent="1"/>
    </xf>
    <xf numFmtId="0" fontId="8" fillId="0" borderId="0" xfId="0" applyFont="1"/>
    <xf numFmtId="0" fontId="28" fillId="13" borderId="0" xfId="0" applyFont="1" applyFill="1"/>
    <xf numFmtId="0" fontId="29" fillId="13" borderId="0" xfId="0" applyFont="1" applyFill="1"/>
    <xf numFmtId="0" fontId="32" fillId="24" borderId="0" xfId="0" applyFont="1" applyFill="1"/>
    <xf numFmtId="0" fontId="33" fillId="24" borderId="47" xfId="0" applyFont="1" applyFill="1" applyBorder="1"/>
    <xf numFmtId="0" fontId="33" fillId="24" borderId="0" xfId="0" applyFont="1" applyFill="1"/>
    <xf numFmtId="0" fontId="34" fillId="16" borderId="0" xfId="0" applyFont="1" applyFill="1"/>
    <xf numFmtId="2" fontId="0" fillId="6" borderId="48" xfId="0" applyNumberFormat="1" applyFill="1" applyBorder="1" applyAlignment="1">
      <alignment horizontal="right" indent="2"/>
    </xf>
    <xf numFmtId="0" fontId="0" fillId="6" borderId="49" xfId="0" applyFill="1" applyBorder="1"/>
    <xf numFmtId="2" fontId="0" fillId="6" borderId="50" xfId="0" applyNumberFormat="1" applyFill="1" applyBorder="1" applyAlignment="1">
      <alignment horizontal="right" indent="2"/>
    </xf>
    <xf numFmtId="0" fontId="0" fillId="6" borderId="51" xfId="0" applyFill="1" applyBorder="1"/>
    <xf numFmtId="164" fontId="35" fillId="27" borderId="52" xfId="0" applyNumberFormat="1" applyFont="1" applyFill="1" applyBorder="1" applyAlignment="1">
      <alignment horizontal="right" indent="1"/>
    </xf>
    <xf numFmtId="0" fontId="18" fillId="27" borderId="53" xfId="0" applyFont="1" applyFill="1" applyBorder="1"/>
    <xf numFmtId="164" fontId="35" fillId="27" borderId="54" xfId="0" applyNumberFormat="1" applyFont="1" applyFill="1" applyBorder="1" applyAlignment="1">
      <alignment horizontal="right" indent="1"/>
    </xf>
    <xf numFmtId="0" fontId="18" fillId="27" borderId="55" xfId="0" applyFont="1" applyFill="1" applyBorder="1"/>
    <xf numFmtId="0" fontId="18" fillId="17" borderId="56" xfId="5" applyFont="1" applyFill="1" applyBorder="1"/>
    <xf numFmtId="0" fontId="18" fillId="17" borderId="57" xfId="5" applyFont="1" applyFill="1" applyBorder="1"/>
    <xf numFmtId="0" fontId="3" fillId="26" borderId="58" xfId="5" applyBorder="1"/>
    <xf numFmtId="0" fontId="3" fillId="26" borderId="59" xfId="5" applyBorder="1"/>
    <xf numFmtId="0" fontId="27" fillId="0" borderId="60" xfId="4" applyBorder="1"/>
    <xf numFmtId="0" fontId="36" fillId="0" borderId="60" xfId="4" applyFont="1" applyBorder="1"/>
    <xf numFmtId="0" fontId="27" fillId="0" borderId="42" xfId="4"/>
    <xf numFmtId="0" fontId="18" fillId="0" borderId="0" xfId="0" applyFont="1"/>
    <xf numFmtId="0" fontId="26" fillId="0" borderId="61" xfId="3" applyBorder="1"/>
    <xf numFmtId="0" fontId="37" fillId="0" borderId="61" xfId="3" applyFont="1" applyBorder="1"/>
    <xf numFmtId="0" fontId="26" fillId="0" borderId="41" xfId="3"/>
    <xf numFmtId="0" fontId="5" fillId="2" borderId="0" xfId="0" applyFont="1" applyFill="1" applyAlignment="1">
      <alignment horizontal="right"/>
    </xf>
    <xf numFmtId="0" fontId="0" fillId="0" borderId="31" xfId="0" applyBorder="1"/>
    <xf numFmtId="0" fontId="0" fillId="24" borderId="0" xfId="0" applyFill="1" applyAlignment="1">
      <alignment horizontal="center"/>
    </xf>
    <xf numFmtId="0" fontId="21" fillId="10" borderId="62" xfId="0" applyFont="1" applyFill="1" applyBorder="1"/>
    <xf numFmtId="0" fontId="21" fillId="10" borderId="0" xfId="0" applyFont="1" applyFill="1"/>
    <xf numFmtId="0" fontId="11" fillId="28" borderId="26" xfId="0" applyFont="1" applyFill="1" applyBorder="1"/>
    <xf numFmtId="0" fontId="11" fillId="0" borderId="26" xfId="0" applyFont="1" applyBorder="1"/>
    <xf numFmtId="0" fontId="0" fillId="0" borderId="4" xfId="0" quotePrefix="1" applyBorder="1"/>
    <xf numFmtId="0" fontId="11" fillId="28" borderId="63" xfId="0" applyFont="1" applyFill="1" applyBorder="1"/>
    <xf numFmtId="0" fontId="11" fillId="0" borderId="63" xfId="0" applyFont="1" applyBorder="1"/>
    <xf numFmtId="14" fontId="11" fillId="28" borderId="25" xfId="0" applyNumberFormat="1" applyFont="1" applyFill="1" applyBorder="1"/>
    <xf numFmtId="14" fontId="11" fillId="0" borderId="25" xfId="0" applyNumberFormat="1" applyFont="1" applyBorder="1"/>
    <xf numFmtId="10" fontId="0" fillId="28" borderId="63" xfId="0" applyNumberFormat="1" applyFill="1" applyBorder="1"/>
    <xf numFmtId="10" fontId="0" fillId="0" borderId="63" xfId="0" applyNumberFormat="1" applyBorder="1"/>
    <xf numFmtId="0" fontId="11" fillId="28" borderId="0" xfId="0" applyFont="1" applyFill="1"/>
    <xf numFmtId="0" fontId="11" fillId="28" borderId="32" xfId="0" applyFont="1" applyFill="1" applyBorder="1"/>
    <xf numFmtId="10" fontId="11" fillId="28" borderId="32" xfId="0" applyNumberFormat="1" applyFont="1" applyFill="1" applyBorder="1"/>
    <xf numFmtId="2" fontId="0" fillId="21" borderId="1" xfId="0" applyNumberFormat="1" applyFill="1" applyBorder="1"/>
    <xf numFmtId="1" fontId="0" fillId="2" borderId="0" xfId="0" applyNumberFormat="1" applyFill="1"/>
    <xf numFmtId="1" fontId="0" fillId="21" borderId="0" xfId="0" applyNumberFormat="1" applyFill="1"/>
    <xf numFmtId="171" fontId="8" fillId="0" borderId="1" xfId="0" applyNumberFormat="1" applyFont="1" applyBorder="1" applyAlignment="1">
      <alignment horizontal="right" vertical="center" indent="1"/>
    </xf>
    <xf numFmtId="0" fontId="0" fillId="0" borderId="0" xfId="0" applyAlignment="1">
      <alignment wrapText="1"/>
    </xf>
    <xf numFmtId="0" fontId="39" fillId="0" borderId="0" xfId="0" applyFont="1" applyAlignment="1">
      <alignment wrapText="1"/>
    </xf>
    <xf numFmtId="0" fontId="40" fillId="0" borderId="0" xfId="0" applyFont="1"/>
    <xf numFmtId="0" fontId="40" fillId="6" borderId="51" xfId="0" applyFont="1" applyFill="1" applyBorder="1"/>
    <xf numFmtId="2" fontId="40" fillId="6" borderId="50" xfId="0" applyNumberFormat="1" applyFont="1" applyFill="1" applyBorder="1" applyAlignment="1">
      <alignment horizontal="right" indent="2"/>
    </xf>
    <xf numFmtId="0" fontId="41" fillId="27" borderId="55" xfId="0" applyFont="1" applyFill="1" applyBorder="1"/>
    <xf numFmtId="164" fontId="42" fillId="27" borderId="54" xfId="0" applyNumberFormat="1" applyFont="1" applyFill="1" applyBorder="1" applyAlignment="1">
      <alignment horizontal="right" indent="1"/>
    </xf>
    <xf numFmtId="0" fontId="0" fillId="0" borderId="1" xfId="0" applyBorder="1" applyAlignment="1">
      <alignment wrapText="1"/>
    </xf>
    <xf numFmtId="0" fontId="40" fillId="0" borderId="1" xfId="0" applyFont="1" applyBorder="1" applyAlignment="1">
      <alignment wrapText="1"/>
    </xf>
    <xf numFmtId="0" fontId="0" fillId="22" borderId="1" xfId="0" applyFill="1" applyBorder="1" applyAlignment="1">
      <alignment wrapText="1"/>
    </xf>
    <xf numFmtId="0" fontId="0" fillId="23" borderId="1" xfId="0" applyFill="1" applyBorder="1" applyAlignment="1">
      <alignment wrapText="1"/>
    </xf>
    <xf numFmtId="164" fontId="0" fillId="0" borderId="0" xfId="0" applyNumberFormat="1"/>
    <xf numFmtId="172" fontId="8" fillId="0" borderId="2" xfId="0" applyNumberFormat="1" applyFont="1" applyBorder="1" applyAlignment="1">
      <alignment horizontal="right"/>
    </xf>
    <xf numFmtId="43" fontId="8" fillId="0" borderId="1" xfId="6" applyFont="1" applyBorder="1" applyAlignment="1">
      <alignment horizontal="right"/>
    </xf>
    <xf numFmtId="43" fontId="8" fillId="7" borderId="1" xfId="6" applyFont="1" applyFill="1" applyBorder="1" applyAlignment="1">
      <alignment horizontal="right" vertical="center"/>
    </xf>
    <xf numFmtId="43" fontId="0" fillId="7" borderId="27" xfId="6" applyFont="1" applyFill="1" applyBorder="1"/>
    <xf numFmtId="43" fontId="0" fillId="4" borderId="44" xfId="6" applyFont="1" applyFill="1" applyBorder="1"/>
    <xf numFmtId="43" fontId="8" fillId="0" borderId="1" xfId="6" applyFont="1" applyBorder="1" applyAlignment="1">
      <alignment horizontal="right" vertical="center" indent="1"/>
    </xf>
    <xf numFmtId="172" fontId="8" fillId="7" borderId="1" xfId="6" applyNumberFormat="1" applyFont="1" applyFill="1" applyBorder="1" applyAlignment="1">
      <alignment horizontal="right" vertical="center"/>
    </xf>
    <xf numFmtId="172" fontId="0" fillId="4" borderId="44" xfId="6" applyNumberFormat="1" applyFont="1" applyFill="1" applyBorder="1"/>
    <xf numFmtId="171" fontId="0" fillId="0" borderId="0" xfId="0" applyNumberFormat="1"/>
    <xf numFmtId="4" fontId="0" fillId="23" borderId="1" xfId="0" applyNumberFormat="1" applyFill="1" applyBorder="1" applyAlignment="1">
      <alignment wrapText="1"/>
    </xf>
    <xf numFmtId="172" fontId="0" fillId="22" borderId="1" xfId="0" applyNumberFormat="1" applyFill="1" applyBorder="1" applyAlignment="1">
      <alignment wrapText="1"/>
    </xf>
    <xf numFmtId="172" fontId="0" fillId="0" borderId="1" xfId="7" applyNumberFormat="1" applyFont="1" applyBorder="1" applyAlignment="1">
      <alignment wrapText="1"/>
    </xf>
    <xf numFmtId="172" fontId="0" fillId="22" borderId="1" xfId="7" applyNumberFormat="1" applyFont="1" applyFill="1" applyBorder="1" applyAlignment="1">
      <alignment wrapText="1"/>
    </xf>
    <xf numFmtId="172" fontId="0" fillId="23" borderId="1" xfId="7" applyNumberFormat="1" applyFont="1" applyFill="1" applyBorder="1" applyAlignment="1">
      <alignment wrapText="1"/>
    </xf>
    <xf numFmtId="172" fontId="0" fillId="0" borderId="1" xfId="0" applyNumberFormat="1" applyBorder="1" applyAlignment="1">
      <alignment wrapText="1"/>
    </xf>
    <xf numFmtId="172" fontId="0" fillId="23" borderId="1" xfId="0" applyNumberFormat="1" applyFill="1" applyBorder="1" applyAlignment="1">
      <alignment wrapText="1"/>
    </xf>
    <xf numFmtId="172" fontId="8" fillId="0" borderId="1" xfId="0" applyNumberFormat="1" applyFont="1" applyBorder="1" applyAlignment="1">
      <alignment horizontal="right" vertical="center" indent="1"/>
    </xf>
    <xf numFmtId="172" fontId="8" fillId="7" borderId="1" xfId="0" applyNumberFormat="1" applyFont="1" applyFill="1" applyBorder="1" applyAlignment="1">
      <alignment horizontal="right" vertical="center"/>
    </xf>
    <xf numFmtId="172" fontId="0" fillId="7" borderId="27" xfId="0" applyNumberFormat="1" applyFill="1" applyBorder="1"/>
    <xf numFmtId="172" fontId="0" fillId="4" borderId="44" xfId="0" applyNumberFormat="1" applyFill="1" applyBorder="1"/>
    <xf numFmtId="172" fontId="8" fillId="0" borderId="1" xfId="0" applyNumberFormat="1" applyFont="1" applyBorder="1" applyAlignment="1">
      <alignment horizontal="right" indent="1"/>
    </xf>
    <xf numFmtId="172" fontId="8" fillId="8" borderId="1" xfId="0" applyNumberFormat="1" applyFont="1" applyFill="1" applyBorder="1" applyAlignment="1">
      <alignment horizontal="right" vertical="center" indent="1"/>
    </xf>
    <xf numFmtId="172" fontId="8" fillId="0" borderId="3" xfId="0" applyNumberFormat="1" applyFont="1" applyBorder="1" applyAlignment="1">
      <alignment horizontal="right" indent="1"/>
    </xf>
    <xf numFmtId="172" fontId="8" fillId="6" borderId="3" xfId="0" applyNumberFormat="1" applyFont="1" applyFill="1" applyBorder="1" applyAlignment="1">
      <alignment horizontal="right" indent="1"/>
    </xf>
    <xf numFmtId="172" fontId="8" fillId="6" borderId="1" xfId="0" applyNumberFormat="1" applyFont="1" applyFill="1" applyBorder="1" applyAlignment="1">
      <alignment horizontal="right" indent="1"/>
    </xf>
    <xf numFmtId="172" fontId="8" fillId="6" borderId="4" xfId="0" applyNumberFormat="1" applyFont="1" applyFill="1" applyBorder="1" applyAlignment="1">
      <alignment horizontal="right" indent="1"/>
    </xf>
    <xf numFmtId="172" fontId="8" fillId="8" borderId="1" xfId="0" applyNumberFormat="1" applyFont="1" applyFill="1" applyBorder="1" applyAlignment="1">
      <alignment horizontal="right" indent="1"/>
    </xf>
    <xf numFmtId="172" fontId="8" fillId="4" borderId="1" xfId="0" applyNumberFormat="1" applyFont="1" applyFill="1" applyBorder="1" applyAlignment="1">
      <alignment horizontal="right" vertical="center" indent="1"/>
    </xf>
    <xf numFmtId="0" fontId="43" fillId="0" borderId="0" xfId="0" applyFont="1"/>
    <xf numFmtId="14" fontId="0" fillId="21" borderId="0" xfId="0" applyNumberFormat="1" applyFill="1"/>
    <xf numFmtId="0" fontId="38" fillId="10" borderId="0" xfId="0" applyFont="1" applyFill="1" applyAlignment="1">
      <alignment horizontal="center"/>
    </xf>
    <xf numFmtId="0" fontId="44" fillId="29" borderId="0" xfId="0" applyFont="1" applyFill="1"/>
    <xf numFmtId="0" fontId="2" fillId="28" borderId="32" xfId="0" applyFont="1" applyFill="1" applyBorder="1"/>
    <xf numFmtId="9" fontId="0" fillId="24" borderId="0" xfId="0" applyNumberFormat="1" applyFill="1" applyAlignment="1">
      <alignment horizontal="center"/>
    </xf>
    <xf numFmtId="10" fontId="0" fillId="30" borderId="0" xfId="0" applyNumberFormat="1" applyFill="1" applyAlignment="1">
      <alignment horizontal="center"/>
    </xf>
    <xf numFmtId="2" fontId="0" fillId="24" borderId="0" xfId="0" applyNumberFormat="1" applyFill="1"/>
    <xf numFmtId="14" fontId="0" fillId="22" borderId="0" xfId="0" applyNumberFormat="1" applyFill="1"/>
    <xf numFmtId="0" fontId="12" fillId="21" borderId="1" xfId="2" applyNumberFormat="1" applyFill="1" applyBorder="1" applyAlignment="1">
      <alignment horizontal="center"/>
    </xf>
    <xf numFmtId="0" fontId="45" fillId="22" borderId="1" xfId="2" applyNumberFormat="1" applyFont="1" applyFill="1" applyBorder="1" applyAlignment="1">
      <alignment horizontal="center"/>
    </xf>
    <xf numFmtId="0" fontId="45" fillId="0" borderId="1" xfId="2" applyNumberFormat="1" applyFont="1" applyBorder="1" applyAlignment="1">
      <alignment horizontal="center"/>
    </xf>
    <xf numFmtId="0" fontId="46" fillId="22" borderId="1" xfId="2" applyNumberFormat="1" applyFont="1" applyFill="1" applyBorder="1" applyAlignment="1">
      <alignment horizontal="center"/>
    </xf>
    <xf numFmtId="0" fontId="46" fillId="0" borderId="1" xfId="2" applyNumberFormat="1" applyFont="1" applyBorder="1" applyAlignment="1">
      <alignment horizontal="center"/>
    </xf>
    <xf numFmtId="0" fontId="39" fillId="12" borderId="0" xfId="0" applyFont="1" applyFill="1"/>
    <xf numFmtId="0" fontId="45" fillId="0" borderId="1" xfId="2" applyNumberFormat="1" applyFont="1" applyBorder="1"/>
    <xf numFmtId="0" fontId="39" fillId="0" borderId="0" xfId="0" applyFont="1"/>
    <xf numFmtId="22" fontId="0" fillId="22" borderId="0" xfId="0" applyNumberFormat="1" applyFill="1"/>
    <xf numFmtId="18" fontId="0" fillId="22" borderId="0" xfId="0" applyNumberFormat="1" applyFill="1"/>
    <xf numFmtId="173" fontId="0" fillId="11" borderId="1" xfId="0" applyNumberFormat="1" applyFill="1" applyBorder="1"/>
    <xf numFmtId="174" fontId="0" fillId="11" borderId="1" xfId="0" applyNumberFormat="1" applyFill="1" applyBorder="1"/>
    <xf numFmtId="175" fontId="0" fillId="11" borderId="1" xfId="0" applyNumberFormat="1" applyFill="1" applyBorder="1"/>
    <xf numFmtId="9" fontId="0" fillId="22" borderId="0" xfId="1" applyFont="1" applyFill="1"/>
    <xf numFmtId="0" fontId="0" fillId="15" borderId="1" xfId="0" applyFill="1" applyBorder="1"/>
    <xf numFmtId="0" fontId="0" fillId="3" borderId="22" xfId="0" applyFill="1" applyBorder="1" applyAlignment="1">
      <alignment horizontal="right" indent="1"/>
    </xf>
    <xf numFmtId="172" fontId="0" fillId="0" borderId="1" xfId="0" applyNumberFormat="1" applyBorder="1"/>
    <xf numFmtId="9" fontId="11" fillId="0" borderId="27" xfId="1" applyFont="1" applyBorder="1" applyAlignment="1">
      <alignment horizontal="right" vertical="center" indent="1"/>
    </xf>
    <xf numFmtId="2" fontId="0" fillId="22" borderId="0" xfId="0" applyNumberFormat="1" applyFill="1"/>
    <xf numFmtId="9" fontId="0" fillId="22" borderId="1" xfId="1" applyFont="1" applyFill="1" applyBorder="1"/>
    <xf numFmtId="0" fontId="0" fillId="22" borderId="1" xfId="0" applyFill="1" applyBorder="1" applyAlignment="1">
      <alignment horizontal="right" indent="1"/>
    </xf>
    <xf numFmtId="0" fontId="0" fillId="22" borderId="27" xfId="0" applyFill="1" applyBorder="1" applyAlignment="1">
      <alignment horizontal="right" indent="1"/>
    </xf>
    <xf numFmtId="164" fontId="39" fillId="0" borderId="0" xfId="0" applyNumberFormat="1" applyFont="1" applyAlignment="1">
      <alignment horizontal="right" indent="1"/>
    </xf>
    <xf numFmtId="0" fontId="39" fillId="0" borderId="0" xfId="0" applyFont="1" applyAlignment="1">
      <alignment horizontal="right" indent="1"/>
    </xf>
    <xf numFmtId="1" fontId="0" fillId="22" borderId="0" xfId="0" applyNumberFormat="1" applyFill="1"/>
    <xf numFmtId="1" fontId="0" fillId="0" borderId="23" xfId="0" applyNumberFormat="1" applyBorder="1"/>
    <xf numFmtId="1" fontId="0" fillId="2" borderId="23" xfId="0" applyNumberFormat="1" applyFill="1" applyBorder="1"/>
    <xf numFmtId="0" fontId="39" fillId="0" borderId="23" xfId="0" applyFont="1" applyBorder="1"/>
    <xf numFmtId="0" fontId="39" fillId="2" borderId="23" xfId="0" applyFont="1" applyFill="1" applyBorder="1"/>
    <xf numFmtId="0" fontId="0" fillId="0" borderId="0" xfId="0" pivotButton="1"/>
    <xf numFmtId="0" fontId="0" fillId="30" borderId="0" xfId="0" applyFill="1"/>
    <xf numFmtId="1" fontId="12" fillId="0" borderId="26" xfId="2" applyNumberFormat="1" applyBorder="1"/>
    <xf numFmtId="43" fontId="0" fillId="4" borderId="1" xfId="6" applyFont="1" applyFill="1" applyBorder="1" applyAlignment="1">
      <alignment horizontal="right" indent="1"/>
    </xf>
    <xf numFmtId="43" fontId="8" fillId="0" borderId="1" xfId="6" applyFont="1" applyBorder="1" applyAlignment="1">
      <alignment horizontal="right" indent="1"/>
    </xf>
    <xf numFmtId="43" fontId="8" fillId="4" borderId="1" xfId="6" applyFont="1" applyFill="1" applyBorder="1" applyAlignment="1">
      <alignment horizontal="right" vertical="center" indent="1"/>
    </xf>
    <xf numFmtId="176" fontId="8" fillId="0" borderId="1" xfId="6" applyNumberFormat="1" applyFont="1" applyBorder="1" applyAlignment="1">
      <alignment horizontal="right" vertical="center" indent="1"/>
    </xf>
    <xf numFmtId="176" fontId="8" fillId="8" borderId="1" xfId="6" applyNumberFormat="1" applyFont="1" applyFill="1" applyBorder="1" applyAlignment="1">
      <alignment horizontal="right" vertical="center" indent="1"/>
    </xf>
    <xf numFmtId="176" fontId="8" fillId="7" borderId="1" xfId="6" applyNumberFormat="1" applyFont="1" applyFill="1" applyBorder="1" applyAlignment="1">
      <alignment horizontal="right" vertical="center" indent="1"/>
    </xf>
    <xf numFmtId="0" fontId="47" fillId="0" borderId="0" xfId="8"/>
    <xf numFmtId="0" fontId="8" fillId="4" borderId="21" xfId="0" applyFont="1" applyFill="1" applyBorder="1" applyAlignment="1">
      <alignment horizontal="left" vertical="center" wrapText="1" indent="1"/>
    </xf>
    <xf numFmtId="0" fontId="0" fillId="4" borderId="3" xfId="0" applyFill="1" applyBorder="1" applyAlignment="1">
      <alignment horizontal="left" vertical="center" wrapText="1" indent="1"/>
    </xf>
    <xf numFmtId="0" fontId="8" fillId="4" borderId="18" xfId="0" applyFont="1" applyFill="1" applyBorder="1" applyAlignment="1">
      <alignment horizontal="left" vertical="center" wrapText="1" indent="1"/>
    </xf>
    <xf numFmtId="0" fontId="0" fillId="4" borderId="1" xfId="0" applyFill="1" applyBorder="1" applyAlignment="1">
      <alignment horizontal="left" vertical="center" wrapText="1" indent="1"/>
    </xf>
    <xf numFmtId="0" fontId="8" fillId="4" borderId="18" xfId="0" applyFont="1" applyFill="1" applyBorder="1" applyAlignment="1">
      <alignment horizontal="left" indent="1"/>
    </xf>
    <xf numFmtId="0" fontId="0" fillId="4" borderId="18" xfId="0" applyFill="1" applyBorder="1" applyAlignment="1">
      <alignment horizontal="left" indent="1"/>
    </xf>
    <xf numFmtId="0" fontId="8" fillId="4" borderId="36" xfId="0" applyFont="1" applyFill="1" applyBorder="1" applyAlignment="1">
      <alignment horizontal="left" vertical="center" wrapText="1" indent="1"/>
    </xf>
    <xf numFmtId="0" fontId="0" fillId="4" borderId="2" xfId="0" applyFill="1" applyBorder="1" applyAlignment="1">
      <alignment horizontal="left" vertical="center" wrapText="1" indent="1"/>
    </xf>
    <xf numFmtId="0" fontId="8" fillId="4" borderId="18" xfId="0" applyFont="1" applyFill="1" applyBorder="1" applyAlignment="1">
      <alignment horizontal="center" vertical="center" wrapText="1"/>
    </xf>
    <xf numFmtId="0" fontId="0" fillId="4" borderId="1" xfId="0" applyFill="1" applyBorder="1" applyAlignment="1">
      <alignment horizontal="center" vertical="center" wrapText="1"/>
    </xf>
    <xf numFmtId="0" fontId="8" fillId="4" borderId="43" xfId="0" applyFont="1" applyFill="1" applyBorder="1" applyAlignment="1">
      <alignment horizontal="center" vertical="center" wrapText="1"/>
    </xf>
    <xf numFmtId="0" fontId="0" fillId="0" borderId="12" xfId="0" applyBorder="1" applyAlignment="1">
      <alignment horizontal="center" vertical="center" wrapText="1"/>
    </xf>
    <xf numFmtId="0" fontId="8" fillId="4" borderId="1" xfId="0" applyFont="1" applyFill="1" applyBorder="1" applyAlignment="1">
      <alignment horizontal="left" vertical="center" wrapText="1" indent="1"/>
    </xf>
    <xf numFmtId="0" fontId="8" fillId="4" borderId="12" xfId="0" applyFont="1" applyFill="1" applyBorder="1" applyAlignment="1">
      <alignment horizontal="left" vertical="center" wrapText="1" indent="1"/>
    </xf>
    <xf numFmtId="0" fontId="0" fillId="0" borderId="0" xfId="0" applyAlignment="1">
      <alignment wrapText="1"/>
    </xf>
    <xf numFmtId="0" fontId="0" fillId="0" borderId="0" xfId="0" applyAlignment="1">
      <alignment vertical="top" wrapText="1"/>
    </xf>
    <xf numFmtId="0" fontId="8" fillId="4" borderId="26" xfId="0" applyFont="1" applyFill="1" applyBorder="1" applyAlignment="1">
      <alignment horizontal="center" vertical="center" wrapText="1"/>
    </xf>
    <xf numFmtId="0" fontId="0" fillId="4" borderId="25" xfId="0" applyFill="1" applyBorder="1" applyAlignment="1">
      <alignment horizontal="center" vertical="center" wrapText="1"/>
    </xf>
    <xf numFmtId="0" fontId="0" fillId="4" borderId="24" xfId="0" applyFill="1"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wrapText="1"/>
    </xf>
    <xf numFmtId="0" fontId="0" fillId="0" borderId="13" xfId="0" applyBorder="1" applyAlignment="1">
      <alignment horizontal="center" vertical="center" wrapText="1"/>
    </xf>
    <xf numFmtId="0" fontId="8" fillId="4" borderId="6" xfId="0" applyFont="1" applyFill="1" applyBorder="1" applyAlignment="1">
      <alignment horizontal="left" vertical="center" wrapText="1" indent="1"/>
    </xf>
    <xf numFmtId="0" fontId="8" fillId="4" borderId="20" xfId="0" applyFont="1" applyFill="1" applyBorder="1" applyAlignment="1">
      <alignment horizontal="center" vertical="center" wrapText="1"/>
    </xf>
    <xf numFmtId="0" fontId="0" fillId="4" borderId="15" xfId="0" applyFill="1" applyBorder="1" applyAlignment="1">
      <alignment horizontal="center" vertical="center" wrapText="1"/>
    </xf>
    <xf numFmtId="0" fontId="0" fillId="4" borderId="19" xfId="0" applyFill="1" applyBorder="1" applyAlignment="1">
      <alignment horizontal="center" vertical="center" wrapText="1"/>
    </xf>
    <xf numFmtId="0" fontId="8" fillId="4" borderId="17" xfId="0" applyFont="1" applyFill="1" applyBorder="1" applyAlignment="1">
      <alignment horizontal="left" vertical="center" wrapText="1" indent="1"/>
    </xf>
    <xf numFmtId="0" fontId="8" fillId="4" borderId="11" xfId="0" applyFont="1" applyFill="1" applyBorder="1" applyAlignment="1">
      <alignment horizontal="left" vertical="center" wrapText="1" indent="1"/>
    </xf>
    <xf numFmtId="0" fontId="0" fillId="4" borderId="4" xfId="0" applyFill="1" applyBorder="1" applyAlignment="1">
      <alignment horizontal="left" vertical="center" wrapText="1" indent="1"/>
    </xf>
    <xf numFmtId="0" fontId="8" fillId="9" borderId="16" xfId="0" applyFont="1" applyFill="1" applyBorder="1" applyAlignment="1">
      <alignment horizontal="center" vertical="center" wrapText="1"/>
    </xf>
    <xf numFmtId="0" fontId="0" fillId="9" borderId="15" xfId="0" applyFill="1" applyBorder="1" applyAlignment="1">
      <alignment horizontal="center" vertical="center" wrapText="1"/>
    </xf>
    <xf numFmtId="0" fontId="0" fillId="9" borderId="10" xfId="0" applyFill="1" applyBorder="1" applyAlignment="1">
      <alignment horizontal="center" vertical="center" wrapText="1"/>
    </xf>
    <xf numFmtId="0" fontId="0" fillId="9" borderId="9" xfId="0" applyFill="1" applyBorder="1" applyAlignment="1">
      <alignment horizontal="center" vertical="center" wrapText="1"/>
    </xf>
    <xf numFmtId="0" fontId="8" fillId="5" borderId="16" xfId="0" applyFont="1" applyFill="1" applyBorder="1" applyAlignment="1">
      <alignment horizontal="center" wrapText="1"/>
    </xf>
    <xf numFmtId="0" fontId="0" fillId="5" borderId="15" xfId="0" applyFill="1" applyBorder="1" applyAlignment="1">
      <alignment horizontal="center" wrapText="1"/>
    </xf>
    <xf numFmtId="0" fontId="0" fillId="5" borderId="14" xfId="0" applyFill="1" applyBorder="1" applyAlignment="1">
      <alignment horizontal="center" wrapText="1"/>
    </xf>
    <xf numFmtId="9" fontId="8" fillId="5" borderId="3" xfId="0" applyNumberFormat="1" applyFont="1" applyFill="1" applyBorder="1" applyAlignment="1">
      <alignment horizontal="center" wrapText="1"/>
    </xf>
    <xf numFmtId="0" fontId="0" fillId="5" borderId="1" xfId="0" applyFill="1" applyBorder="1" applyAlignment="1">
      <alignment horizontal="center" wrapText="1"/>
    </xf>
    <xf numFmtId="0" fontId="0" fillId="5" borderId="2" xfId="0" applyFill="1" applyBorder="1" applyAlignment="1">
      <alignment horizontal="center" wrapText="1"/>
    </xf>
    <xf numFmtId="0" fontId="7" fillId="0" borderId="0" xfId="0" applyFont="1" applyAlignment="1">
      <alignment wrapText="1"/>
    </xf>
    <xf numFmtId="0" fontId="0" fillId="0" borderId="21" xfId="0" applyBorder="1" applyAlignment="1">
      <alignment horizontal="center" vertical="center"/>
    </xf>
    <xf numFmtId="0" fontId="0" fillId="0" borderId="3" xfId="0" applyBorder="1" applyAlignment="1">
      <alignment horizontal="center"/>
    </xf>
    <xf numFmtId="0" fontId="0" fillId="0" borderId="18" xfId="0" applyBorder="1" applyAlignment="1">
      <alignment horizontal="center" vertical="center" wrapText="1"/>
    </xf>
    <xf numFmtId="0" fontId="0" fillId="0" borderId="1" xfId="0" applyBorder="1" applyAlignment="1">
      <alignment horizontal="center" wrapText="1"/>
    </xf>
    <xf numFmtId="0" fontId="0" fillId="0" borderId="18" xfId="0" applyBorder="1" applyAlignment="1">
      <alignment horizontal="center" vertical="center"/>
    </xf>
    <xf numFmtId="0" fontId="0" fillId="0" borderId="36" xfId="0" applyBorder="1" applyAlignment="1">
      <alignment horizontal="center" vertical="center"/>
    </xf>
    <xf numFmtId="0" fontId="0" fillId="0" borderId="0" xfId="0" applyAlignment="1">
      <alignment horizontal="left" vertical="center" wrapText="1"/>
    </xf>
    <xf numFmtId="0" fontId="0" fillId="0" borderId="0" xfId="0" applyAlignment="1">
      <alignment vertical="center" wrapText="1"/>
    </xf>
    <xf numFmtId="0" fontId="0" fillId="0" borderId="1" xfId="0" applyBorder="1" applyAlignment="1">
      <alignment horizontal="center"/>
    </xf>
    <xf numFmtId="0" fontId="0" fillId="0" borderId="4" xfId="0" applyBorder="1" applyAlignment="1">
      <alignment horizontal="center" vertical="center"/>
    </xf>
    <xf numFmtId="0" fontId="0" fillId="0" borderId="30" xfId="0" applyBorder="1" applyAlignment="1">
      <alignment horizontal="center" vertical="center"/>
    </xf>
    <xf numFmtId="0" fontId="0" fillId="0" borderId="5" xfId="0" applyBorder="1" applyAlignment="1">
      <alignment horizontal="center" vertical="center"/>
    </xf>
    <xf numFmtId="0" fontId="0" fillId="0" borderId="23" xfId="0" applyBorder="1" applyAlignment="1">
      <alignment horizontal="center" vertical="center" wrapText="1"/>
    </xf>
    <xf numFmtId="0" fontId="0" fillId="0" borderId="22" xfId="0" applyBorder="1" applyAlignment="1">
      <alignment horizontal="center" vertical="center" wrapText="1"/>
    </xf>
    <xf numFmtId="0" fontId="11" fillId="3" borderId="0" xfId="0" applyFont="1" applyFill="1" applyAlignment="1">
      <alignment vertical="center" wrapText="1"/>
    </xf>
    <xf numFmtId="0" fontId="0" fillId="0" borderId="1" xfId="0" applyBorder="1" applyAlignment="1">
      <alignment horizontal="center" vertical="center"/>
    </xf>
    <xf numFmtId="0" fontId="0" fillId="3" borderId="0" xfId="0" applyFill="1" applyAlignment="1">
      <alignment vertical="center" wrapText="1"/>
    </xf>
    <xf numFmtId="0" fontId="0" fillId="3" borderId="0" xfId="0" applyFill="1" applyAlignment="1">
      <alignment wrapText="1"/>
    </xf>
    <xf numFmtId="0" fontId="0" fillId="0" borderId="1" xfId="0" applyBorder="1" applyAlignment="1">
      <alignment horizontal="center" vertical="center" textRotation="90" wrapText="1"/>
    </xf>
    <xf numFmtId="0" fontId="0" fillId="0" borderId="1" xfId="0" applyBorder="1" applyAlignment="1">
      <alignment horizontal="center" vertical="center" wrapText="1"/>
    </xf>
    <xf numFmtId="14" fontId="0" fillId="0" borderId="4" xfId="0" applyNumberFormat="1" applyBorder="1" applyAlignment="1" applyProtection="1">
      <alignment horizontal="right" indent="1"/>
      <protection hidden="1"/>
    </xf>
    <xf numFmtId="14" fontId="0" fillId="0" borderId="5" xfId="0" applyNumberFormat="1" applyBorder="1" applyAlignment="1" applyProtection="1">
      <alignment horizontal="right" indent="1"/>
      <protection hidden="1"/>
    </xf>
    <xf numFmtId="4" fontId="0" fillId="0" borderId="1" xfId="0" applyNumberFormat="1" applyBorder="1" applyAlignment="1" applyProtection="1">
      <alignment horizontal="right" indent="1"/>
      <protection hidden="1"/>
    </xf>
    <xf numFmtId="0" fontId="0" fillId="0" borderId="1" xfId="0" applyBorder="1" applyAlignment="1" applyProtection="1">
      <alignment horizontal="right" indent="1"/>
      <protection hidden="1"/>
    </xf>
    <xf numFmtId="0" fontId="7" fillId="0" borderId="25" xfId="0" applyFont="1" applyBorder="1" applyAlignment="1" applyProtection="1">
      <alignment horizontal="right" indent="1"/>
      <protection hidden="1"/>
    </xf>
    <xf numFmtId="0" fontId="7" fillId="0" borderId="25" xfId="0" applyFont="1" applyBorder="1" applyAlignment="1">
      <alignment horizontal="right" indent="1"/>
    </xf>
    <xf numFmtId="4" fontId="19" fillId="0" borderId="0" xfId="0" applyNumberFormat="1" applyFont="1" applyProtection="1">
      <protection hidden="1"/>
    </xf>
    <xf numFmtId="0" fontId="0" fillId="0" borderId="0" xfId="0"/>
    <xf numFmtId="0" fontId="0" fillId="0" borderId="4" xfId="0" applyBorder="1" applyAlignment="1" applyProtection="1">
      <alignment horizontal="center" vertical="center" wrapText="1"/>
      <protection hidden="1"/>
    </xf>
    <xf numFmtId="0" fontId="0" fillId="0" borderId="5" xfId="0" applyBorder="1" applyAlignment="1" applyProtection="1">
      <alignment wrapText="1"/>
      <protection hidden="1"/>
    </xf>
    <xf numFmtId="0" fontId="0" fillId="0" borderId="1" xfId="0" applyBorder="1" applyAlignment="1" applyProtection="1">
      <alignment horizontal="center" vertical="center" wrapText="1"/>
      <protection hidden="1"/>
    </xf>
    <xf numFmtId="14" fontId="0" fillId="0" borderId="1" xfId="0" applyNumberFormat="1" applyBorder="1" applyAlignment="1" applyProtection="1">
      <alignment horizontal="right" indent="1"/>
      <protection hidden="1"/>
    </xf>
    <xf numFmtId="0" fontId="11" fillId="0" borderId="4" xfId="0" applyFont="1" applyBorder="1" applyProtection="1">
      <protection locked="0"/>
    </xf>
    <xf numFmtId="0" fontId="11" fillId="0" borderId="30" xfId="0" applyFont="1" applyBorder="1" applyProtection="1">
      <protection locked="0"/>
    </xf>
    <xf numFmtId="0" fontId="11" fillId="0" borderId="5" xfId="0" applyFont="1" applyBorder="1" applyProtection="1">
      <protection locked="0"/>
    </xf>
    <xf numFmtId="0" fontId="11" fillId="0" borderId="1" xfId="0" applyFont="1" applyBorder="1" applyAlignment="1" applyProtection="1">
      <alignment wrapText="1"/>
      <protection locked="0"/>
    </xf>
    <xf numFmtId="0" fontId="11" fillId="0" borderId="1" xfId="0" applyFont="1" applyBorder="1" applyProtection="1">
      <protection locked="0"/>
    </xf>
    <xf numFmtId="0" fontId="11" fillId="0" borderId="4" xfId="0" applyFont="1" applyBorder="1" applyAlignment="1" applyProtection="1">
      <alignment horizontal="left"/>
      <protection locked="0"/>
    </xf>
    <xf numFmtId="0" fontId="11" fillId="0" borderId="5" xfId="0" applyFont="1" applyBorder="1" applyAlignment="1" applyProtection="1">
      <alignment horizontal="left"/>
      <protection locked="0"/>
    </xf>
    <xf numFmtId="0" fontId="11" fillId="0" borderId="0" xfId="0" applyFont="1" applyAlignment="1" applyProtection="1">
      <alignment wrapText="1"/>
      <protection hidden="1"/>
    </xf>
    <xf numFmtId="0" fontId="11" fillId="0" borderId="31" xfId="0" applyFont="1" applyBorder="1" applyAlignment="1">
      <alignment wrapText="1"/>
    </xf>
    <xf numFmtId="0" fontId="11" fillId="0" borderId="32" xfId="0" applyFont="1" applyBorder="1" applyProtection="1">
      <protection hidden="1"/>
    </xf>
    <xf numFmtId="0" fontId="0" fillId="0" borderId="31" xfId="0" applyBorder="1"/>
  </cellXfs>
  <cellStyles count="9">
    <cellStyle name="40% - Accent1" xfId="5" builtinId="31"/>
    <cellStyle name="Comma" xfId="6" builtinId="3"/>
    <cellStyle name="Currency" xfId="7" builtinId="4"/>
    <cellStyle name="Heading 1" xfId="3" builtinId="16"/>
    <cellStyle name="Heading 2" xfId="4" builtinId="17"/>
    <cellStyle name="Hyperlink" xfId="8" builtinId="8"/>
    <cellStyle name="Normal" xfId="0" builtinId="0"/>
    <cellStyle name="Paprastas 2 2 2" xfId="2" xr:uid="{00000000-0005-0000-0000-000001000000}"/>
    <cellStyle name="Percent" xfId="1" builtinId="5"/>
  </cellStyles>
  <dxfs count="52">
    <dxf>
      <font>
        <color rgb="FF9C0006"/>
      </font>
      <fill>
        <patternFill>
          <bgColor rgb="FFFFC7CE"/>
        </patternFill>
      </fill>
    </dxf>
    <dxf>
      <font>
        <color rgb="FF9C0006"/>
      </font>
      <fill>
        <patternFill>
          <bgColor rgb="FFFFC7CE"/>
        </patternFill>
      </fill>
    </dxf>
    <dxf>
      <fill>
        <patternFill>
          <bgColor theme="5" tint="0.59996337778862885"/>
        </patternFill>
      </fill>
    </dxf>
    <dxf>
      <fill>
        <patternFill>
          <fgColor theme="0"/>
          <bgColor theme="9" tint="0.79998168889431442"/>
        </patternFill>
      </fill>
    </dxf>
    <dxf>
      <fill>
        <patternFill>
          <bgColor rgb="FF92D050"/>
        </patternFill>
      </fill>
    </dxf>
    <dxf>
      <fill>
        <patternFill>
          <bgColor rgb="FF92D050"/>
        </patternFill>
      </fill>
    </dxf>
    <dxf>
      <fill>
        <patternFill>
          <bgColor theme="5" tint="0.39994506668294322"/>
        </patternFill>
      </fill>
    </dxf>
    <dxf>
      <font>
        <color theme="9" tint="-0.24994659260841701"/>
      </font>
      <fill>
        <patternFill>
          <bgColor theme="5" tint="0.39994506668294322"/>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92D050"/>
        </patternFill>
      </fill>
    </dxf>
    <dxf>
      <fill>
        <patternFill>
          <bgColor rgb="FFFFFF00"/>
        </patternFill>
      </fill>
    </dxf>
    <dxf>
      <numFmt numFmtId="2" formatCode="0.00"/>
      <border diagonalUp="0" diagonalDown="0">
        <left style="thin">
          <color indexed="64"/>
        </left>
        <right style="thin">
          <color indexed="64"/>
        </right>
        <top style="thin">
          <color indexed="64"/>
        </top>
        <bottom/>
        <vertical/>
        <horizontal/>
      </border>
    </dxf>
    <dxf>
      <numFmt numFmtId="0" formatCode="General"/>
      <alignment horizontal="center" vertical="bottom" textRotation="0" wrapText="0" indent="0" justifyLastLine="0" shrinkToFit="0" readingOrder="0"/>
      <border diagonalUp="0" diagonalDown="0">
        <left style="thin">
          <color indexed="64"/>
        </left>
        <right/>
        <top style="thin">
          <color indexed="64"/>
        </top>
        <bottom/>
        <vertical/>
        <horizontal/>
      </border>
    </dxf>
    <dxf>
      <numFmt numFmtId="0" formatCode="General"/>
      <border diagonalUp="0" diagonalDown="0">
        <left style="thin">
          <color indexed="64"/>
        </left>
        <right/>
        <top style="thin">
          <color indexed="64"/>
        </top>
        <bottom/>
        <vertical/>
        <horizontal/>
      </border>
    </dxf>
    <dxf>
      <numFmt numFmtId="0" formatCode="General"/>
      <border diagonalUp="0" diagonalDown="0">
        <left style="thin">
          <color indexed="64"/>
        </left>
        <right/>
        <top style="thin">
          <color indexed="64"/>
        </top>
        <bottom/>
        <vertical/>
        <horizontal/>
      </border>
    </dxf>
    <dxf>
      <numFmt numFmtId="0" formatCode="General"/>
      <border diagonalUp="0" diagonalDown="0">
        <left style="thin">
          <color indexed="64"/>
        </left>
        <right/>
        <top style="thin">
          <color indexed="64"/>
        </top>
        <bottom/>
        <vertical/>
        <horizontal/>
      </border>
    </dxf>
    <dxf>
      <numFmt numFmtId="0" formatCode="General"/>
      <border diagonalUp="0" diagonalDown="0">
        <left style="thin">
          <color indexed="64"/>
        </left>
        <right/>
        <top style="thin">
          <color indexed="64"/>
        </top>
        <bottom/>
        <vertical/>
        <horizontal/>
      </border>
    </dxf>
    <dxf>
      <numFmt numFmtId="1" formatCode="0"/>
      <border diagonalUp="0" diagonalDown="0">
        <left style="thin">
          <color indexed="64"/>
        </left>
        <right/>
        <top style="thin">
          <color indexed="64"/>
        </top>
        <bottom/>
        <vertical/>
        <horizontal/>
      </border>
    </dxf>
    <dxf>
      <numFmt numFmtId="19" formatCode="dd/mm/yyyy"/>
      <border diagonalUp="0" diagonalDown="0">
        <left style="thin">
          <color indexed="64"/>
        </left>
        <right/>
        <top style="thin">
          <color indexed="64"/>
        </top>
        <bottom/>
        <vertical/>
        <horizontal/>
      </border>
    </dxf>
    <dxf>
      <border outline="0">
        <bottom style="thin">
          <color indexed="64"/>
        </bottom>
      </border>
    </dxf>
    <dxf>
      <font>
        <b val="0"/>
        <i val="0"/>
        <strike val="0"/>
        <condense val="0"/>
        <extend val="0"/>
        <outline val="0"/>
        <shadow val="0"/>
        <u val="none"/>
        <vertAlign val="baseline"/>
        <sz val="11"/>
        <color theme="0"/>
        <name val="Calibri"/>
        <family val="2"/>
        <charset val="186"/>
        <scheme val="minor"/>
      </font>
      <fill>
        <patternFill patternType="solid">
          <fgColor indexed="64"/>
          <bgColor theme="4" tint="-0.249977111117893"/>
        </patternFill>
      </fill>
    </dxf>
    <dxf>
      <numFmt numFmtId="30" formatCode="@"/>
      <border diagonalUp="0" diagonalDown="0">
        <left style="thin">
          <color theme="4" tint="0.39997558519241921"/>
        </left>
        <right style="thin">
          <color theme="4" tint="0.39997558519241921"/>
        </right>
        <top style="thin">
          <color theme="4" tint="0.39997558519241921"/>
        </top>
        <bottom/>
        <vertical/>
        <horizontal/>
      </border>
    </dxf>
    <dxf>
      <border diagonalUp="0" diagonalDown="0">
        <left style="thin">
          <color theme="4" tint="0.39997558519241921"/>
        </left>
        <right/>
        <top style="thin">
          <color theme="4" tint="0.39997558519241921"/>
        </top>
        <bottom/>
        <vertical/>
        <horizontal/>
      </border>
    </dxf>
    <dxf>
      <border outline="0">
        <bottom style="thin">
          <color theme="4" tint="0.39997558519241921"/>
        </bottom>
      </border>
    </dxf>
    <dxf>
      <font>
        <b val="0"/>
        <i val="0"/>
        <strike val="0"/>
        <condense val="0"/>
        <extend val="0"/>
        <outline val="0"/>
        <shadow val="0"/>
        <u val="none"/>
        <vertAlign val="baseline"/>
        <sz val="11"/>
        <color theme="0"/>
        <name val="Calibri"/>
        <family val="2"/>
        <charset val="186"/>
        <scheme val="minor"/>
      </font>
      <fill>
        <patternFill patternType="solid">
          <fgColor indexed="64"/>
          <bgColor theme="4" tint="-0.249977111117893"/>
        </patternFill>
      </fill>
    </dxf>
    <dxf>
      <numFmt numFmtId="30" formatCode="@"/>
      <border diagonalUp="0" diagonalDown="0">
        <left/>
        <right style="thin">
          <color theme="4" tint="0.39997558519241921"/>
        </right>
        <top style="thin">
          <color theme="4" tint="0.39997558519241921"/>
        </top>
        <bottom/>
        <vertical/>
        <horizontal/>
      </border>
    </dxf>
    <dxf>
      <border diagonalUp="0" diagonalDown="0">
        <left style="thin">
          <color theme="4" tint="0.39997558519241921"/>
        </left>
        <right/>
        <top style="thin">
          <color theme="4" tint="0.39997558519241921"/>
        </top>
        <bottom/>
        <vertical/>
        <horizontal/>
      </border>
    </dxf>
    <dxf>
      <border outline="0">
        <bottom style="thin">
          <color theme="4" tint="0.39997558519241921"/>
        </bottom>
      </border>
    </dxf>
    <dxf>
      <font>
        <b val="0"/>
        <i val="0"/>
        <strike val="0"/>
        <condense val="0"/>
        <extend val="0"/>
        <outline val="0"/>
        <shadow val="0"/>
        <u val="none"/>
        <vertAlign val="baseline"/>
        <sz val="11"/>
        <color theme="0"/>
        <name val="Calibri"/>
        <family val="2"/>
        <charset val="186"/>
        <scheme val="minor"/>
      </font>
      <fill>
        <patternFill patternType="solid">
          <fgColor indexed="64"/>
          <bgColor theme="4" tint="-0.249977111117893"/>
        </patternFill>
      </fill>
    </dxf>
    <dxf>
      <numFmt numFmtId="30" formatCode="@"/>
      <border diagonalUp="0" diagonalDown="0">
        <left/>
        <right style="thin">
          <color theme="4" tint="0.39997558519241921"/>
        </right>
        <top style="thin">
          <color theme="4" tint="0.39997558519241921"/>
        </top>
        <bottom/>
        <vertical/>
        <horizontal/>
      </border>
    </dxf>
    <dxf>
      <border diagonalUp="0" diagonalDown="0">
        <left style="thin">
          <color theme="4" tint="0.39997558519241921"/>
        </left>
        <right/>
        <top style="thin">
          <color theme="4" tint="0.39997558519241921"/>
        </top>
        <bottom/>
        <vertical/>
        <horizontal/>
      </border>
    </dxf>
    <dxf>
      <border outline="0">
        <bottom style="thin">
          <color theme="4" tint="0.39997558519241921"/>
        </bottom>
      </border>
    </dxf>
    <dxf>
      <font>
        <b val="0"/>
        <i val="0"/>
        <strike val="0"/>
        <condense val="0"/>
        <extend val="0"/>
        <outline val="0"/>
        <shadow val="0"/>
        <u val="none"/>
        <vertAlign val="baseline"/>
        <sz val="11"/>
        <color theme="0"/>
        <name val="Calibri"/>
        <family val="2"/>
        <charset val="186"/>
        <scheme val="minor"/>
      </font>
      <fill>
        <patternFill patternType="solid">
          <fgColor indexed="64"/>
          <bgColor theme="4" tint="-0.249977111117893"/>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style="thin">
          <color indexed="64"/>
        </left>
        <right/>
        <top/>
        <bottom/>
      </border>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border diagonalUp="0" diagonalDown="0">
        <left style="thin">
          <color indexed="64"/>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style="thin">
          <color indexed="64"/>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border diagonalUp="0" diagonalDown="0">
        <left style="thin">
          <color indexed="64"/>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style="thin">
          <color indexed="64"/>
        </left>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style="thin">
          <color indexed="64"/>
        </left>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style="thin">
          <color indexed="64"/>
        </left>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style="thin">
          <color indexed="64"/>
        </left>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77" formatCode="yyyy/mm/dd"/>
      <fill>
        <patternFill patternType="solid">
          <fgColor theme="4" tint="0.79998168889431442"/>
          <bgColor theme="4" tint="0.79998168889431442"/>
        </patternFill>
      </fill>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charset val="186"/>
        <scheme val="minor"/>
      </font>
      <fill>
        <patternFill patternType="solid">
          <fgColor indexed="64"/>
          <bgColor theme="4"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pivotCacheDefinition" Target="pivotCache/pivotCacheDefinition2.xml"/><Relationship Id="rId42" Type="http://schemas.microsoft.com/office/2017/10/relationships/person" Target="persons/person.xml"/><Relationship Id="rId47" Type="http://schemas.openxmlformats.org/officeDocument/2006/relationships/customXml" Target="../customXml/item4.xml"/><Relationship Id="rId50" Type="http://schemas.openxmlformats.org/officeDocument/2006/relationships/customXml" Target="../customXml/item7.xml"/><Relationship Id="rId55" Type="http://schemas.openxmlformats.org/officeDocument/2006/relationships/customXml" Target="../customXml/item12.xml"/><Relationship Id="rId63"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2.xml"/><Relationship Id="rId53" Type="http://schemas.openxmlformats.org/officeDocument/2006/relationships/customXml" Target="../customXml/item10.xml"/><Relationship Id="rId58" Type="http://schemas.openxmlformats.org/officeDocument/2006/relationships/customXml" Target="../customXml/item15.xml"/><Relationship Id="rId5" Type="http://schemas.openxmlformats.org/officeDocument/2006/relationships/worksheet" Target="worksheets/sheet5.xml"/><Relationship Id="rId61" Type="http://schemas.openxmlformats.org/officeDocument/2006/relationships/customXml" Target="../customXml/item1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3.xml"/><Relationship Id="rId43" Type="http://schemas.openxmlformats.org/officeDocument/2006/relationships/calcChain" Target="calcChain.xml"/><Relationship Id="rId48" Type="http://schemas.openxmlformats.org/officeDocument/2006/relationships/customXml" Target="../customXml/item5.xml"/><Relationship Id="rId56" Type="http://schemas.openxmlformats.org/officeDocument/2006/relationships/customXml" Target="../customXml/item13.xml"/><Relationship Id="rId8" Type="http://schemas.openxmlformats.org/officeDocument/2006/relationships/worksheet" Target="worksheets/sheet8.xml"/><Relationship Id="rId51" Type="http://schemas.openxmlformats.org/officeDocument/2006/relationships/customXml" Target="../customXml/item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1.xml"/><Relationship Id="rId38" Type="http://schemas.openxmlformats.org/officeDocument/2006/relationships/connections" Target="connections.xml"/><Relationship Id="rId46" Type="http://schemas.openxmlformats.org/officeDocument/2006/relationships/customXml" Target="../customXml/item3.xml"/><Relationship Id="rId59" Type="http://schemas.openxmlformats.org/officeDocument/2006/relationships/customXml" Target="../customXml/item16.xml"/><Relationship Id="rId20" Type="http://schemas.openxmlformats.org/officeDocument/2006/relationships/worksheet" Target="worksheets/sheet20.xml"/><Relationship Id="rId41" Type="http://schemas.openxmlformats.org/officeDocument/2006/relationships/powerPivotData" Target="model/item.data"/><Relationship Id="rId54" Type="http://schemas.openxmlformats.org/officeDocument/2006/relationships/customXml" Target="../customXml/item11.xml"/><Relationship Id="rId62"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4.xml"/><Relationship Id="rId49" Type="http://schemas.openxmlformats.org/officeDocument/2006/relationships/customXml" Target="../customXml/item6.xml"/><Relationship Id="rId57" Type="http://schemas.openxmlformats.org/officeDocument/2006/relationships/customXml" Target="../customXml/item1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customXml" Target="../customXml/item1.xml"/><Relationship Id="rId52" Type="http://schemas.openxmlformats.org/officeDocument/2006/relationships/customXml" Target="../customXml/item9.xml"/><Relationship Id="rId60"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lt-LT"/>
              <a:t>4. Linijinė diagrama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'U15'!$U$3</c:f>
              <c:strCache>
                <c:ptCount val="1"/>
                <c:pt idx="0">
                  <c:v>Reklamos pajamos</c:v>
                </c:pt>
              </c:strCache>
            </c:strRef>
          </c:tx>
          <c:spPr>
            <a:ln w="28575" cap="rnd">
              <a:solidFill>
                <a:schemeClr val="accent1"/>
              </a:solidFill>
              <a:round/>
            </a:ln>
            <a:effectLst/>
          </c:spPr>
          <c:marker>
            <c:symbol val="none"/>
          </c:marker>
          <c:cat>
            <c:strRef>
              <c:f>'U15'!$T$4:$T$10</c:f>
              <c:strCache>
                <c:ptCount val="7"/>
                <c:pt idx="0">
                  <c:v> 2006</c:v>
                </c:pt>
                <c:pt idx="1">
                  <c:v> 2007</c:v>
                </c:pt>
                <c:pt idx="2">
                  <c:v> 2008</c:v>
                </c:pt>
                <c:pt idx="3">
                  <c:v> 2009</c:v>
                </c:pt>
                <c:pt idx="4">
                  <c:v> 2010</c:v>
                </c:pt>
                <c:pt idx="5">
                  <c:v> 2011</c:v>
                </c:pt>
                <c:pt idx="6">
                  <c:v> 2012</c:v>
                </c:pt>
              </c:strCache>
            </c:strRef>
          </c:cat>
          <c:val>
            <c:numRef>
              <c:f>'U15'!$U$4:$U$10</c:f>
              <c:numCache>
                <c:formatCode>General</c:formatCode>
                <c:ptCount val="7"/>
                <c:pt idx="0">
                  <c:v>1000</c:v>
                </c:pt>
                <c:pt idx="1">
                  <c:v>1200</c:v>
                </c:pt>
                <c:pt idx="2">
                  <c:v>900</c:v>
                </c:pt>
                <c:pt idx="3">
                  <c:v>1300</c:v>
                </c:pt>
                <c:pt idx="4">
                  <c:v>1050</c:v>
                </c:pt>
                <c:pt idx="5">
                  <c:v>1350</c:v>
                </c:pt>
                <c:pt idx="6">
                  <c:v>1250</c:v>
                </c:pt>
              </c:numCache>
            </c:numRef>
          </c:val>
          <c:smooth val="0"/>
          <c:extLst>
            <c:ext xmlns:c16="http://schemas.microsoft.com/office/drawing/2014/chart" uri="{C3380CC4-5D6E-409C-BE32-E72D297353CC}">
              <c16:uniqueId val="{00000000-6678-469F-8E31-F96B6C876F4F}"/>
            </c:ext>
          </c:extLst>
        </c:ser>
        <c:ser>
          <c:idx val="1"/>
          <c:order val="1"/>
          <c:tx>
            <c:strRef>
              <c:f>'U15'!$V$3</c:f>
              <c:strCache>
                <c:ptCount val="1"/>
                <c:pt idx="0">
                  <c:v>Pekybos pajamos</c:v>
                </c:pt>
              </c:strCache>
            </c:strRef>
          </c:tx>
          <c:spPr>
            <a:ln w="28575" cap="rnd">
              <a:solidFill>
                <a:schemeClr val="accent2"/>
              </a:solidFill>
              <a:round/>
            </a:ln>
            <a:effectLst/>
          </c:spPr>
          <c:marker>
            <c:symbol val="none"/>
          </c:marker>
          <c:cat>
            <c:strRef>
              <c:f>'U15'!$T$4:$T$10</c:f>
              <c:strCache>
                <c:ptCount val="7"/>
                <c:pt idx="0">
                  <c:v> 2006</c:v>
                </c:pt>
                <c:pt idx="1">
                  <c:v> 2007</c:v>
                </c:pt>
                <c:pt idx="2">
                  <c:v> 2008</c:v>
                </c:pt>
                <c:pt idx="3">
                  <c:v> 2009</c:v>
                </c:pt>
                <c:pt idx="4">
                  <c:v> 2010</c:v>
                </c:pt>
                <c:pt idx="5">
                  <c:v> 2011</c:v>
                </c:pt>
                <c:pt idx="6">
                  <c:v> 2012</c:v>
                </c:pt>
              </c:strCache>
            </c:strRef>
          </c:cat>
          <c:val>
            <c:numRef>
              <c:f>'U15'!$V$4:$V$10</c:f>
              <c:numCache>
                <c:formatCode>General</c:formatCode>
                <c:ptCount val="7"/>
                <c:pt idx="0">
                  <c:v>5689</c:v>
                </c:pt>
                <c:pt idx="1">
                  <c:v>6807</c:v>
                </c:pt>
                <c:pt idx="2">
                  <c:v>7150</c:v>
                </c:pt>
                <c:pt idx="3">
                  <c:v>9043</c:v>
                </c:pt>
                <c:pt idx="4">
                  <c:v>8560</c:v>
                </c:pt>
                <c:pt idx="5">
                  <c:v>11279</c:v>
                </c:pt>
                <c:pt idx="6">
                  <c:v>13452</c:v>
                </c:pt>
              </c:numCache>
            </c:numRef>
          </c:val>
          <c:smooth val="0"/>
          <c:extLst>
            <c:ext xmlns:c16="http://schemas.microsoft.com/office/drawing/2014/chart" uri="{C3380CC4-5D6E-409C-BE32-E72D297353CC}">
              <c16:uniqueId val="{00000001-6678-469F-8E31-F96B6C876F4F}"/>
            </c:ext>
          </c:extLst>
        </c:ser>
        <c:dLbls>
          <c:showLegendKey val="0"/>
          <c:showVal val="0"/>
          <c:showCatName val="0"/>
          <c:showSerName val="0"/>
          <c:showPercent val="0"/>
          <c:showBubbleSize val="0"/>
        </c:dLbls>
        <c:smooth val="0"/>
        <c:axId val="177740288"/>
        <c:axId val="197358656"/>
      </c:lineChart>
      <c:catAx>
        <c:axId val="17774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58656"/>
        <c:crosses val="autoZero"/>
        <c:auto val="1"/>
        <c:lblAlgn val="ctr"/>
        <c:lblOffset val="100"/>
        <c:noMultiLvlLbl val="0"/>
      </c:catAx>
      <c:valAx>
        <c:axId val="19735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40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lt-LT"/>
              <a:t>1. Stulpelinė diagrama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'U15'!$U$3</c:f>
              <c:strCache>
                <c:ptCount val="1"/>
                <c:pt idx="0">
                  <c:v>Reklamos pajamos</c:v>
                </c:pt>
              </c:strCache>
            </c:strRef>
          </c:tx>
          <c:spPr>
            <a:solidFill>
              <a:schemeClr val="accent1"/>
            </a:solidFill>
            <a:ln>
              <a:noFill/>
            </a:ln>
            <a:effectLst/>
          </c:spPr>
          <c:invertIfNegative val="0"/>
          <c:cat>
            <c:strRef>
              <c:f>'U15'!$T$4:$T$10</c:f>
              <c:strCache>
                <c:ptCount val="7"/>
                <c:pt idx="0">
                  <c:v> 2006</c:v>
                </c:pt>
                <c:pt idx="1">
                  <c:v> 2007</c:v>
                </c:pt>
                <c:pt idx="2">
                  <c:v> 2008</c:v>
                </c:pt>
                <c:pt idx="3">
                  <c:v> 2009</c:v>
                </c:pt>
                <c:pt idx="4">
                  <c:v> 2010</c:v>
                </c:pt>
                <c:pt idx="5">
                  <c:v> 2011</c:v>
                </c:pt>
                <c:pt idx="6">
                  <c:v> 2012</c:v>
                </c:pt>
              </c:strCache>
            </c:strRef>
          </c:cat>
          <c:val>
            <c:numRef>
              <c:f>'U15'!$U$4:$U$10</c:f>
              <c:numCache>
                <c:formatCode>General</c:formatCode>
                <c:ptCount val="7"/>
                <c:pt idx="0">
                  <c:v>1000</c:v>
                </c:pt>
                <c:pt idx="1">
                  <c:v>1200</c:v>
                </c:pt>
                <c:pt idx="2">
                  <c:v>900</c:v>
                </c:pt>
                <c:pt idx="3">
                  <c:v>1300</c:v>
                </c:pt>
                <c:pt idx="4">
                  <c:v>1050</c:v>
                </c:pt>
                <c:pt idx="5">
                  <c:v>1350</c:v>
                </c:pt>
                <c:pt idx="6">
                  <c:v>1250</c:v>
                </c:pt>
              </c:numCache>
            </c:numRef>
          </c:val>
          <c:extLst>
            <c:ext xmlns:c16="http://schemas.microsoft.com/office/drawing/2014/chart" uri="{C3380CC4-5D6E-409C-BE32-E72D297353CC}">
              <c16:uniqueId val="{00000000-AD9E-4E58-ABCA-05D44CF74AD2}"/>
            </c:ext>
          </c:extLst>
        </c:ser>
        <c:ser>
          <c:idx val="1"/>
          <c:order val="1"/>
          <c:tx>
            <c:strRef>
              <c:f>'U15'!$V$3</c:f>
              <c:strCache>
                <c:ptCount val="1"/>
                <c:pt idx="0">
                  <c:v>Pekybos pajamos</c:v>
                </c:pt>
              </c:strCache>
            </c:strRef>
          </c:tx>
          <c:spPr>
            <a:solidFill>
              <a:schemeClr val="accent2"/>
            </a:solidFill>
            <a:ln>
              <a:noFill/>
            </a:ln>
            <a:effectLst/>
          </c:spPr>
          <c:invertIfNegative val="0"/>
          <c:cat>
            <c:strRef>
              <c:f>'U15'!$T$4:$T$10</c:f>
              <c:strCache>
                <c:ptCount val="7"/>
                <c:pt idx="0">
                  <c:v> 2006</c:v>
                </c:pt>
                <c:pt idx="1">
                  <c:v> 2007</c:v>
                </c:pt>
                <c:pt idx="2">
                  <c:v> 2008</c:v>
                </c:pt>
                <c:pt idx="3">
                  <c:v> 2009</c:v>
                </c:pt>
                <c:pt idx="4">
                  <c:v> 2010</c:v>
                </c:pt>
                <c:pt idx="5">
                  <c:v> 2011</c:v>
                </c:pt>
                <c:pt idx="6">
                  <c:v> 2012</c:v>
                </c:pt>
              </c:strCache>
            </c:strRef>
          </c:cat>
          <c:val>
            <c:numRef>
              <c:f>'U15'!$V$4:$V$10</c:f>
              <c:numCache>
                <c:formatCode>General</c:formatCode>
                <c:ptCount val="7"/>
                <c:pt idx="0">
                  <c:v>5689</c:v>
                </c:pt>
                <c:pt idx="1">
                  <c:v>6807</c:v>
                </c:pt>
                <c:pt idx="2">
                  <c:v>7150</c:v>
                </c:pt>
                <c:pt idx="3">
                  <c:v>9043</c:v>
                </c:pt>
                <c:pt idx="4">
                  <c:v>8560</c:v>
                </c:pt>
                <c:pt idx="5">
                  <c:v>11279</c:v>
                </c:pt>
                <c:pt idx="6">
                  <c:v>13452</c:v>
                </c:pt>
              </c:numCache>
            </c:numRef>
          </c:val>
          <c:extLst>
            <c:ext xmlns:c16="http://schemas.microsoft.com/office/drawing/2014/chart" uri="{C3380CC4-5D6E-409C-BE32-E72D297353CC}">
              <c16:uniqueId val="{00000001-AD9E-4E58-ABCA-05D44CF74AD2}"/>
            </c:ext>
          </c:extLst>
        </c:ser>
        <c:dLbls>
          <c:showLegendKey val="0"/>
          <c:showVal val="0"/>
          <c:showCatName val="0"/>
          <c:showSerName val="0"/>
          <c:showPercent val="0"/>
          <c:showBubbleSize val="0"/>
        </c:dLbls>
        <c:gapWidth val="150"/>
        <c:overlap val="100"/>
        <c:axId val="177741312"/>
        <c:axId val="197360960"/>
      </c:barChart>
      <c:catAx>
        <c:axId val="17774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60960"/>
        <c:crosses val="autoZero"/>
        <c:auto val="1"/>
        <c:lblAlgn val="ctr"/>
        <c:lblOffset val="100"/>
        <c:noMultiLvlLbl val="0"/>
      </c:catAx>
      <c:valAx>
        <c:axId val="19736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41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lt-LT"/>
              <a:t>3. Plokštuminė diagrama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'U15'!$U$3</c:f>
              <c:strCache>
                <c:ptCount val="1"/>
                <c:pt idx="0">
                  <c:v>Reklamos pajamos</c:v>
                </c:pt>
              </c:strCache>
            </c:strRef>
          </c:tx>
          <c:spPr>
            <a:solidFill>
              <a:schemeClr val="accent1"/>
            </a:solidFill>
            <a:ln>
              <a:noFill/>
            </a:ln>
            <a:effectLst/>
          </c:spPr>
          <c:cat>
            <c:strRef>
              <c:f>'U15'!$T$4:$T$10</c:f>
              <c:strCache>
                <c:ptCount val="7"/>
                <c:pt idx="0">
                  <c:v> 2006</c:v>
                </c:pt>
                <c:pt idx="1">
                  <c:v> 2007</c:v>
                </c:pt>
                <c:pt idx="2">
                  <c:v> 2008</c:v>
                </c:pt>
                <c:pt idx="3">
                  <c:v> 2009</c:v>
                </c:pt>
                <c:pt idx="4">
                  <c:v> 2010</c:v>
                </c:pt>
                <c:pt idx="5">
                  <c:v> 2011</c:v>
                </c:pt>
                <c:pt idx="6">
                  <c:v> 2012</c:v>
                </c:pt>
              </c:strCache>
            </c:strRef>
          </c:cat>
          <c:val>
            <c:numRef>
              <c:f>'U15'!$U$4:$U$10</c:f>
              <c:numCache>
                <c:formatCode>General</c:formatCode>
                <c:ptCount val="7"/>
                <c:pt idx="0">
                  <c:v>1000</c:v>
                </c:pt>
                <c:pt idx="1">
                  <c:v>1200</c:v>
                </c:pt>
                <c:pt idx="2">
                  <c:v>900</c:v>
                </c:pt>
                <c:pt idx="3">
                  <c:v>1300</c:v>
                </c:pt>
                <c:pt idx="4">
                  <c:v>1050</c:v>
                </c:pt>
                <c:pt idx="5">
                  <c:v>1350</c:v>
                </c:pt>
                <c:pt idx="6">
                  <c:v>1250</c:v>
                </c:pt>
              </c:numCache>
            </c:numRef>
          </c:val>
          <c:extLst>
            <c:ext xmlns:c16="http://schemas.microsoft.com/office/drawing/2014/chart" uri="{C3380CC4-5D6E-409C-BE32-E72D297353CC}">
              <c16:uniqueId val="{00000000-BA80-4BE6-A908-471B36DBC301}"/>
            </c:ext>
          </c:extLst>
        </c:ser>
        <c:ser>
          <c:idx val="1"/>
          <c:order val="1"/>
          <c:tx>
            <c:strRef>
              <c:f>'U15'!$V$3</c:f>
              <c:strCache>
                <c:ptCount val="1"/>
                <c:pt idx="0">
                  <c:v>Pekybos pajamos</c:v>
                </c:pt>
              </c:strCache>
            </c:strRef>
          </c:tx>
          <c:spPr>
            <a:solidFill>
              <a:schemeClr val="accent2"/>
            </a:solidFill>
            <a:ln>
              <a:noFill/>
            </a:ln>
            <a:effectLst/>
          </c:spPr>
          <c:cat>
            <c:strRef>
              <c:f>'U15'!$T$4:$T$10</c:f>
              <c:strCache>
                <c:ptCount val="7"/>
                <c:pt idx="0">
                  <c:v> 2006</c:v>
                </c:pt>
                <c:pt idx="1">
                  <c:v> 2007</c:v>
                </c:pt>
                <c:pt idx="2">
                  <c:v> 2008</c:v>
                </c:pt>
                <c:pt idx="3">
                  <c:v> 2009</c:v>
                </c:pt>
                <c:pt idx="4">
                  <c:v> 2010</c:v>
                </c:pt>
                <c:pt idx="5">
                  <c:v> 2011</c:v>
                </c:pt>
                <c:pt idx="6">
                  <c:v> 2012</c:v>
                </c:pt>
              </c:strCache>
            </c:strRef>
          </c:cat>
          <c:val>
            <c:numRef>
              <c:f>'U15'!$V$4:$V$10</c:f>
              <c:numCache>
                <c:formatCode>General</c:formatCode>
                <c:ptCount val="7"/>
                <c:pt idx="0">
                  <c:v>5689</c:v>
                </c:pt>
                <c:pt idx="1">
                  <c:v>6807</c:v>
                </c:pt>
                <c:pt idx="2">
                  <c:v>7150</c:v>
                </c:pt>
                <c:pt idx="3">
                  <c:v>9043</c:v>
                </c:pt>
                <c:pt idx="4">
                  <c:v>8560</c:v>
                </c:pt>
                <c:pt idx="5">
                  <c:v>11279</c:v>
                </c:pt>
                <c:pt idx="6">
                  <c:v>13452</c:v>
                </c:pt>
              </c:numCache>
            </c:numRef>
          </c:val>
          <c:extLst>
            <c:ext xmlns:c16="http://schemas.microsoft.com/office/drawing/2014/chart" uri="{C3380CC4-5D6E-409C-BE32-E72D297353CC}">
              <c16:uniqueId val="{00000001-BA80-4BE6-A908-471B36DBC301}"/>
            </c:ext>
          </c:extLst>
        </c:ser>
        <c:dLbls>
          <c:showLegendKey val="0"/>
          <c:showVal val="0"/>
          <c:showCatName val="0"/>
          <c:showSerName val="0"/>
          <c:showPercent val="0"/>
          <c:showBubbleSize val="0"/>
        </c:dLbls>
        <c:axId val="199191040"/>
        <c:axId val="199626688"/>
      </c:areaChart>
      <c:catAx>
        <c:axId val="199191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26688"/>
        <c:crosses val="autoZero"/>
        <c:auto val="1"/>
        <c:lblAlgn val="ctr"/>
        <c:lblOffset val="100"/>
        <c:noMultiLvlLbl val="0"/>
      </c:catAx>
      <c:valAx>
        <c:axId val="19962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91040"/>
        <c:crosses val="autoZero"/>
        <c:crossBetween val="midCat"/>
      </c:valAx>
      <c:spPr>
        <a:noFill/>
        <a:ln w="9525" cap="flat" cmpd="sng" algn="ctr">
          <a:solidFill>
            <a:schemeClr val="accent3"/>
          </a:solidFill>
          <a:prstDash val="solid"/>
          <a:round/>
          <a:headEnd type="none" w="med" len="med"/>
          <a:tailEnd type="none" w="med" len="med"/>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lt-LT"/>
              <a:t>5. Skritulinė diagrama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'U15'!$W$12</c:f>
              <c:strCache>
                <c:ptCount val="1"/>
                <c:pt idx="0">
                  <c:v>Pelnas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AF-41B3-B52D-B503AB71DB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AF-41B3-B52D-B503AB71DB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AF-41B3-B52D-B503AB71DBA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0AF-41B3-B52D-B503AB71DBA6}"/>
              </c:ext>
            </c:extLst>
          </c:dPt>
          <c:cat>
            <c:strRef>
              <c:f>'U15'!$T$13:$T$16</c:f>
              <c:strCache>
                <c:ptCount val="4"/>
                <c:pt idx="0">
                  <c:v>Prekyba</c:v>
                </c:pt>
                <c:pt idx="1">
                  <c:v>Reklama</c:v>
                </c:pt>
                <c:pt idx="2">
                  <c:v>Renginiai</c:v>
                </c:pt>
                <c:pt idx="3">
                  <c:v>Leidyba</c:v>
                </c:pt>
              </c:strCache>
            </c:strRef>
          </c:cat>
          <c:val>
            <c:numRef>
              <c:f>'U15'!$W$13:$W$16</c:f>
              <c:numCache>
                <c:formatCode>0</c:formatCode>
                <c:ptCount val="4"/>
                <c:pt idx="0">
                  <c:v>5404.55</c:v>
                </c:pt>
                <c:pt idx="1">
                  <c:v>900</c:v>
                </c:pt>
                <c:pt idx="2">
                  <c:v>2272.5</c:v>
                </c:pt>
                <c:pt idx="3">
                  <c:v>2000</c:v>
                </c:pt>
              </c:numCache>
            </c:numRef>
          </c:val>
          <c:extLst>
            <c:ext xmlns:c16="http://schemas.microsoft.com/office/drawing/2014/chart" uri="{C3380CC4-5D6E-409C-BE32-E72D297353CC}">
              <c16:uniqueId val="{00000008-10AF-41B3-B52D-B503AB71DBA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lt-LT"/>
              <a:t>2. Juostinė diagrama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8182053324638054"/>
          <c:y val="0.20286037159249373"/>
          <c:w val="0.5478676611206732"/>
          <c:h val="0.67025881931398967"/>
        </c:manualLayout>
      </c:layout>
      <c:barChart>
        <c:barDir val="bar"/>
        <c:grouping val="clustered"/>
        <c:varyColors val="0"/>
        <c:ser>
          <c:idx val="0"/>
          <c:order val="0"/>
          <c:tx>
            <c:strRef>
              <c:f>'U15'!$U$18</c:f>
              <c:strCache>
                <c:ptCount val="1"/>
                <c:pt idx="0">
                  <c:v>Pajamos</c:v>
                </c:pt>
              </c:strCache>
            </c:strRef>
          </c:tx>
          <c:spPr>
            <a:solidFill>
              <a:schemeClr val="accent1"/>
            </a:solidFill>
            <a:ln>
              <a:noFill/>
            </a:ln>
            <a:effectLst/>
          </c:spPr>
          <c:invertIfNegative val="0"/>
          <c:cat>
            <c:strRef>
              <c:f>'U15'!$T$19:$T$23</c:f>
              <c:strCache>
                <c:ptCount val="5"/>
                <c:pt idx="0">
                  <c:v>Gamybos cechas 1</c:v>
                </c:pt>
                <c:pt idx="1">
                  <c:v>Gamybos cechas 2</c:v>
                </c:pt>
                <c:pt idx="2">
                  <c:v>Komplektavimo baras</c:v>
                </c:pt>
                <c:pt idx="3">
                  <c:v>Logistikos padalinys</c:v>
                </c:pt>
                <c:pt idx="4">
                  <c:v>Prekybos pavilijonas</c:v>
                </c:pt>
              </c:strCache>
            </c:strRef>
          </c:cat>
          <c:val>
            <c:numRef>
              <c:f>'U15'!$U$19:$U$23</c:f>
              <c:numCache>
                <c:formatCode>General</c:formatCode>
                <c:ptCount val="5"/>
                <c:pt idx="0">
                  <c:v>1000</c:v>
                </c:pt>
                <c:pt idx="1">
                  <c:v>1200</c:v>
                </c:pt>
                <c:pt idx="2">
                  <c:v>900</c:v>
                </c:pt>
                <c:pt idx="3">
                  <c:v>1300</c:v>
                </c:pt>
                <c:pt idx="4">
                  <c:v>1050</c:v>
                </c:pt>
              </c:numCache>
            </c:numRef>
          </c:val>
          <c:extLst>
            <c:ext xmlns:c16="http://schemas.microsoft.com/office/drawing/2014/chart" uri="{C3380CC4-5D6E-409C-BE32-E72D297353CC}">
              <c16:uniqueId val="{00000000-A71A-412B-A998-0FC497363FE9}"/>
            </c:ext>
          </c:extLst>
        </c:ser>
        <c:dLbls>
          <c:showLegendKey val="0"/>
          <c:showVal val="0"/>
          <c:showCatName val="0"/>
          <c:showSerName val="0"/>
          <c:showPercent val="0"/>
          <c:showBubbleSize val="0"/>
        </c:dLbls>
        <c:gapWidth val="182"/>
        <c:axId val="451106176"/>
        <c:axId val="403813648"/>
      </c:barChart>
      <c:catAx>
        <c:axId val="451106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813648"/>
        <c:crosses val="autoZero"/>
        <c:auto val="1"/>
        <c:lblAlgn val="ctr"/>
        <c:lblOffset val="100"/>
        <c:noMultiLvlLbl val="0"/>
      </c:catAx>
      <c:valAx>
        <c:axId val="403813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106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Pelnas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1"/>
          <c:tx>
            <c:strRef>
              <c:f>'U15'!$C$55</c:f>
              <c:strCache>
                <c:ptCount val="1"/>
                <c:pt idx="0">
                  <c:v>Pelnas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'U15'!$B$55:$B$63</c:f>
              <c:strCache>
                <c:ptCount val="9"/>
                <c:pt idx="0">
                  <c:v>Metai</c:v>
                </c:pt>
                <c:pt idx="1">
                  <c:v>2010</c:v>
                </c:pt>
                <c:pt idx="2">
                  <c:v>2011</c:v>
                </c:pt>
                <c:pt idx="3">
                  <c:v>2012</c:v>
                </c:pt>
                <c:pt idx="4">
                  <c:v>2013</c:v>
                </c:pt>
                <c:pt idx="5">
                  <c:v>2014</c:v>
                </c:pt>
                <c:pt idx="6">
                  <c:v>2015</c:v>
                </c:pt>
                <c:pt idx="7">
                  <c:v>2016</c:v>
                </c:pt>
                <c:pt idx="8">
                  <c:v>2017</c:v>
                </c:pt>
              </c:strCache>
            </c:strRef>
          </c:cat>
          <c:val>
            <c:numRef>
              <c:f>'U15'!$C$56:$C$63</c:f>
              <c:numCache>
                <c:formatCode>General</c:formatCode>
                <c:ptCount val="8"/>
                <c:pt idx="0">
                  <c:v>10520</c:v>
                </c:pt>
                <c:pt idx="1">
                  <c:v>12650</c:v>
                </c:pt>
                <c:pt idx="2">
                  <c:v>11840</c:v>
                </c:pt>
                <c:pt idx="3">
                  <c:v>17450</c:v>
                </c:pt>
                <c:pt idx="4">
                  <c:v>23650</c:v>
                </c:pt>
                <c:pt idx="5">
                  <c:v>15250</c:v>
                </c:pt>
                <c:pt idx="6">
                  <c:v>19520</c:v>
                </c:pt>
                <c:pt idx="7">
                  <c:v>26500</c:v>
                </c:pt>
              </c:numCache>
            </c:numRef>
          </c:val>
          <c:extLst>
            <c:ext xmlns:c16="http://schemas.microsoft.com/office/drawing/2014/chart" uri="{C3380CC4-5D6E-409C-BE32-E72D297353CC}">
              <c16:uniqueId val="{00000001-630C-4B5D-98D3-30E92B8DC3F4}"/>
            </c:ext>
          </c:extLst>
        </c:ser>
        <c:dLbls>
          <c:showLegendKey val="0"/>
          <c:showVal val="0"/>
          <c:showCatName val="0"/>
          <c:showSerName val="0"/>
          <c:showPercent val="0"/>
          <c:showBubbleSize val="0"/>
        </c:dLbls>
        <c:gapWidth val="100"/>
        <c:overlap val="-24"/>
        <c:axId val="1867152112"/>
        <c:axId val="1838658784"/>
        <c:extLst>
          <c:ext xmlns:c15="http://schemas.microsoft.com/office/drawing/2012/chart" uri="{02D57815-91ED-43cb-92C2-25804820EDAC}">
            <c15:filteredBarSeries>
              <c15:ser>
                <c:idx val="0"/>
                <c:order val="0"/>
                <c:tx>
                  <c:strRef>
                    <c:extLst>
                      <c:ext uri="{02D57815-91ED-43cb-92C2-25804820EDAC}">
                        <c15:formulaRef>
                          <c15:sqref>'U15'!$B$55</c15:sqref>
                        </c15:formulaRef>
                      </c:ext>
                    </c:extLst>
                    <c:strCache>
                      <c:ptCount val="1"/>
                      <c:pt idx="0">
                        <c:v>Metai</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uri="{02D57815-91ED-43cb-92C2-25804820EDAC}">
                        <c15:formulaRef>
                          <c15:sqref>'U15'!$B$55:$B$63</c15:sqref>
                        </c15:formulaRef>
                      </c:ext>
                    </c:extLst>
                    <c:strCache>
                      <c:ptCount val="9"/>
                      <c:pt idx="0">
                        <c:v>Metai</c:v>
                      </c:pt>
                      <c:pt idx="1">
                        <c:v>2010</c:v>
                      </c:pt>
                      <c:pt idx="2">
                        <c:v>2011</c:v>
                      </c:pt>
                      <c:pt idx="3">
                        <c:v>2012</c:v>
                      </c:pt>
                      <c:pt idx="4">
                        <c:v>2013</c:v>
                      </c:pt>
                      <c:pt idx="5">
                        <c:v>2014</c:v>
                      </c:pt>
                      <c:pt idx="6">
                        <c:v>2015</c:v>
                      </c:pt>
                      <c:pt idx="7">
                        <c:v>2016</c:v>
                      </c:pt>
                      <c:pt idx="8">
                        <c:v>2017</c:v>
                      </c:pt>
                    </c:strCache>
                  </c:strRef>
                </c:cat>
                <c:val>
                  <c:numRef>
                    <c:extLst>
                      <c:ext uri="{02D57815-91ED-43cb-92C2-25804820EDAC}">
                        <c15:formulaRef>
                          <c15:sqref>'U15'!$B$56:$B$63</c15:sqref>
                        </c15:formulaRef>
                      </c:ext>
                    </c:extLst>
                    <c:numCache>
                      <c:formatCode>General</c:formatCode>
                      <c:ptCount val="8"/>
                      <c:pt idx="0">
                        <c:v>2010</c:v>
                      </c:pt>
                      <c:pt idx="1">
                        <c:v>2011</c:v>
                      </c:pt>
                      <c:pt idx="2">
                        <c:v>2012</c:v>
                      </c:pt>
                      <c:pt idx="3">
                        <c:v>2013</c:v>
                      </c:pt>
                      <c:pt idx="4">
                        <c:v>2014</c:v>
                      </c:pt>
                      <c:pt idx="5">
                        <c:v>2015</c:v>
                      </c:pt>
                      <c:pt idx="6">
                        <c:v>2016</c:v>
                      </c:pt>
                      <c:pt idx="7">
                        <c:v>2017</c:v>
                      </c:pt>
                    </c:numCache>
                  </c:numRef>
                </c:val>
                <c:extLst>
                  <c:ext xmlns:c16="http://schemas.microsoft.com/office/drawing/2014/chart" uri="{C3380CC4-5D6E-409C-BE32-E72D297353CC}">
                    <c16:uniqueId val="{00000000-630C-4B5D-98D3-30E92B8DC3F4}"/>
                  </c:ext>
                </c:extLst>
              </c15:ser>
            </c15:filteredBarSeries>
          </c:ext>
        </c:extLst>
      </c:barChart>
      <c:catAx>
        <c:axId val="18671521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8658784"/>
        <c:crosses val="autoZero"/>
        <c:auto val="1"/>
        <c:lblAlgn val="ctr"/>
        <c:lblOffset val="100"/>
        <c:noMultiLvlLbl val="0"/>
      </c:catAx>
      <c:valAx>
        <c:axId val="18386587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7152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Pardavimai</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'U15'!$B$37</c:f>
              <c:strCache>
                <c:ptCount val="1"/>
                <c:pt idx="0">
                  <c:v>Jonas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'U15'!$C$36</c:f>
              <c:strCache>
                <c:ptCount val="1"/>
                <c:pt idx="0">
                  <c:v>Pardavimai</c:v>
                </c:pt>
              </c:strCache>
            </c:strRef>
          </c:cat>
          <c:val>
            <c:numRef>
              <c:f>'U15'!$C$37</c:f>
              <c:numCache>
                <c:formatCode>General</c:formatCode>
                <c:ptCount val="1"/>
                <c:pt idx="0">
                  <c:v>10520</c:v>
                </c:pt>
              </c:numCache>
            </c:numRef>
          </c:val>
          <c:extLst>
            <c:ext xmlns:c16="http://schemas.microsoft.com/office/drawing/2014/chart" uri="{C3380CC4-5D6E-409C-BE32-E72D297353CC}">
              <c16:uniqueId val="{00000000-DAC4-4635-A391-890552115674}"/>
            </c:ext>
          </c:extLst>
        </c:ser>
        <c:ser>
          <c:idx val="1"/>
          <c:order val="1"/>
          <c:tx>
            <c:strRef>
              <c:f>'U15'!$B$38</c:f>
              <c:strCache>
                <c:ptCount val="1"/>
                <c:pt idx="0">
                  <c:v>Petras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'U15'!$C$36</c:f>
              <c:strCache>
                <c:ptCount val="1"/>
                <c:pt idx="0">
                  <c:v>Pardavimai</c:v>
                </c:pt>
              </c:strCache>
            </c:strRef>
          </c:cat>
          <c:val>
            <c:numRef>
              <c:f>'U15'!$C$38</c:f>
              <c:numCache>
                <c:formatCode>General</c:formatCode>
                <c:ptCount val="1"/>
                <c:pt idx="0">
                  <c:v>12650</c:v>
                </c:pt>
              </c:numCache>
            </c:numRef>
          </c:val>
          <c:extLst>
            <c:ext xmlns:c16="http://schemas.microsoft.com/office/drawing/2014/chart" uri="{C3380CC4-5D6E-409C-BE32-E72D297353CC}">
              <c16:uniqueId val="{00000001-DAC4-4635-A391-890552115674}"/>
            </c:ext>
          </c:extLst>
        </c:ser>
        <c:ser>
          <c:idx val="2"/>
          <c:order val="2"/>
          <c:tx>
            <c:strRef>
              <c:f>'U15'!$B$39</c:f>
              <c:strCache>
                <c:ptCount val="1"/>
                <c:pt idx="0">
                  <c:v>Antanas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'U15'!$C$36</c:f>
              <c:strCache>
                <c:ptCount val="1"/>
                <c:pt idx="0">
                  <c:v>Pardavimai</c:v>
                </c:pt>
              </c:strCache>
            </c:strRef>
          </c:cat>
          <c:val>
            <c:numRef>
              <c:f>'U15'!$C$39</c:f>
              <c:numCache>
                <c:formatCode>General</c:formatCode>
                <c:ptCount val="1"/>
                <c:pt idx="0">
                  <c:v>11840</c:v>
                </c:pt>
              </c:numCache>
            </c:numRef>
          </c:val>
          <c:extLst>
            <c:ext xmlns:c16="http://schemas.microsoft.com/office/drawing/2014/chart" uri="{C3380CC4-5D6E-409C-BE32-E72D297353CC}">
              <c16:uniqueId val="{00000002-DAC4-4635-A391-890552115674}"/>
            </c:ext>
          </c:extLst>
        </c:ser>
        <c:dLbls>
          <c:showLegendKey val="0"/>
          <c:showVal val="0"/>
          <c:showCatName val="0"/>
          <c:showSerName val="0"/>
          <c:showPercent val="0"/>
          <c:showBubbleSize val="0"/>
        </c:dLbls>
        <c:gapWidth val="100"/>
        <c:overlap val="-24"/>
        <c:axId val="833838432"/>
        <c:axId val="775531088"/>
      </c:barChart>
      <c:catAx>
        <c:axId val="8338384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5531088"/>
        <c:crosses val="autoZero"/>
        <c:auto val="1"/>
        <c:lblAlgn val="ctr"/>
        <c:lblOffset val="100"/>
        <c:noMultiLvlLbl val="0"/>
      </c:catAx>
      <c:valAx>
        <c:axId val="7755310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3838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Pelnas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2"/>
          <c:order val="2"/>
          <c:tx>
            <c:strRef>
              <c:f>'U15'!$D$76</c:f>
              <c:strCache>
                <c:ptCount val="1"/>
                <c:pt idx="0">
                  <c:v>Pard. skaičius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'U15'!$B$76:$B$84</c:f>
              <c:strCache>
                <c:ptCount val="9"/>
                <c:pt idx="0">
                  <c:v>Metai</c:v>
                </c:pt>
                <c:pt idx="1">
                  <c:v>2010</c:v>
                </c:pt>
                <c:pt idx="2">
                  <c:v>2011</c:v>
                </c:pt>
                <c:pt idx="3">
                  <c:v>2012</c:v>
                </c:pt>
                <c:pt idx="4">
                  <c:v>2013</c:v>
                </c:pt>
                <c:pt idx="5">
                  <c:v>2014</c:v>
                </c:pt>
                <c:pt idx="6">
                  <c:v>2015</c:v>
                </c:pt>
                <c:pt idx="7">
                  <c:v>2016</c:v>
                </c:pt>
                <c:pt idx="8">
                  <c:v>2017</c:v>
                </c:pt>
              </c:strCache>
            </c:strRef>
          </c:cat>
          <c:val>
            <c:numRef>
              <c:f>'U15'!$D$77:$D$84</c:f>
              <c:numCache>
                <c:formatCode>General</c:formatCode>
                <c:ptCount val="8"/>
                <c:pt idx="0">
                  <c:v>3</c:v>
                </c:pt>
                <c:pt idx="1">
                  <c:v>4</c:v>
                </c:pt>
                <c:pt idx="2">
                  <c:v>3</c:v>
                </c:pt>
                <c:pt idx="3">
                  <c:v>5</c:v>
                </c:pt>
                <c:pt idx="4">
                  <c:v>6</c:v>
                </c:pt>
                <c:pt idx="5">
                  <c:v>4</c:v>
                </c:pt>
                <c:pt idx="6">
                  <c:v>5</c:v>
                </c:pt>
                <c:pt idx="7">
                  <c:v>7</c:v>
                </c:pt>
              </c:numCache>
            </c:numRef>
          </c:val>
          <c:extLst>
            <c:ext xmlns:c16="http://schemas.microsoft.com/office/drawing/2014/chart" uri="{C3380CC4-5D6E-409C-BE32-E72D297353CC}">
              <c16:uniqueId val="{00000002-BF98-4A30-9DDB-6C7752D11503}"/>
            </c:ext>
          </c:extLst>
        </c:ser>
        <c:dLbls>
          <c:showLegendKey val="0"/>
          <c:showVal val="0"/>
          <c:showCatName val="0"/>
          <c:showSerName val="0"/>
          <c:showPercent val="0"/>
          <c:showBubbleSize val="0"/>
        </c:dLbls>
        <c:gapWidth val="150"/>
        <c:axId val="914354784"/>
        <c:axId val="923514048"/>
      </c:barChart>
      <c:lineChart>
        <c:grouping val="standard"/>
        <c:varyColors val="0"/>
        <c:ser>
          <c:idx val="1"/>
          <c:order val="1"/>
          <c:tx>
            <c:strRef>
              <c:f>'U15'!$C$76</c:f>
              <c:strCache>
                <c:ptCount val="1"/>
                <c:pt idx="0">
                  <c:v>Pelnas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'U15'!$B$76:$B$84</c:f>
              <c:strCache>
                <c:ptCount val="9"/>
                <c:pt idx="0">
                  <c:v>Metai</c:v>
                </c:pt>
                <c:pt idx="1">
                  <c:v>2010</c:v>
                </c:pt>
                <c:pt idx="2">
                  <c:v>2011</c:v>
                </c:pt>
                <c:pt idx="3">
                  <c:v>2012</c:v>
                </c:pt>
                <c:pt idx="4">
                  <c:v>2013</c:v>
                </c:pt>
                <c:pt idx="5">
                  <c:v>2014</c:v>
                </c:pt>
                <c:pt idx="6">
                  <c:v>2015</c:v>
                </c:pt>
                <c:pt idx="7">
                  <c:v>2016</c:v>
                </c:pt>
                <c:pt idx="8">
                  <c:v>2017</c:v>
                </c:pt>
              </c:strCache>
            </c:strRef>
          </c:cat>
          <c:val>
            <c:numRef>
              <c:f>'U15'!$C$77:$C$84</c:f>
              <c:numCache>
                <c:formatCode>General</c:formatCode>
                <c:ptCount val="8"/>
                <c:pt idx="0">
                  <c:v>10520</c:v>
                </c:pt>
                <c:pt idx="1">
                  <c:v>12650</c:v>
                </c:pt>
                <c:pt idx="2">
                  <c:v>11840</c:v>
                </c:pt>
                <c:pt idx="3">
                  <c:v>17450</c:v>
                </c:pt>
                <c:pt idx="4">
                  <c:v>23650</c:v>
                </c:pt>
                <c:pt idx="5">
                  <c:v>15250</c:v>
                </c:pt>
                <c:pt idx="6">
                  <c:v>19520</c:v>
                </c:pt>
                <c:pt idx="7">
                  <c:v>26500</c:v>
                </c:pt>
              </c:numCache>
            </c:numRef>
          </c:val>
          <c:smooth val="0"/>
          <c:extLst>
            <c:ext xmlns:c16="http://schemas.microsoft.com/office/drawing/2014/chart" uri="{C3380CC4-5D6E-409C-BE32-E72D297353CC}">
              <c16:uniqueId val="{00000001-BF98-4A30-9DDB-6C7752D11503}"/>
            </c:ext>
          </c:extLst>
        </c:ser>
        <c:dLbls>
          <c:showLegendKey val="0"/>
          <c:showVal val="0"/>
          <c:showCatName val="0"/>
          <c:showSerName val="0"/>
          <c:showPercent val="0"/>
          <c:showBubbleSize val="0"/>
        </c:dLbls>
        <c:marker val="1"/>
        <c:smooth val="0"/>
        <c:axId val="898268896"/>
        <c:axId val="461003984"/>
        <c:extLst>
          <c:ext xmlns:c15="http://schemas.microsoft.com/office/drawing/2012/chart" uri="{02D57815-91ED-43cb-92C2-25804820EDAC}">
            <c15:filteredLineSeries>
              <c15:ser>
                <c:idx val="0"/>
                <c:order val="0"/>
                <c:tx>
                  <c:strRef>
                    <c:extLst>
                      <c:ext uri="{02D57815-91ED-43cb-92C2-25804820EDAC}">
                        <c15:formulaRef>
                          <c15:sqref>'U15'!$B$76</c15:sqref>
                        </c15:formulaRef>
                      </c:ext>
                    </c:extLst>
                    <c:strCache>
                      <c:ptCount val="1"/>
                      <c:pt idx="0">
                        <c:v>Metai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strRef>
                    <c:extLst>
                      <c:ext uri="{02D57815-91ED-43cb-92C2-25804820EDAC}">
                        <c15:formulaRef>
                          <c15:sqref>'U15'!$B$76:$B$84</c15:sqref>
                        </c15:formulaRef>
                      </c:ext>
                    </c:extLst>
                    <c:strCache>
                      <c:ptCount val="9"/>
                      <c:pt idx="0">
                        <c:v>Metai</c:v>
                      </c:pt>
                      <c:pt idx="1">
                        <c:v>2010</c:v>
                      </c:pt>
                      <c:pt idx="2">
                        <c:v>2011</c:v>
                      </c:pt>
                      <c:pt idx="3">
                        <c:v>2012</c:v>
                      </c:pt>
                      <c:pt idx="4">
                        <c:v>2013</c:v>
                      </c:pt>
                      <c:pt idx="5">
                        <c:v>2014</c:v>
                      </c:pt>
                      <c:pt idx="6">
                        <c:v>2015</c:v>
                      </c:pt>
                      <c:pt idx="7">
                        <c:v>2016</c:v>
                      </c:pt>
                      <c:pt idx="8">
                        <c:v>2017</c:v>
                      </c:pt>
                    </c:strCache>
                  </c:strRef>
                </c:cat>
                <c:val>
                  <c:numRef>
                    <c:extLst>
                      <c:ext uri="{02D57815-91ED-43cb-92C2-25804820EDAC}">
                        <c15:formulaRef>
                          <c15:sqref>'U15'!$B$77:$B$84</c15:sqref>
                        </c15:formulaRef>
                      </c:ext>
                    </c:extLst>
                    <c:numCache>
                      <c:formatCode>General</c:formatCode>
                      <c:ptCount val="8"/>
                      <c:pt idx="0">
                        <c:v>2010</c:v>
                      </c:pt>
                      <c:pt idx="1">
                        <c:v>2011</c:v>
                      </c:pt>
                      <c:pt idx="2">
                        <c:v>2012</c:v>
                      </c:pt>
                      <c:pt idx="3">
                        <c:v>2013</c:v>
                      </c:pt>
                      <c:pt idx="4">
                        <c:v>2014</c:v>
                      </c:pt>
                      <c:pt idx="5">
                        <c:v>2015</c:v>
                      </c:pt>
                      <c:pt idx="6">
                        <c:v>2016</c:v>
                      </c:pt>
                      <c:pt idx="7">
                        <c:v>2017</c:v>
                      </c:pt>
                    </c:numCache>
                  </c:numRef>
                </c:val>
                <c:smooth val="0"/>
                <c:extLst>
                  <c:ext xmlns:c16="http://schemas.microsoft.com/office/drawing/2014/chart" uri="{C3380CC4-5D6E-409C-BE32-E72D297353CC}">
                    <c16:uniqueId val="{00000000-BF98-4A30-9DDB-6C7752D11503}"/>
                  </c:ext>
                </c:extLst>
              </c15:ser>
            </c15:filteredLineSeries>
          </c:ext>
        </c:extLst>
      </c:lineChart>
      <c:catAx>
        <c:axId val="8982688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1003984"/>
        <c:crosses val="autoZero"/>
        <c:auto val="1"/>
        <c:lblAlgn val="ctr"/>
        <c:lblOffset val="100"/>
        <c:noMultiLvlLbl val="0"/>
      </c:catAx>
      <c:valAx>
        <c:axId val="4610039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8268896"/>
        <c:crosses val="autoZero"/>
        <c:crossBetween val="between"/>
      </c:valAx>
      <c:valAx>
        <c:axId val="92351404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4354784"/>
        <c:crosses val="max"/>
        <c:crossBetween val="between"/>
      </c:valAx>
      <c:catAx>
        <c:axId val="914354784"/>
        <c:scaling>
          <c:orientation val="minMax"/>
        </c:scaling>
        <c:delete val="1"/>
        <c:axPos val="b"/>
        <c:numFmt formatCode="General" sourceLinked="1"/>
        <c:majorTickMark val="none"/>
        <c:minorTickMark val="none"/>
        <c:tickLblPos val="nextTo"/>
        <c:crossAx val="9235140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2025650</xdr:colOff>
      <xdr:row>14</xdr:row>
      <xdr:rowOff>120650</xdr:rowOff>
    </xdr:from>
    <xdr:to>
      <xdr:col>15</xdr:col>
      <xdr:colOff>63500</xdr:colOff>
      <xdr:row>37</xdr:row>
      <xdr:rowOff>171670</xdr:rowOff>
    </xdr:to>
    <xdr:pic>
      <xdr:nvPicPr>
        <xdr:cNvPr id="3" name="Picture 2">
          <a:extLst>
            <a:ext uri="{FF2B5EF4-FFF2-40B4-BE49-F238E27FC236}">
              <a16:creationId xmlns:a16="http://schemas.microsoft.com/office/drawing/2014/main" id="{F8962B9F-70F6-8770-8FE8-8BE0DE8EA002}"/>
            </a:ext>
          </a:extLst>
        </xdr:cNvPr>
        <xdr:cNvPicPr>
          <a:picLocks noChangeAspect="1"/>
        </xdr:cNvPicPr>
      </xdr:nvPicPr>
      <xdr:blipFill>
        <a:blip xmlns:r="http://schemas.openxmlformats.org/officeDocument/2006/relationships" r:embed="rId1"/>
        <a:stretch>
          <a:fillRect/>
        </a:stretch>
      </xdr:blipFill>
      <xdr:spPr>
        <a:xfrm>
          <a:off x="7461250" y="2851150"/>
          <a:ext cx="7042150" cy="4286470"/>
        </a:xfrm>
        <a:prstGeom prst="rect">
          <a:avLst/>
        </a:prstGeom>
      </xdr:spPr>
    </xdr:pic>
    <xdr:clientData/>
  </xdr:twoCellAnchor>
  <xdr:twoCellAnchor editAs="oneCell">
    <xdr:from>
      <xdr:col>6</xdr:col>
      <xdr:colOff>1295400</xdr:colOff>
      <xdr:row>36</xdr:row>
      <xdr:rowOff>158750</xdr:rowOff>
    </xdr:from>
    <xdr:to>
      <xdr:col>15</xdr:col>
      <xdr:colOff>63758</xdr:colOff>
      <xdr:row>57</xdr:row>
      <xdr:rowOff>146248</xdr:rowOff>
    </xdr:to>
    <xdr:pic>
      <xdr:nvPicPr>
        <xdr:cNvPr id="5" name="Picture 4">
          <a:extLst>
            <a:ext uri="{FF2B5EF4-FFF2-40B4-BE49-F238E27FC236}">
              <a16:creationId xmlns:a16="http://schemas.microsoft.com/office/drawing/2014/main" id="{D8FE5351-E60D-6E47-F9F9-0058D574E741}"/>
            </a:ext>
          </a:extLst>
        </xdr:cNvPr>
        <xdr:cNvPicPr>
          <a:picLocks noChangeAspect="1"/>
        </xdr:cNvPicPr>
      </xdr:nvPicPr>
      <xdr:blipFill>
        <a:blip xmlns:r="http://schemas.openxmlformats.org/officeDocument/2006/relationships" r:embed="rId2"/>
        <a:stretch>
          <a:fillRect/>
        </a:stretch>
      </xdr:blipFill>
      <xdr:spPr>
        <a:xfrm>
          <a:off x="9486900" y="6940550"/>
          <a:ext cx="5016758" cy="38546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234089</xdr:colOff>
      <xdr:row>12</xdr:row>
      <xdr:rowOff>56505</xdr:rowOff>
    </xdr:from>
    <xdr:to>
      <xdr:col>1</xdr:col>
      <xdr:colOff>968644</xdr:colOff>
      <xdr:row>12</xdr:row>
      <xdr:rowOff>153369</xdr:rowOff>
    </xdr:to>
    <xdr:cxnSp macro="">
      <xdr:nvCxnSpPr>
        <xdr:cNvPr id="2" name="Straight Arrow Connector 1">
          <a:extLst>
            <a:ext uri="{FF2B5EF4-FFF2-40B4-BE49-F238E27FC236}">
              <a16:creationId xmlns:a16="http://schemas.microsoft.com/office/drawing/2014/main" id="{3FE73DB3-0430-4EB2-94E6-E2923ED210CA}"/>
            </a:ext>
          </a:extLst>
        </xdr:cNvPr>
        <xdr:cNvCxnSpPr/>
      </xdr:nvCxnSpPr>
      <xdr:spPr>
        <a:xfrm flipH="1">
          <a:off x="439829" y="2411085"/>
          <a:ext cx="734555" cy="9686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0</xdr:colOff>
      <xdr:row>10</xdr:row>
      <xdr:rowOff>0</xdr:rowOff>
    </xdr:from>
    <xdr:to>
      <xdr:col>17</xdr:col>
      <xdr:colOff>120782</xdr:colOff>
      <xdr:row>24</xdr:row>
      <xdr:rowOff>76336</xdr:rowOff>
    </xdr:to>
    <xdr:pic>
      <xdr:nvPicPr>
        <xdr:cNvPr id="3" name="Picture 2">
          <a:extLst>
            <a:ext uri="{FF2B5EF4-FFF2-40B4-BE49-F238E27FC236}">
              <a16:creationId xmlns:a16="http://schemas.microsoft.com/office/drawing/2014/main" id="{95BC271C-A651-9B53-FA00-76798907A219}"/>
            </a:ext>
          </a:extLst>
        </xdr:cNvPr>
        <xdr:cNvPicPr>
          <a:picLocks noChangeAspect="1"/>
        </xdr:cNvPicPr>
      </xdr:nvPicPr>
      <xdr:blipFill>
        <a:blip xmlns:r="http://schemas.openxmlformats.org/officeDocument/2006/relationships" r:embed="rId1"/>
        <a:stretch>
          <a:fillRect/>
        </a:stretch>
      </xdr:blipFill>
      <xdr:spPr>
        <a:xfrm>
          <a:off x="11557000" y="1993900"/>
          <a:ext cx="2559182" cy="265443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55562</xdr:colOff>
      <xdr:row>15</xdr:row>
      <xdr:rowOff>106759</xdr:rowOff>
    </xdr:from>
    <xdr:to>
      <xdr:col>11</xdr:col>
      <xdr:colOff>555625</xdr:colOff>
      <xdr:row>30</xdr:row>
      <xdr:rowOff>49610</xdr:rowOff>
    </xdr:to>
    <xdr:graphicFrame macro="">
      <xdr:nvGraphicFramePr>
        <xdr:cNvPr id="2" name="Chart 1">
          <a:extLst>
            <a:ext uri="{FF2B5EF4-FFF2-40B4-BE49-F238E27FC236}">
              <a16:creationId xmlns:a16="http://schemas.microsoft.com/office/drawing/2014/main" id="{90A1739C-A38A-49A5-987E-8AD3A04A1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482204</xdr:colOff>
      <xdr:row>1</xdr:row>
      <xdr:rowOff>57149</xdr:rowOff>
    </xdr:from>
    <xdr:to>
      <xdr:col>12</xdr:col>
      <xdr:colOff>466328</xdr:colOff>
      <xdr:row>14</xdr:row>
      <xdr:rowOff>19843</xdr:rowOff>
    </xdr:to>
    <xdr:graphicFrame macro="">
      <xdr:nvGraphicFramePr>
        <xdr:cNvPr id="3" name="Chart 2">
          <a:extLst>
            <a:ext uri="{FF2B5EF4-FFF2-40B4-BE49-F238E27FC236}">
              <a16:creationId xmlns:a16="http://schemas.microsoft.com/office/drawing/2014/main" id="{5111971D-576A-4750-85D5-6FE8C5193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412748</xdr:colOff>
      <xdr:row>15</xdr:row>
      <xdr:rowOff>99218</xdr:rowOff>
    </xdr:from>
    <xdr:to>
      <xdr:col>5</xdr:col>
      <xdr:colOff>635000</xdr:colOff>
      <xdr:row>30</xdr:row>
      <xdr:rowOff>59532</xdr:rowOff>
    </xdr:to>
    <xdr:graphicFrame macro="">
      <xdr:nvGraphicFramePr>
        <xdr:cNvPr id="5" name="Chart 4">
          <a:extLst>
            <a:ext uri="{FF2B5EF4-FFF2-40B4-BE49-F238E27FC236}">
              <a16:creationId xmlns:a16="http://schemas.microsoft.com/office/drawing/2014/main" id="{05F886D4-3EC3-4FD4-8737-29E60ED09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740171</xdr:colOff>
      <xdr:row>15</xdr:row>
      <xdr:rowOff>116680</xdr:rowOff>
    </xdr:from>
    <xdr:to>
      <xdr:col>17</xdr:col>
      <xdr:colOff>426641</xdr:colOff>
      <xdr:row>30</xdr:row>
      <xdr:rowOff>29765</xdr:rowOff>
    </xdr:to>
    <xdr:graphicFrame macro="">
      <xdr:nvGraphicFramePr>
        <xdr:cNvPr id="6" name="Chart 5">
          <a:extLst>
            <a:ext uri="{FF2B5EF4-FFF2-40B4-BE49-F238E27FC236}">
              <a16:creationId xmlns:a16="http://schemas.microsoft.com/office/drawing/2014/main" id="{98C7477B-935F-4B1A-BF5B-BC534534EE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561032</xdr:colOff>
      <xdr:row>1</xdr:row>
      <xdr:rowOff>89598</xdr:rowOff>
    </xdr:from>
    <xdr:to>
      <xdr:col>17</xdr:col>
      <xdr:colOff>443802</xdr:colOff>
      <xdr:row>14</xdr:row>
      <xdr:rowOff>16747</xdr:rowOff>
    </xdr:to>
    <xdr:graphicFrame macro="">
      <xdr:nvGraphicFramePr>
        <xdr:cNvPr id="10" name="Chart 9">
          <a:extLst>
            <a:ext uri="{FF2B5EF4-FFF2-40B4-BE49-F238E27FC236}">
              <a16:creationId xmlns:a16="http://schemas.microsoft.com/office/drawing/2014/main" id="{869D956C-D830-4639-81DE-74C81D715B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568988</xdr:colOff>
      <xdr:row>53</xdr:row>
      <xdr:rowOff>125116</xdr:rowOff>
    </xdr:from>
    <xdr:to>
      <xdr:col>9</xdr:col>
      <xdr:colOff>357763</xdr:colOff>
      <xdr:row>68</xdr:row>
      <xdr:rowOff>105019</xdr:rowOff>
    </xdr:to>
    <xdr:graphicFrame macro="">
      <xdr:nvGraphicFramePr>
        <xdr:cNvPr id="13" name="Chart 12">
          <a:extLst>
            <a:ext uri="{FF2B5EF4-FFF2-40B4-BE49-F238E27FC236}">
              <a16:creationId xmlns:a16="http://schemas.microsoft.com/office/drawing/2014/main" id="{09E719D2-A4B5-4C66-959C-3DF7AFBBE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130175</xdr:colOff>
      <xdr:row>33</xdr:row>
      <xdr:rowOff>101600</xdr:rowOff>
    </xdr:from>
    <xdr:to>
      <xdr:col>11</xdr:col>
      <xdr:colOff>225425</xdr:colOff>
      <xdr:row>48</xdr:row>
      <xdr:rowOff>82550</xdr:rowOff>
    </xdr:to>
    <xdr:graphicFrame macro="">
      <xdr:nvGraphicFramePr>
        <xdr:cNvPr id="4" name="Chart 3">
          <a:extLst>
            <a:ext uri="{FF2B5EF4-FFF2-40B4-BE49-F238E27FC236}">
              <a16:creationId xmlns:a16="http://schemas.microsoft.com/office/drawing/2014/main" id="{D6881F9B-22D4-4105-2084-C8A81C52F8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517525</xdr:colOff>
      <xdr:row>80</xdr:row>
      <xdr:rowOff>0</xdr:rowOff>
    </xdr:from>
    <xdr:to>
      <xdr:col>11</xdr:col>
      <xdr:colOff>612775</xdr:colOff>
      <xdr:row>94</xdr:row>
      <xdr:rowOff>165100</xdr:rowOff>
    </xdr:to>
    <xdr:graphicFrame macro="">
      <xdr:nvGraphicFramePr>
        <xdr:cNvPr id="7" name="Chart 6">
          <a:extLst>
            <a:ext uri="{FF2B5EF4-FFF2-40B4-BE49-F238E27FC236}">
              <a16:creationId xmlns:a16="http://schemas.microsoft.com/office/drawing/2014/main" id="{B9D05D7A-0DBC-B5AC-C8AE-426045B399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266700</xdr:colOff>
      <xdr:row>78</xdr:row>
      <xdr:rowOff>31750</xdr:rowOff>
    </xdr:from>
    <xdr:to>
      <xdr:col>18</xdr:col>
      <xdr:colOff>419335</xdr:colOff>
      <xdr:row>104</xdr:row>
      <xdr:rowOff>51047</xdr:rowOff>
    </xdr:to>
    <xdr:pic>
      <xdr:nvPicPr>
        <xdr:cNvPr id="8" name="Picture 7">
          <a:extLst>
            <a:ext uri="{FF2B5EF4-FFF2-40B4-BE49-F238E27FC236}">
              <a16:creationId xmlns:a16="http://schemas.microsoft.com/office/drawing/2014/main" id="{A87EBC77-5CAC-3076-44CD-041DB9FF3EE7}"/>
            </a:ext>
          </a:extLst>
        </xdr:cNvPr>
        <xdr:cNvPicPr>
          <a:picLocks noChangeAspect="1"/>
        </xdr:cNvPicPr>
      </xdr:nvPicPr>
      <xdr:blipFill>
        <a:blip xmlns:r="http://schemas.openxmlformats.org/officeDocument/2006/relationships" r:embed="rId9"/>
        <a:stretch>
          <a:fillRect/>
        </a:stretch>
      </xdr:blipFill>
      <xdr:spPr>
        <a:xfrm>
          <a:off x="9893300" y="14516100"/>
          <a:ext cx="4578585" cy="480719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685800</xdr:colOff>
      <xdr:row>9</xdr:row>
      <xdr:rowOff>107950</xdr:rowOff>
    </xdr:from>
    <xdr:to>
      <xdr:col>8</xdr:col>
      <xdr:colOff>939942</xdr:colOff>
      <xdr:row>19</xdr:row>
      <xdr:rowOff>165198</xdr:rowOff>
    </xdr:to>
    <xdr:pic>
      <xdr:nvPicPr>
        <xdr:cNvPr id="2" name="Picture 1">
          <a:extLst>
            <a:ext uri="{FF2B5EF4-FFF2-40B4-BE49-F238E27FC236}">
              <a16:creationId xmlns:a16="http://schemas.microsoft.com/office/drawing/2014/main" id="{8349EF19-9D2D-2011-BD5C-B880B32C19B3}"/>
            </a:ext>
          </a:extLst>
        </xdr:cNvPr>
        <xdr:cNvPicPr>
          <a:picLocks noChangeAspect="1"/>
        </xdr:cNvPicPr>
      </xdr:nvPicPr>
      <xdr:blipFill>
        <a:blip xmlns:r="http://schemas.openxmlformats.org/officeDocument/2006/relationships" r:embed="rId1"/>
        <a:stretch>
          <a:fillRect/>
        </a:stretch>
      </xdr:blipFill>
      <xdr:spPr>
        <a:xfrm>
          <a:off x="5626100" y="1879600"/>
          <a:ext cx="2768742" cy="1911448"/>
        </a:xfrm>
        <a:prstGeom prst="rect">
          <a:avLst/>
        </a:prstGeom>
      </xdr:spPr>
    </xdr:pic>
    <xdr:clientData/>
  </xdr:twoCellAnchor>
  <xdr:twoCellAnchor editAs="oneCell">
    <xdr:from>
      <xdr:col>14</xdr:col>
      <xdr:colOff>0</xdr:colOff>
      <xdr:row>21</xdr:row>
      <xdr:rowOff>0</xdr:rowOff>
    </xdr:from>
    <xdr:to>
      <xdr:col>18</xdr:col>
      <xdr:colOff>431990</xdr:colOff>
      <xdr:row>40</xdr:row>
      <xdr:rowOff>95435</xdr:rowOff>
    </xdr:to>
    <xdr:pic>
      <xdr:nvPicPr>
        <xdr:cNvPr id="3" name="Picture 2">
          <a:extLst>
            <a:ext uri="{FF2B5EF4-FFF2-40B4-BE49-F238E27FC236}">
              <a16:creationId xmlns:a16="http://schemas.microsoft.com/office/drawing/2014/main" id="{5E9C8EE8-9BD0-8793-8835-95ED5B6B1154}"/>
            </a:ext>
          </a:extLst>
        </xdr:cNvPr>
        <xdr:cNvPicPr>
          <a:picLocks noChangeAspect="1"/>
        </xdr:cNvPicPr>
      </xdr:nvPicPr>
      <xdr:blipFill>
        <a:blip xmlns:r="http://schemas.openxmlformats.org/officeDocument/2006/relationships" r:embed="rId2"/>
        <a:stretch>
          <a:fillRect/>
        </a:stretch>
      </xdr:blipFill>
      <xdr:spPr>
        <a:xfrm>
          <a:off x="12566650" y="3994150"/>
          <a:ext cx="3702240" cy="36069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323850</xdr:colOff>
      <xdr:row>3</xdr:row>
      <xdr:rowOff>158750</xdr:rowOff>
    </xdr:from>
    <xdr:to>
      <xdr:col>19</xdr:col>
      <xdr:colOff>349539</xdr:colOff>
      <xdr:row>33</xdr:row>
      <xdr:rowOff>63779</xdr:rowOff>
    </xdr:to>
    <xdr:pic>
      <xdr:nvPicPr>
        <xdr:cNvPr id="4" name="Picture 3">
          <a:extLst>
            <a:ext uri="{FF2B5EF4-FFF2-40B4-BE49-F238E27FC236}">
              <a16:creationId xmlns:a16="http://schemas.microsoft.com/office/drawing/2014/main" id="{1FC165EC-3847-F776-A757-78E8DE22248F}"/>
            </a:ext>
          </a:extLst>
        </xdr:cNvPr>
        <xdr:cNvPicPr>
          <a:picLocks noChangeAspect="1"/>
        </xdr:cNvPicPr>
      </xdr:nvPicPr>
      <xdr:blipFill>
        <a:blip xmlns:r="http://schemas.openxmlformats.org/officeDocument/2006/relationships" r:embed="rId1"/>
        <a:stretch>
          <a:fillRect/>
        </a:stretch>
      </xdr:blipFill>
      <xdr:spPr>
        <a:xfrm>
          <a:off x="7067550" y="825500"/>
          <a:ext cx="5626389" cy="54295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279400</xdr:colOff>
      <xdr:row>1</xdr:row>
      <xdr:rowOff>69850</xdr:rowOff>
    </xdr:from>
    <xdr:to>
      <xdr:col>18</xdr:col>
      <xdr:colOff>95538</xdr:colOff>
      <xdr:row>30</xdr:row>
      <xdr:rowOff>89178</xdr:rowOff>
    </xdr:to>
    <xdr:pic>
      <xdr:nvPicPr>
        <xdr:cNvPr id="2" name="Picture 1">
          <a:extLst>
            <a:ext uri="{FF2B5EF4-FFF2-40B4-BE49-F238E27FC236}">
              <a16:creationId xmlns:a16="http://schemas.microsoft.com/office/drawing/2014/main" id="{C06108F0-5660-DA73-1AFA-F8FE44323443}"/>
            </a:ext>
          </a:extLst>
        </xdr:cNvPr>
        <xdr:cNvPicPr>
          <a:picLocks noChangeAspect="1"/>
        </xdr:cNvPicPr>
      </xdr:nvPicPr>
      <xdr:blipFill>
        <a:blip xmlns:r="http://schemas.openxmlformats.org/officeDocument/2006/relationships" r:embed="rId1"/>
        <a:stretch>
          <a:fillRect/>
        </a:stretch>
      </xdr:blipFill>
      <xdr:spPr>
        <a:xfrm>
          <a:off x="6286500" y="368300"/>
          <a:ext cx="5607338" cy="541047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298450</xdr:colOff>
      <xdr:row>4</xdr:row>
      <xdr:rowOff>101600</xdr:rowOff>
    </xdr:from>
    <xdr:to>
      <xdr:col>19</xdr:col>
      <xdr:colOff>381292</xdr:colOff>
      <xdr:row>30</xdr:row>
      <xdr:rowOff>25680</xdr:rowOff>
    </xdr:to>
    <xdr:pic>
      <xdr:nvPicPr>
        <xdr:cNvPr id="2" name="Picture 1">
          <a:extLst>
            <a:ext uri="{FF2B5EF4-FFF2-40B4-BE49-F238E27FC236}">
              <a16:creationId xmlns:a16="http://schemas.microsoft.com/office/drawing/2014/main" id="{45A6EFD2-05E7-F38E-A7E3-1B45AA3512E6}"/>
            </a:ext>
          </a:extLst>
        </xdr:cNvPr>
        <xdr:cNvPicPr>
          <a:picLocks noChangeAspect="1"/>
        </xdr:cNvPicPr>
      </xdr:nvPicPr>
      <xdr:blipFill>
        <a:blip xmlns:r="http://schemas.openxmlformats.org/officeDocument/2006/relationships" r:embed="rId1"/>
        <a:stretch>
          <a:fillRect/>
        </a:stretch>
      </xdr:blipFill>
      <xdr:spPr>
        <a:xfrm>
          <a:off x="7124700" y="952500"/>
          <a:ext cx="5683542" cy="54485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leona/Desktop/Excel%20mokymai1/Siauliai080921/Mokymai%20190806%20PO%20KLAIP.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urinys"/>
      <sheetName val="Zodynas"/>
      <sheetName val="ATMINT1"/>
      <sheetName val="1A"/>
      <sheetName val="1A_UZD"/>
      <sheetName val="2A"/>
      <sheetName val="2A_UZD"/>
      <sheetName val="3A"/>
      <sheetName val="3A_UZD"/>
      <sheetName val="4A"/>
      <sheetName val="4A_UZD"/>
      <sheetName val="5A"/>
      <sheetName val="5A_UZD"/>
      <sheetName val="5B_UZD"/>
      <sheetName val="6A"/>
      <sheetName val="6A_UZD_1"/>
      <sheetName val="6A_UZD 2"/>
      <sheetName val="7A"/>
      <sheetName val="7A_UZD"/>
      <sheetName val="7A_UZD_4"/>
      <sheetName val="8A"/>
      <sheetName val="8A_UZD"/>
      <sheetName val="9A"/>
      <sheetName val="10A"/>
      <sheetName val="10A_UZD"/>
      <sheetName val="11A"/>
      <sheetName val="11A_UZD"/>
      <sheetName val="12A"/>
      <sheetName val="13A"/>
      <sheetName val="14A"/>
      <sheetName val="15A"/>
      <sheetName val="15A_UZD_1"/>
      <sheetName val="15A_UZD_2"/>
      <sheetName val="15A_UZD_3"/>
      <sheetName val="16A"/>
      <sheetName val="17A"/>
      <sheetName val="18A"/>
      <sheetName val="19A"/>
      <sheetName val="ATMINTINĖ"/>
      <sheetName val="Sheet8"/>
      <sheetName val="prisijungimai"/>
      <sheetName val="Sheet7"/>
    </sheetNames>
    <sheetDataSet>
      <sheetData sheetId="0"/>
      <sheetData sheetId="1">
        <row r="2">
          <cell r="A2" t="str">
            <v>ADD</v>
          </cell>
          <cell r="B2" t="str">
            <v>ĮTRAUKTI</v>
          </cell>
        </row>
        <row r="3">
          <cell r="A3" t="str">
            <v>ADD CHART ELEMENT</v>
          </cell>
          <cell r="B3" t="str">
            <v>ĮTRAUKTI DIAGRAMOS ELEMENTĄ</v>
          </cell>
        </row>
        <row r="4">
          <cell r="A4" t="str">
            <v>ADD-INS</v>
          </cell>
          <cell r="B4" t="str">
            <v>PRIEDAI</v>
          </cell>
        </row>
        <row r="5">
          <cell r="A5" t="str">
            <v>ADD LEVEL</v>
          </cell>
          <cell r="B5" t="str">
            <v>PRIDĖTI LYGĮ</v>
          </cell>
        </row>
        <row r="6">
          <cell r="A6" t="str">
            <v>ADD WATCH</v>
          </cell>
          <cell r="B6" t="str">
            <v>PRIDĖTI PERŽVALGĄ</v>
          </cell>
        </row>
        <row r="7">
          <cell r="A7" t="str">
            <v>ADVANCED</v>
          </cell>
          <cell r="B7" t="str">
            <v>IŠSAMIAU</v>
          </cell>
        </row>
        <row r="8">
          <cell r="A8" t="str">
            <v>ADVANCED FILTER</v>
          </cell>
          <cell r="B8" t="str">
            <v>IŠSAMIAU</v>
          </cell>
        </row>
        <row r="9">
          <cell r="A9" t="str">
            <v>ALIGNMENT</v>
          </cell>
          <cell r="B9" t="str">
            <v>LYGIUOTĖ</v>
          </cell>
        </row>
        <row r="10">
          <cell r="A10" t="str">
            <v>ALL CHARTS</v>
          </cell>
          <cell r="B10" t="str">
            <v>VISOS DIAGRAMOS</v>
          </cell>
        </row>
        <row r="11">
          <cell r="A11" t="str">
            <v>ALLOW</v>
          </cell>
          <cell r="B11" t="str">
            <v>KAS LEIDŽIAMA</v>
          </cell>
        </row>
        <row r="12">
          <cell r="A12" t="str">
            <v>ANALYZE</v>
          </cell>
          <cell r="B12" t="str">
            <v>ANALIZUOTI</v>
          </cell>
        </row>
        <row r="13">
          <cell r="A13" t="str">
            <v>APPLY NAMES</v>
          </cell>
          <cell r="B13" t="str">
            <v>TAIKYTI PAVADINIMUS</v>
          </cell>
        </row>
        <row r="14">
          <cell r="A14" t="str">
            <v>AUTOLILL</v>
          </cell>
          <cell r="B14" t="str">
            <v>SPARTUSIS UŽPILDYMAS</v>
          </cell>
        </row>
        <row r="15">
          <cell r="A15" t="str">
            <v>AUTOSUM</v>
          </cell>
          <cell r="B15" t="str">
            <v>AUTOMATINĖ SUDĖTIS</v>
          </cell>
        </row>
        <row r="16">
          <cell r="A16" t="str">
            <v>BEFORE</v>
          </cell>
          <cell r="B16" t="str">
            <v>PRIEŠ</v>
          </cell>
        </row>
        <row r="17">
          <cell r="A17" t="str">
            <v>BLACK AND WHITE</v>
          </cell>
          <cell r="B17" t="str">
            <v>NESPALVOTAI</v>
          </cell>
        </row>
        <row r="18">
          <cell r="A18" t="str">
            <v>BLANK WORKBOOK</v>
          </cell>
          <cell r="B18" t="str">
            <v>TUŠČIA DARBAKNYGĖ</v>
          </cell>
        </row>
        <row r="19">
          <cell r="A19" t="str">
            <v>BREAKS</v>
          </cell>
          <cell r="B19" t="str">
            <v>LŪŽIAI</v>
          </cell>
        </row>
        <row r="20">
          <cell r="A20" t="str">
            <v>BROWSE</v>
          </cell>
          <cell r="B20" t="str">
            <v>NARŠYTI</v>
          </cell>
        </row>
        <row r="21">
          <cell r="A21" t="str">
            <v>CALCULATE NOW</v>
          </cell>
          <cell r="B21" t="str">
            <v>SKAIČIUOTI DABAR</v>
          </cell>
        </row>
        <row r="22">
          <cell r="A22" t="str">
            <v>CELLS</v>
          </cell>
          <cell r="B22" t="str">
            <v>LANELIAI</v>
          </cell>
        </row>
        <row r="23">
          <cell r="A23" t="str">
            <v>CELL STYLES</v>
          </cell>
          <cell r="B23" t="str">
            <v>LANGELIO STILIAI</v>
          </cell>
        </row>
        <row r="24">
          <cell r="A24" t="str">
            <v>CHANGE CHART TYPE</v>
          </cell>
          <cell r="B24" t="str">
            <v>KEISTI DIAGRAMOS TIPĄ</v>
          </cell>
        </row>
        <row r="25">
          <cell r="A25" t="str">
            <v>CHANGE FILE TYPE</v>
          </cell>
          <cell r="B25" t="str">
            <v>KEISTI FAILO TIPĄ</v>
          </cell>
        </row>
        <row r="26">
          <cell r="A26" t="str">
            <v>CHANGES</v>
          </cell>
          <cell r="B26" t="str">
            <v>APSAUGOTI</v>
          </cell>
        </row>
        <row r="27">
          <cell r="A27" t="str">
            <v>CHART TOOLS</v>
          </cell>
          <cell r="B27" t="str">
            <v>DIAGRAMOS ĮRANKIAI</v>
          </cell>
        </row>
        <row r="28">
          <cell r="A28" t="str">
            <v>CHARTS</v>
          </cell>
          <cell r="B28" t="str">
            <v>DIAGRAMOS</v>
          </cell>
        </row>
        <row r="29">
          <cell r="A29" t="str">
            <v>CIRCLE INVALID DATA</v>
          </cell>
          <cell r="B29" t="str">
            <v>APIBRAUKTI NETEISINGUS DUOMENIS</v>
          </cell>
        </row>
        <row r="30">
          <cell r="A30" t="str">
            <v>CLEAR</v>
          </cell>
          <cell r="B30" t="str">
            <v>VALYTI</v>
          </cell>
        </row>
        <row r="31">
          <cell r="A31" t="str">
            <v>CLEAR ALL</v>
          </cell>
          <cell r="B31" t="str">
            <v>VALYTI VISKĄ</v>
          </cell>
        </row>
        <row r="32">
          <cell r="A32" t="str">
            <v>CLEAR PRINT AREA</v>
          </cell>
          <cell r="B32" t="str">
            <v>VALYTI SPAUSDINIMO SRITĮ</v>
          </cell>
        </row>
        <row r="33">
          <cell r="A33" t="str">
            <v>CLEAR RULES</v>
          </cell>
          <cell r="B33" t="str">
            <v>VALYTI TAISYKLES</v>
          </cell>
        </row>
        <row r="34">
          <cell r="A34" t="str">
            <v>CLEAR VALIDATION CIRCLES</v>
          </cell>
          <cell r="B34" t="str">
            <v>VALYTI TIKRINIMO APIBRAUKIMUS</v>
          </cell>
        </row>
        <row r="35">
          <cell r="A35" t="str">
            <v>CLIPBOARD</v>
          </cell>
          <cell r="B35" t="str">
            <v>MAINŲ SRITIS</v>
          </cell>
        </row>
        <row r="36">
          <cell r="A36" t="str">
            <v>COLLUMNS</v>
          </cell>
          <cell r="B36" t="str">
            <v>STULPELIAI</v>
          </cell>
        </row>
        <row r="37">
          <cell r="A37" t="str">
            <v>COMMENTS</v>
          </cell>
          <cell r="B37" t="str">
            <v>KOMENTARAI</v>
          </cell>
        </row>
        <row r="38">
          <cell r="A38" t="str">
            <v>COMPLETE THE MERGE</v>
          </cell>
          <cell r="B38" t="str">
            <v>SUKOMPONUOTI</v>
          </cell>
        </row>
        <row r="39">
          <cell r="A39" t="str">
            <v>CONDITIONAL FORMATING</v>
          </cell>
          <cell r="B39" t="str">
            <v>SĄLYGINIS FORMATAVIMAS</v>
          </cell>
        </row>
        <row r="40">
          <cell r="A40" t="str">
            <v>CONSOLIDATE</v>
          </cell>
          <cell r="B40" t="str">
            <v>SUTRAUKTI</v>
          </cell>
        </row>
        <row r="41">
          <cell r="A41" t="str">
            <v>CONVERT</v>
          </cell>
          <cell r="B41" t="str">
            <v>KONVERTUOTI</v>
          </cell>
        </row>
        <row r="42">
          <cell r="A42" t="str">
            <v>CONVERT TO RANGE</v>
          </cell>
          <cell r="B42" t="str">
            <v>KEISTI Į DIAPAZONĄ</v>
          </cell>
        </row>
        <row r="43">
          <cell r="A43" t="str">
            <v>COLOR SCALES</v>
          </cell>
          <cell r="B43" t="str">
            <v>SPALVŲ SKALĖS</v>
          </cell>
        </row>
        <row r="44">
          <cell r="A44" t="str">
            <v>COMBO</v>
          </cell>
          <cell r="B44" t="str">
            <v>KOMBINUOTOJI DIAGRAMA</v>
          </cell>
        </row>
        <row r="45">
          <cell r="A45" t="str">
            <v>COPY</v>
          </cell>
          <cell r="B45" t="str">
            <v>KOPIJUOTI</v>
          </cell>
        </row>
        <row r="46">
          <cell r="A46" t="str">
            <v>COPY CELLS</v>
          </cell>
          <cell r="B46" t="str">
            <v>KOPIJUOTI LANGELIUS</v>
          </cell>
        </row>
        <row r="47">
          <cell r="A47" t="str">
            <v>COPY TO</v>
          </cell>
          <cell r="B47" t="str">
            <v>KOPIJUOTI Į</v>
          </cell>
        </row>
        <row r="48">
          <cell r="A48" t="str">
            <v>COPY TO ANOTHER LOCATION</v>
          </cell>
          <cell r="B48" t="str">
            <v>KOPIJUOTI Į KITĄ VIETĄ</v>
          </cell>
        </row>
        <row r="49">
          <cell r="A49" t="str">
            <v>CREATE FROM SELECTION</v>
          </cell>
          <cell r="B49" t="str">
            <v>KURTI PAGAL PAŽYMĖTĄ SRITĮ</v>
          </cell>
        </row>
        <row r="50">
          <cell r="A50" t="str">
            <v>CREATE PDF/XPS DOCUMENT</v>
          </cell>
          <cell r="B50" t="str">
            <v>KURTI PDF/XPS DOKUMENTĄ</v>
          </cell>
        </row>
        <row r="51">
          <cell r="A51" t="str">
            <v>CRITERIA RANGE</v>
          </cell>
          <cell r="B51" t="str">
            <v>KRITERIJŲ DIAPAZONAS</v>
          </cell>
        </row>
        <row r="52">
          <cell r="A52" t="str">
            <v>CUSTOMIZE RIBON</v>
          </cell>
          <cell r="B52" t="str">
            <v>JUOSTELĖS TINKINIMAS</v>
          </cell>
        </row>
        <row r="53">
          <cell r="A53" t="str">
            <v>CUSTOM FILTER</v>
          </cell>
          <cell r="B53" t="str">
            <v>PASIRINKTINIS FILTRAS</v>
          </cell>
        </row>
        <row r="54">
          <cell r="A54" t="str">
            <v>CUSTOM LISTS</v>
          </cell>
          <cell r="B54" t="str">
            <v>PASIRINKTINIAI SĄRAŠAI</v>
          </cell>
        </row>
        <row r="55">
          <cell r="A55" t="str">
            <v>CUSTOM MARGINS</v>
          </cell>
          <cell r="B55" t="str">
            <v>PASIRINKTINĖS PARAŠTĖS</v>
          </cell>
        </row>
        <row r="56">
          <cell r="A56" t="str">
            <v>CUSTOM SORT</v>
          </cell>
          <cell r="B56" t="str">
            <v>PASIRINKTINIS RŪŠIAVIMAS</v>
          </cell>
        </row>
        <row r="57">
          <cell r="A57" t="str">
            <v>DATA</v>
          </cell>
          <cell r="B57" t="str">
            <v>DUOMENYS</v>
          </cell>
        </row>
        <row r="58">
          <cell r="A58" t="str">
            <v>DATA BARS</v>
          </cell>
          <cell r="B58" t="str">
            <v>DUOMENŲ JUOSTOMIS</v>
          </cell>
        </row>
        <row r="59">
          <cell r="A59" t="str">
            <v>DATA TABLE</v>
          </cell>
          <cell r="B59" t="str">
            <v>DUOMENŲ LENTELĖ</v>
          </cell>
        </row>
        <row r="60">
          <cell r="A60" t="str">
            <v>DATA TOOLS</v>
          </cell>
          <cell r="B60" t="str">
            <v>DUOMENŲ ĮRANKIAI</v>
          </cell>
        </row>
        <row r="61">
          <cell r="A61" t="str">
            <v>DATA VALIDATION</v>
          </cell>
          <cell r="B61" t="str">
            <v>DUOMENŲ TIKRINIMAS</v>
          </cell>
        </row>
        <row r="62">
          <cell r="A62" t="str">
            <v>DATE FILTERS</v>
          </cell>
          <cell r="B62" t="str">
            <v>DATŲ FILTRAI</v>
          </cell>
        </row>
        <row r="63">
          <cell r="A63" t="str">
            <v>DEFINE NAME</v>
          </cell>
          <cell r="B63" t="str">
            <v>APIBRĖŽTI PAVADINIMĄ</v>
          </cell>
        </row>
        <row r="64">
          <cell r="A64" t="str">
            <v>DEFINED NAMES</v>
          </cell>
          <cell r="B64" t="str">
            <v>APIBRĖŽTI PAVADINIMAI</v>
          </cell>
        </row>
        <row r="65">
          <cell r="A65" t="str">
            <v>DELETE</v>
          </cell>
          <cell r="B65" t="str">
            <v>NAUIKINTI</v>
          </cell>
        </row>
        <row r="66">
          <cell r="A66" t="str">
            <v xml:space="preserve">DELIMITED </v>
          </cell>
          <cell r="B66" t="str">
            <v>ATSKIRTI</v>
          </cell>
        </row>
        <row r="67">
          <cell r="A67" t="str">
            <v>DESIGN</v>
          </cell>
          <cell r="B67" t="str">
            <v>DIZIANAS</v>
          </cell>
        </row>
        <row r="68">
          <cell r="A68" t="str">
            <v>DEVELOPER TAB</v>
          </cell>
          <cell r="B68" t="str">
            <v>PROGRAMŲ KŪRĖJAS</v>
          </cell>
        </row>
        <row r="69">
          <cell r="A69" t="str">
            <v>DISPLAY</v>
          </cell>
          <cell r="B69" t="str">
            <v>RODYTI</v>
          </cell>
        </row>
        <row r="70">
          <cell r="A70" t="str">
            <v>DOWN</v>
          </cell>
          <cell r="B70" t="str">
            <v>ŽEMYN</v>
          </cell>
        </row>
        <row r="71">
          <cell r="A71" t="str">
            <v>DRAFT QUALITY</v>
          </cell>
          <cell r="B71" t="str">
            <v>JUODRAŠČIO KOKYBĖ</v>
          </cell>
        </row>
        <row r="72">
          <cell r="A72" t="str">
            <v>EDIT CUSTOM LISTS</v>
          </cell>
          <cell r="B72" t="str">
            <v>REDAGUOTI PASIRINKTINIUS SĄRAŠUS</v>
          </cell>
        </row>
        <row r="73">
          <cell r="A73" t="str">
            <v>EDITING</v>
          </cell>
          <cell r="B73" t="str">
            <v>REDAGAVIMAS</v>
          </cell>
        </row>
        <row r="74">
          <cell r="A74" t="str">
            <v>EQUALS</v>
          </cell>
          <cell r="B74" t="str">
            <v>LYGU</v>
          </cell>
        </row>
        <row r="75">
          <cell r="A75" t="str">
            <v>ENCRYPT WITH PASSWORD</v>
          </cell>
          <cell r="B75" t="str">
            <v>UŽŠIFRUOTI NAUDOJANT SLAPTAŽODĮ</v>
          </cell>
        </row>
        <row r="76">
          <cell r="A76" t="str">
            <v>ERROR ALERT</v>
          </cell>
          <cell r="B76" t="str">
            <v>ĮSPĖJIMAS APIE KLAIDĄ</v>
          </cell>
        </row>
        <row r="77">
          <cell r="A77" t="str">
            <v>ERROR BARS</v>
          </cell>
          <cell r="B77" t="str">
            <v>KLAIDŲ JUOSTOS</v>
          </cell>
        </row>
        <row r="78">
          <cell r="A78" t="str">
            <v>ERROR CHECKING</v>
          </cell>
          <cell r="B78" t="str">
            <v>KLAIDŲ TIKRINIMAS</v>
          </cell>
        </row>
        <row r="79">
          <cell r="A79" t="str">
            <v>EVALUATE FORMULA</v>
          </cell>
          <cell r="B79" t="str">
            <v>ĮVERTINTI FORMULĘ</v>
          </cell>
        </row>
        <row r="80">
          <cell r="A80" t="str">
            <v>EXCEL ADD-INS</v>
          </cell>
          <cell r="B80" t="str">
            <v>EXCEL PRIEDAI</v>
          </cell>
        </row>
        <row r="81">
          <cell r="A81" t="str">
            <v>EXCEL TEMPLATE</v>
          </cell>
          <cell r="B81" t="str">
            <v>EXCEL ŠABLONAS</v>
          </cell>
        </row>
        <row r="82">
          <cell r="A82" t="str">
            <v>EXPORT</v>
          </cell>
          <cell r="B82" t="str">
            <v>EKSPORTUOTI</v>
          </cell>
        </row>
        <row r="83">
          <cell r="A83" t="str">
            <v>FILE</v>
          </cell>
          <cell r="B83" t="str">
            <v>FAILAS</v>
          </cell>
        </row>
        <row r="84">
          <cell r="A84" t="str">
            <v>FILL</v>
          </cell>
          <cell r="B84" t="str">
            <v>UŽPILDYTI</v>
          </cell>
        </row>
        <row r="85">
          <cell r="A85" t="str">
            <v>FILL WITHOUT FORMATING</v>
          </cell>
          <cell r="B85" t="str">
            <v>UŽPILDYTI BE FORMATAVIMO</v>
          </cell>
        </row>
        <row r="86">
          <cell r="A86" t="str">
            <v>FILTER</v>
          </cell>
          <cell r="B86" t="str">
            <v>FILTRUOTI</v>
          </cell>
        </row>
        <row r="87">
          <cell r="A87" t="str">
            <v>FILTERS</v>
          </cell>
          <cell r="B87" t="str">
            <v>FILTRAI</v>
          </cell>
        </row>
        <row r="88">
          <cell r="A88" t="str">
            <v>FIND</v>
          </cell>
          <cell r="B88" t="str">
            <v>RASTI</v>
          </cell>
        </row>
        <row r="89">
          <cell r="A89" t="str">
            <v xml:space="preserve">FIND&amp;SELECT </v>
          </cell>
          <cell r="B89" t="str">
            <v>RASTI IR ŽYMĖTI</v>
          </cell>
        </row>
        <row r="90">
          <cell r="A90" t="str">
            <v>FIXED WIDTH</v>
          </cell>
          <cell r="B90" t="str">
            <v>FIKSUOTO PLOČIO</v>
          </cell>
        </row>
        <row r="91">
          <cell r="A91" t="str">
            <v>FLASH FILL</v>
          </cell>
          <cell r="B91" t="str">
            <v>SPARTUSIS UŽPILDYMAS</v>
          </cell>
        </row>
        <row r="92">
          <cell r="A92" t="str">
            <v>FONT</v>
          </cell>
          <cell r="B92" t="str">
            <v>ŠRIFTAS</v>
          </cell>
        </row>
        <row r="93">
          <cell r="A93" t="str">
            <v>FORECAST</v>
          </cell>
          <cell r="B93" t="str">
            <v>PROGNOZAVIMAS</v>
          </cell>
        </row>
        <row r="94">
          <cell r="A94" t="str">
            <v>FORMAT</v>
          </cell>
          <cell r="B94" t="str">
            <v>FORMATUOTI</v>
          </cell>
        </row>
        <row r="95">
          <cell r="A95" t="str">
            <v>FORMAT CELLS</v>
          </cell>
          <cell r="B95" t="str">
            <v>FORMATUOTI LABNGELIUS</v>
          </cell>
        </row>
        <row r="96">
          <cell r="A96" t="str">
            <v>FORMAS AS TABLE</v>
          </cell>
          <cell r="B96" t="str">
            <v>FORMATUOTI KIP LENTELĘ</v>
          </cell>
        </row>
        <row r="97">
          <cell r="A97" t="str">
            <v>FORMULA AUDITING</v>
          </cell>
          <cell r="B97" t="str">
            <v>FORMULIŲ TIKRINIMAS</v>
          </cell>
        </row>
        <row r="98">
          <cell r="A98" t="str">
            <v>FORMULAS</v>
          </cell>
          <cell r="B98" t="str">
            <v>FORMULĖS</v>
          </cell>
        </row>
        <row r="99">
          <cell r="A99" t="str">
            <v>FREEZE PANES</v>
          </cell>
          <cell r="B99" t="str">
            <v>FIKSUOTI SRITIS</v>
          </cell>
        </row>
        <row r="100">
          <cell r="A100" t="str">
            <v>FUNCTION LIBRARY</v>
          </cell>
          <cell r="B100" t="str">
            <v>FUNKCIJŲ BIBLIOTEKA</v>
          </cell>
        </row>
        <row r="101">
          <cell r="A101" t="str">
            <v>GENERAL</v>
          </cell>
          <cell r="B101" t="str">
            <v>BENDRA</v>
          </cell>
        </row>
        <row r="102">
          <cell r="A102" t="str">
            <v>GENERAL OPTIONS</v>
          </cell>
          <cell r="B102" t="str">
            <v>BENDROSIOS PARINKTYS</v>
          </cell>
        </row>
        <row r="103">
          <cell r="A103" t="str">
            <v>GREATHR THAN</v>
          </cell>
          <cell r="B103" t="str">
            <v>DAUGIAU NEI</v>
          </cell>
        </row>
        <row r="104">
          <cell r="A104" t="str">
            <v>GRIDLINES</v>
          </cell>
          <cell r="B104" t="str">
            <v>TINKLELĮ</v>
          </cell>
        </row>
        <row r="105">
          <cell r="A105" t="str">
            <v>GO</v>
          </cell>
          <cell r="B105" t="str">
            <v>VYKDYTI</v>
          </cell>
        </row>
        <row r="106">
          <cell r="A106" t="str">
            <v>GO TO</v>
          </cell>
          <cell r="B106" t="str">
            <v>EITI Į</v>
          </cell>
        </row>
        <row r="107">
          <cell r="A107" t="str">
            <v>GO TO SPECIAL</v>
          </cell>
          <cell r="B107" t="str">
            <v>EITI Į SPECIALIĄ VIETĄ</v>
          </cell>
        </row>
        <row r="108">
          <cell r="A108" t="str">
            <v>GOAL SEEK</v>
          </cell>
          <cell r="B108" t="str">
            <v>TIKSLO SIEKIMAS</v>
          </cell>
        </row>
        <row r="109">
          <cell r="A109" t="str">
            <v>GROUP</v>
          </cell>
          <cell r="B109" t="str">
            <v>GRUPUOTI</v>
          </cell>
        </row>
        <row r="110">
          <cell r="A110" t="str">
            <v>HEADER&amp;FOOTER</v>
          </cell>
          <cell r="B110" t="str">
            <v>ANTRAŠTĖ IR PORAŠTĖ</v>
          </cell>
        </row>
        <row r="111">
          <cell r="A111" t="str">
            <v xml:space="preserve">HIGHLIGHT CELLS RULES </v>
          </cell>
          <cell r="B111" t="str">
            <v>LANGELIŲ PARYŠKINIMO TAISYKLĖS</v>
          </cell>
        </row>
        <row r="112">
          <cell r="A112" t="str">
            <v>HOME</v>
          </cell>
          <cell r="B112" t="str">
            <v>PAGRINDINIS</v>
          </cell>
        </row>
        <row r="113">
          <cell r="A113" t="str">
            <v>ICON SETS</v>
          </cell>
          <cell r="B113" t="str">
            <v>PIKTOGRAMŲ RINKINIAI</v>
          </cell>
        </row>
        <row r="114">
          <cell r="A114" t="str">
            <v>INFO</v>
          </cell>
          <cell r="B114" t="str">
            <v>INFORMACIJA</v>
          </cell>
        </row>
        <row r="115">
          <cell r="A115" t="str">
            <v>INPUT MESSAGE</v>
          </cell>
          <cell r="B115" t="str">
            <v>ĮVESTIES PRANEŠIMAS</v>
          </cell>
        </row>
        <row r="116">
          <cell r="A116" t="str">
            <v>INSERT</v>
          </cell>
          <cell r="B116" t="str">
            <v>ĮTERPIMAS</v>
          </cell>
        </row>
        <row r="117">
          <cell r="A117" t="str">
            <v>INSERT FUNCTION</v>
          </cell>
          <cell r="B117" t="str">
            <v>ĮTERPTI FUNKCIJĄ</v>
          </cell>
        </row>
        <row r="118">
          <cell r="A118" t="str">
            <v>INSERT SLICER</v>
          </cell>
          <cell r="B118" t="str">
            <v>ĮTERPTI DUOMENŲ FILTRĄ</v>
          </cell>
        </row>
        <row r="119">
          <cell r="A119" t="str">
            <v>LEGEND</v>
          </cell>
          <cell r="B119" t="str">
            <v>LEGENDA</v>
          </cell>
        </row>
        <row r="120">
          <cell r="A120" t="str">
            <v>LETTERS</v>
          </cell>
          <cell r="B120" t="str">
            <v>LAIŠKAI</v>
          </cell>
        </row>
        <row r="121">
          <cell r="A121" t="str">
            <v>LINE</v>
          </cell>
          <cell r="B121" t="str">
            <v>LINIJINĖ</v>
          </cell>
        </row>
        <row r="122">
          <cell r="A122" t="str">
            <v>LIST ENRIES</v>
          </cell>
          <cell r="B122" t="str">
            <v>SĄRAŠO ĮRAŠAI</v>
          </cell>
        </row>
        <row r="123">
          <cell r="A123" t="str">
            <v>LIST RANGE</v>
          </cell>
          <cell r="B123" t="str">
            <v>SĄRAŠO DIAPAZONAS</v>
          </cell>
        </row>
        <row r="124">
          <cell r="A124" t="str">
            <v>LOCATION</v>
          </cell>
          <cell r="B124" t="str">
            <v>VIETA</v>
          </cell>
        </row>
        <row r="125">
          <cell r="A125" t="str">
            <v>LOCKED</v>
          </cell>
          <cell r="B125" t="str">
            <v>UŽRAKINTI</v>
          </cell>
        </row>
        <row r="126">
          <cell r="A126" t="str">
            <v>MAILINGS</v>
          </cell>
          <cell r="B126" t="str">
            <v>PAŠTAS</v>
          </cell>
        </row>
        <row r="127">
          <cell r="A127" t="str">
            <v>MANAGE</v>
          </cell>
          <cell r="B127" t="str">
            <v>TVARKYTI</v>
          </cell>
        </row>
        <row r="128">
          <cell r="A128" t="str">
            <v>MANAGE RULES</v>
          </cell>
          <cell r="B128" t="str">
            <v>TVARKYTI TAISYKLES</v>
          </cell>
        </row>
        <row r="129">
          <cell r="A129" t="str">
            <v>MARGINS</v>
          </cell>
          <cell r="B129" t="str">
            <v>PARAŠTĖS</v>
          </cell>
        </row>
        <row r="130">
          <cell r="A130" t="str">
            <v>MERGE</v>
          </cell>
          <cell r="B130" t="str">
            <v>SULIETI</v>
          </cell>
        </row>
        <row r="131">
          <cell r="A131" t="str">
            <v>MERGE &amp; CENTER</v>
          </cell>
          <cell r="B131" t="str">
            <v>SULIETI IR LYGIUOTI CENTRE</v>
          </cell>
        </row>
        <row r="132">
          <cell r="A132" t="str">
            <v>MORE BORDERS</v>
          </cell>
          <cell r="B132" t="str">
            <v>DAUGIAU KRAŠTINIŲ</v>
          </cell>
        </row>
        <row r="133">
          <cell r="A133" t="str">
            <v>MORE ITEMS</v>
          </cell>
          <cell r="B133" t="str">
            <v>DAUGIAU ELEMENTŲ</v>
          </cell>
        </row>
        <row r="134">
          <cell r="A134" t="str">
            <v>MORE OPTIONS</v>
          </cell>
          <cell r="B134" t="str">
            <v>DAUGIAU PASIRINKČIŲ</v>
          </cell>
        </row>
        <row r="135">
          <cell r="A135" t="str">
            <v>MORE PAPER SIZES</v>
          </cell>
          <cell r="B135" t="str">
            <v>DAUGIAU PUSLAPIO DYDŽIŲ</v>
          </cell>
        </row>
        <row r="136">
          <cell r="A136" t="str">
            <v>MATCH CASE</v>
          </cell>
          <cell r="B136" t="str">
            <v>SKIRTI DIDŽIĄSIAS IR MAŽĄSIAS RAIDES</v>
          </cell>
        </row>
        <row r="137">
          <cell r="A137" t="str">
            <v>MOVE CHART</v>
          </cell>
          <cell r="B137" t="str">
            <v>PERKELTI DIAGRAMĄ</v>
          </cell>
        </row>
        <row r="138">
          <cell r="A138" t="str">
            <v>MOVE OR COPY</v>
          </cell>
          <cell r="B138" t="str">
            <v>PERKELTI ARBA KOPIJUOTI</v>
          </cell>
        </row>
        <row r="139">
          <cell r="A139" t="str">
            <v>NAME MANAGER</v>
          </cell>
          <cell r="B139" t="str">
            <v>PAVADINIMŲ TVARKYTUVAS</v>
          </cell>
        </row>
        <row r="140">
          <cell r="A140" t="str">
            <v>NEW</v>
          </cell>
          <cell r="B140" t="str">
            <v>NAUJAS</v>
          </cell>
        </row>
        <row r="141">
          <cell r="A141" t="str">
            <v>NEW COMMENT</v>
          </cell>
          <cell r="B141" t="str">
            <v>NAUJAS KOMENTARAS</v>
          </cell>
        </row>
        <row r="142">
          <cell r="A142" t="str">
            <v>NEW LIST</v>
          </cell>
          <cell r="B142" t="str">
            <v>NAUJAS SĄRAŠAS</v>
          </cell>
        </row>
        <row r="143">
          <cell r="A143" t="str">
            <v>NEW RULE</v>
          </cell>
          <cell r="B143" t="str">
            <v>NAUJA TAISYKLĖ</v>
          </cell>
        </row>
        <row r="144">
          <cell r="A144" t="str">
            <v>NEXT</v>
          </cell>
          <cell r="B144" t="str">
            <v>PASKESNIS</v>
          </cell>
        </row>
        <row r="145">
          <cell r="A145" t="str">
            <v>NORMAL</v>
          </cell>
          <cell r="B145" t="str">
            <v>ĮPRASTINIO RODINIO</v>
          </cell>
        </row>
        <row r="146">
          <cell r="A146" t="str">
            <v>NUMBER FILTERS</v>
          </cell>
          <cell r="B146" t="str">
            <v>SKAIČIŲ FILTRAI</v>
          </cell>
        </row>
        <row r="147">
          <cell r="A147" t="str">
            <v>OPEN</v>
          </cell>
          <cell r="B147" t="str">
            <v>ATIDARYTI</v>
          </cell>
        </row>
        <row r="148">
          <cell r="A148" t="str">
            <v>OPTIONS</v>
          </cell>
          <cell r="B148" t="str">
            <v>PARINKTYS</v>
          </cell>
        </row>
        <row r="149">
          <cell r="A149" t="str">
            <v>ORENTATION</v>
          </cell>
          <cell r="B149" t="str">
            <v>PADĖTIS</v>
          </cell>
        </row>
        <row r="150">
          <cell r="A150" t="str">
            <v>OUTLINE</v>
          </cell>
          <cell r="B150" t="str">
            <v>STRUKTŪRA</v>
          </cell>
        </row>
        <row r="151">
          <cell r="A151" t="str">
            <v>PAGE LAYOUT</v>
          </cell>
          <cell r="B151" t="str">
            <v>PUSLAPIO MAKETAS</v>
          </cell>
        </row>
        <row r="152">
          <cell r="A152" t="str">
            <v>PAGE ORDER</v>
          </cell>
          <cell r="B152" t="str">
            <v>PUSLAPIŲ TVARKA</v>
          </cell>
        </row>
        <row r="153">
          <cell r="A153" t="str">
            <v>PAGE SETUP</v>
          </cell>
          <cell r="B153" t="str">
            <v>PUSLAPIO PARAMETRAI</v>
          </cell>
        </row>
        <row r="154">
          <cell r="A154" t="str">
            <v>PAPER SIZE</v>
          </cell>
          <cell r="B154" t="str">
            <v>POPIERIAUS DYDIS</v>
          </cell>
        </row>
        <row r="155">
          <cell r="A155" t="str">
            <v>PASTE</v>
          </cell>
          <cell r="B155" t="str">
            <v>ĮKLIJUOTI</v>
          </cell>
        </row>
        <row r="156">
          <cell r="A156" t="str">
            <v>PASTE ALL</v>
          </cell>
          <cell r="B156" t="str">
            <v>ĮKLIJUOTI VISKĄ</v>
          </cell>
        </row>
        <row r="157">
          <cell r="A157" t="str">
            <v>PASTE FORMULAS</v>
          </cell>
          <cell r="B157" t="str">
            <v>ĮKLIJUOTI FORMULES</v>
          </cell>
        </row>
        <row r="158">
          <cell r="A158" t="str">
            <v>PASTE SPECIAL</v>
          </cell>
          <cell r="B158" t="str">
            <v>SPECIALUSIS ĮKLIJAVIMAS</v>
          </cell>
        </row>
        <row r="159">
          <cell r="A159" t="str">
            <v>PERSONAL</v>
          </cell>
          <cell r="B159" t="str">
            <v>ASMENINIS</v>
          </cell>
        </row>
        <row r="160">
          <cell r="A160" t="str">
            <v>PIVOTTABLE</v>
          </cell>
          <cell r="B160" t="str">
            <v>PIVOTTABLE</v>
          </cell>
        </row>
        <row r="161">
          <cell r="A161" t="str">
            <v>PIVOTTOOLS</v>
          </cell>
          <cell r="B161" t="str">
            <v>PIVOT ĮRANKIAI</v>
          </cell>
        </row>
        <row r="162">
          <cell r="A162" t="str">
            <v>PREVIOUS</v>
          </cell>
          <cell r="B162" t="str">
            <v>ANKSTESNIS</v>
          </cell>
        </row>
        <row r="163">
          <cell r="A163" t="str">
            <v>PREWIEW YOUR LETTERS</v>
          </cell>
          <cell r="B163" t="str">
            <v>PERŽIŪRĖKITE LAIŠKUS</v>
          </cell>
        </row>
        <row r="164">
          <cell r="A164" t="str">
            <v>PRINT</v>
          </cell>
          <cell r="B164" t="str">
            <v>SPAUSDINTI</v>
          </cell>
        </row>
        <row r="165">
          <cell r="A165" t="str">
            <v>PRINT AREA</v>
          </cell>
          <cell r="B165" t="str">
            <v>SPAUSDINIMO SRITIS</v>
          </cell>
        </row>
        <row r="166">
          <cell r="A166" t="str">
            <v>PRINT QUALITY</v>
          </cell>
          <cell r="B166" t="str">
            <v>SPAUSDINIMO KOKYBĖ</v>
          </cell>
        </row>
        <row r="167">
          <cell r="A167" t="str">
            <v>PRINT TITLES</v>
          </cell>
          <cell r="B167" t="str">
            <v>SPAUSDINTI PAVADINIMUS</v>
          </cell>
        </row>
        <row r="168">
          <cell r="A168" t="str">
            <v>PROOFING</v>
          </cell>
          <cell r="B168" t="str">
            <v>TIKRINIMAS</v>
          </cell>
        </row>
        <row r="169">
          <cell r="A169" t="str">
            <v>PROTECT CURRENT SHEET</v>
          </cell>
          <cell r="B169" t="str">
            <v>APSAUGOTI DABARTINĮ LAPĄ</v>
          </cell>
        </row>
        <row r="170">
          <cell r="A170" t="str">
            <v>PROTECT SHEET</v>
          </cell>
          <cell r="B170" t="str">
            <v>APSAUGOTI LAPĄ</v>
          </cell>
        </row>
        <row r="171">
          <cell r="A171" t="str">
            <v>PROTECT WORKBOOK</v>
          </cell>
          <cell r="B171" t="str">
            <v>APSAUGOTI DARBAKNYGĘ</v>
          </cell>
        </row>
        <row r="172">
          <cell r="A172" t="str">
            <v>PROTECT WORKBOOK STRUCTURE</v>
          </cell>
          <cell r="B172" t="str">
            <v>APSAUGOTI DARBAKNYGĖS STRUKTŪRĄ</v>
          </cell>
        </row>
        <row r="173">
          <cell r="A173" t="str">
            <v>PROTECTION</v>
          </cell>
          <cell r="B173" t="str">
            <v>APSAUGA</v>
          </cell>
        </row>
        <row r="174">
          <cell r="A174" t="str">
            <v>QUICK LAYOUT</v>
          </cell>
          <cell r="B174" t="str">
            <v>SPARTUSIS MAKETŲ TAIKYMAS</v>
          </cell>
        </row>
        <row r="175">
          <cell r="A175" t="str">
            <v>RECOMENDED CHARTS</v>
          </cell>
          <cell r="B175" t="str">
            <v>REKOMENDUOJAMOS DIAGRAMOS</v>
          </cell>
        </row>
        <row r="176">
          <cell r="A176" t="str">
            <v>RECOMENDED PIVOTTABLES</v>
          </cell>
          <cell r="B176" t="str">
            <v>REKOMENDUOJAMOS "PIVOTTABLES"</v>
          </cell>
        </row>
        <row r="177">
          <cell r="A177" t="str">
            <v>RECORD MACRO</v>
          </cell>
          <cell r="B177" t="str">
            <v>ĮRAŠYTI MAKROKOMANDĄ</v>
          </cell>
        </row>
        <row r="178">
          <cell r="A178" t="str">
            <v>REMOVE ALL</v>
          </cell>
          <cell r="B178" t="str">
            <v>ŠALINTI VISKĄ</v>
          </cell>
        </row>
        <row r="179">
          <cell r="A179" t="str">
            <v>REMOVE DUBLICATES</v>
          </cell>
          <cell r="B179" t="str">
            <v>ŠALINTI DUBLIKATUS</v>
          </cell>
        </row>
        <row r="180">
          <cell r="A180" t="str">
            <v>REPLACE</v>
          </cell>
          <cell r="B180" t="str">
            <v>KEISTI</v>
          </cell>
        </row>
        <row r="181">
          <cell r="A181" t="str">
            <v>REPLACE ALL</v>
          </cell>
          <cell r="B181" t="str">
            <v>KEISTI VISKĄ</v>
          </cell>
        </row>
        <row r="182">
          <cell r="A182" t="str">
            <v>REVIEW</v>
          </cell>
          <cell r="B182" t="str">
            <v>PERŽIŪRA</v>
          </cell>
        </row>
        <row r="183">
          <cell r="A183" t="str">
            <v>RIGHT</v>
          </cell>
          <cell r="B183" t="str">
            <v>DEŠINĖN</v>
          </cell>
        </row>
        <row r="184">
          <cell r="A184" t="str">
            <v>ROW AND COLLUMN HEADINGS</v>
          </cell>
          <cell r="B184" t="str">
            <v>EILUČIŲ IR STULPELIŲ ANTRAŠTĖS</v>
          </cell>
        </row>
        <row r="185">
          <cell r="A185" t="str">
            <v>ROWS</v>
          </cell>
          <cell r="B185" t="str">
            <v>EILUTĖS</v>
          </cell>
        </row>
        <row r="186">
          <cell r="A186" t="str">
            <v>SAVE</v>
          </cell>
          <cell r="B186" t="str">
            <v>ĮRAŠYTI</v>
          </cell>
        </row>
        <row r="187">
          <cell r="A187" t="str">
            <v>SAVE AS</v>
          </cell>
          <cell r="B187" t="str">
            <v>ĮRAŠYTI KAIP</v>
          </cell>
        </row>
        <row r="188">
          <cell r="A188" t="str">
            <v>SAVE AS TYPE</v>
          </cell>
          <cell r="B188" t="str">
            <v>ĮRAŠOMO FAILO TIPAS</v>
          </cell>
        </row>
        <row r="189">
          <cell r="A189" t="str">
            <v>SCALING</v>
          </cell>
          <cell r="B189" t="str">
            <v>MASTELIO KEITIMAS</v>
          </cell>
        </row>
        <row r="190">
          <cell r="A190" t="str">
            <v>SCENARIO MANAGER</v>
          </cell>
          <cell r="B190" t="str">
            <v>SCENARIJŲ TVARKYTUVAS</v>
          </cell>
        </row>
        <row r="191">
          <cell r="A191" t="str">
            <v>SELECT DATA</v>
          </cell>
          <cell r="B191" t="str">
            <v>PASIRINKTI DUOMENIS</v>
          </cell>
        </row>
        <row r="192">
          <cell r="A192" t="str">
            <v>SELECT DATA SOURCE</v>
          </cell>
          <cell r="B192" t="str">
            <v>DUOMENŲ ŠALTINIO PASIRINKIMAS</v>
          </cell>
        </row>
        <row r="193">
          <cell r="A193" t="str">
            <v>SELECT DOCUMENT TYPE</v>
          </cell>
          <cell r="B193" t="str">
            <v>PASIRINKITE DOKUMENTO TIPĄ</v>
          </cell>
        </row>
        <row r="194">
          <cell r="A194" t="str">
            <v>SELECT RECIPIENTS</v>
          </cell>
          <cell r="B194" t="str">
            <v>ŽYMĖTI GAVĖJUS</v>
          </cell>
        </row>
        <row r="195">
          <cell r="A195" t="str">
            <v>SELECT STARTING DOCUMENT</v>
          </cell>
          <cell r="B195" t="str">
            <v>PASIRINKITE PRADŽIOS DOKUMENTĄ</v>
          </cell>
        </row>
        <row r="196">
          <cell r="A196" t="str">
            <v>SERIES</v>
          </cell>
          <cell r="B196" t="str">
            <v>SEKOS</v>
          </cell>
        </row>
        <row r="197">
          <cell r="A197" t="str">
            <v>SET PRINT AREA</v>
          </cell>
          <cell r="B197" t="str">
            <v>SPAUSDINIMO SRITIES NUSTATYMAS</v>
          </cell>
        </row>
        <row r="198">
          <cell r="A198" t="str">
            <v>SETTINGS</v>
          </cell>
          <cell r="B198" t="str">
            <v>PARAMETRAI</v>
          </cell>
        </row>
        <row r="199">
          <cell r="A199" t="str">
            <v>SHOW</v>
          </cell>
          <cell r="B199" t="str">
            <v>RODYTI</v>
          </cell>
        </row>
        <row r="200">
          <cell r="A200" t="str">
            <v>SHOW FORMULAS</v>
          </cell>
          <cell r="B200" t="str">
            <v>RODYTI FORMULES</v>
          </cell>
        </row>
        <row r="201">
          <cell r="A201" t="str">
            <v>SIZE</v>
          </cell>
          <cell r="B201" t="str">
            <v>DYDIS</v>
          </cell>
        </row>
        <row r="202">
          <cell r="A202" t="str">
            <v>SOLVER ADD-IN</v>
          </cell>
          <cell r="B202" t="str">
            <v>SPRENDIMO PAIEŠKOS PRIEDAI</v>
          </cell>
        </row>
        <row r="203">
          <cell r="A203" t="str">
            <v>SORT</v>
          </cell>
          <cell r="B203" t="str">
            <v>RŪŠIUOTI</v>
          </cell>
        </row>
        <row r="204">
          <cell r="A204" t="str">
            <v>SORT&amp;FILTER</v>
          </cell>
          <cell r="B204" t="str">
            <v>RŪŠIAVIMAS IR FILTRAVIMAS</v>
          </cell>
        </row>
        <row r="205">
          <cell r="A205" t="str">
            <v>SPARKLINES</v>
          </cell>
          <cell r="B205" t="str">
            <v>MINIATIŪRINĖS DIAGRAMOS</v>
          </cell>
        </row>
        <row r="206">
          <cell r="A206" t="str">
            <v>SPLIT</v>
          </cell>
          <cell r="B206" t="str">
            <v>PERSKIRTI</v>
          </cell>
        </row>
        <row r="207">
          <cell r="A207" t="str">
            <v>START MAIL MERGE</v>
          </cell>
          <cell r="B207" t="str">
            <v>PRADĖTI LAIŠKŲ SULIEJIMĄ</v>
          </cell>
        </row>
        <row r="208">
          <cell r="A208" t="str">
            <v>STEP-BY-STEP MAIL MERGE WIZARD</v>
          </cell>
          <cell r="B208" t="str">
            <v>IŠSAMUS LAIŠKŲ SULIEJIMO VEDIKLIS</v>
          </cell>
        </row>
        <row r="209">
          <cell r="A209" t="str">
            <v>STYLES</v>
          </cell>
          <cell r="B209" t="str">
            <v>STILIAI</v>
          </cell>
        </row>
        <row r="210">
          <cell r="A210" t="str">
            <v>STOP RECORDING</v>
          </cell>
          <cell r="B210" t="str">
            <v>BAIGTI ĮRAŠYMĄ</v>
          </cell>
        </row>
        <row r="211">
          <cell r="A211" t="str">
            <v>SUBTOTAL</v>
          </cell>
          <cell r="B211" t="str">
            <v>TARPINĖ SUMA</v>
          </cell>
        </row>
        <row r="212">
          <cell r="A212" t="str">
            <v>TABLES</v>
          </cell>
          <cell r="B212" t="str">
            <v>LENTELĖS</v>
          </cell>
        </row>
        <row r="213">
          <cell r="A213" t="str">
            <v>TABLE TOOLS</v>
          </cell>
          <cell r="B213" t="str">
            <v>LENTELĖS ĮRANKIAI</v>
          </cell>
        </row>
        <row r="214">
          <cell r="A214" t="str">
            <v>TEXT</v>
          </cell>
          <cell r="B214" t="str">
            <v>TEKSTAS</v>
          </cell>
        </row>
        <row r="215">
          <cell r="A215" t="str">
            <v>TEXT FILTERS</v>
          </cell>
          <cell r="B215" t="str">
            <v>TEKSTO FILTRAI</v>
          </cell>
        </row>
        <row r="216">
          <cell r="A216" t="str">
            <v>TEXT TO COLUMNS</v>
          </cell>
          <cell r="B216" t="str">
            <v>TEKSTĄ Į STULPELIUS</v>
          </cell>
        </row>
        <row r="217">
          <cell r="A217" t="str">
            <v>THEMES</v>
          </cell>
          <cell r="B217" t="str">
            <v>TEMOS</v>
          </cell>
        </row>
        <row r="218">
          <cell r="A218" t="str">
            <v>TOP/BOTTOM RULES</v>
          </cell>
          <cell r="B218" t="str">
            <v>VIRŠUTINIŲ IR APATINIŲ REIKŠMIŲ TAISYKLĖS</v>
          </cell>
        </row>
        <row r="219">
          <cell r="A219" t="str">
            <v>TOTALS</v>
          </cell>
          <cell r="B219" t="str">
            <v>SUMOS</v>
          </cell>
        </row>
        <row r="220">
          <cell r="A220" t="str">
            <v>TRACE DEPENDENTS</v>
          </cell>
          <cell r="B220" t="str">
            <v>APTIKTI PRIKLAUSOMUOSIUS LANGELIUS</v>
          </cell>
        </row>
        <row r="221">
          <cell r="A221" t="str">
            <v>TRACE PRECEDENTS</v>
          </cell>
          <cell r="B221" t="str">
            <v>APTIKTI VEIKIANČIUOSIUS LANGELIUS</v>
          </cell>
        </row>
        <row r="222">
          <cell r="A222" t="str">
            <v>TRENDLINE</v>
          </cell>
          <cell r="B222" t="str">
            <v>KRYPTIES LINIJA</v>
          </cell>
        </row>
        <row r="223">
          <cell r="A223" t="str">
            <v>UNDO</v>
          </cell>
          <cell r="B223" t="str">
            <v>ANULIUOTI SURINKTĮ</v>
          </cell>
        </row>
        <row r="224">
          <cell r="A224" t="str">
            <v>UNFREEZE PANES</v>
          </cell>
          <cell r="B224" t="str">
            <v>ANULIUOTI SRIČIŲ FIKSAVIMĄ</v>
          </cell>
        </row>
        <row r="225">
          <cell r="A225" t="str">
            <v>UNGROUP</v>
          </cell>
          <cell r="B225" t="str">
            <v>IŠGRUPUOTI</v>
          </cell>
        </row>
        <row r="226">
          <cell r="A226" t="str">
            <v>UNIQUE RECORS ONLY</v>
          </cell>
          <cell r="B226" t="str">
            <v>TIK UNIKALIUS ĮRAŠUS</v>
          </cell>
        </row>
        <row r="227">
          <cell r="A227" t="str">
            <v>USE A FORMULA TO DETERMINE WHICH CELLS TO FORMAT</v>
          </cell>
          <cell r="B227" t="str">
            <v>NAUDOTI FORMULĘ NORINT NUSTATYTI, KURIUOS LANGELIUS FORMATUOTI</v>
          </cell>
        </row>
        <row r="228">
          <cell r="A228" t="str">
            <v>USE AN EXISTING LIST</v>
          </cell>
          <cell r="B228" t="str">
            <v>NAUDOTI ESAMĄ SĄRAŠĄ</v>
          </cell>
        </row>
        <row r="229">
          <cell r="A229" t="str">
            <v>USE IN FORMULA</v>
          </cell>
          <cell r="B229" t="str">
            <v>NAUDOTI FORMULĖJE</v>
          </cell>
        </row>
        <row r="230">
          <cell r="A230" t="str">
            <v>USE RELATYVE REFERENCES</v>
          </cell>
          <cell r="B230" t="str">
            <v>NAUDOTI SUSIJUSIAS NUORODAS</v>
          </cell>
        </row>
        <row r="231">
          <cell r="A231" t="str">
            <v>USE THE CURRENT DOCUMENT</v>
          </cell>
          <cell r="B231" t="str">
            <v>NAUDOTI ŠĮ DOKUMENTĄ</v>
          </cell>
        </row>
        <row r="232">
          <cell r="A232" t="str">
            <v>VALUES</v>
          </cell>
          <cell r="B232" t="str">
            <v>REIKŠMĖS</v>
          </cell>
        </row>
        <row r="233">
          <cell r="A233" t="str">
            <v>VIEW</v>
          </cell>
          <cell r="B233" t="str">
            <v>RODYMAS</v>
          </cell>
        </row>
        <row r="234">
          <cell r="A234" t="str">
            <v>VIEW SIDE BY SIDE</v>
          </cell>
          <cell r="B234" t="str">
            <v>PERŽIŪRĖTI RODOMUS GRETA</v>
          </cell>
        </row>
        <row r="235">
          <cell r="A235" t="str">
            <v>WATCH WINDOW</v>
          </cell>
          <cell r="B235" t="str">
            <v>PERŽVALGOS LANGAS</v>
          </cell>
        </row>
        <row r="236">
          <cell r="A236" t="str">
            <v>WHAT-IF ANALYSIS</v>
          </cell>
          <cell r="B236" t="str">
            <v>ANALIZĖ "JEIGU..."</v>
          </cell>
        </row>
        <row r="237">
          <cell r="A237" t="str">
            <v>WRAP TEXT</v>
          </cell>
          <cell r="B237" t="str">
            <v>KELTI TEKSTO EILUTĘ</v>
          </cell>
        </row>
        <row r="238">
          <cell r="A238" t="str">
            <v>WRITE YOUR LETTER</v>
          </cell>
          <cell r="B238" t="str">
            <v>RAŠYKITE LAIŠKĄ</v>
          </cell>
        </row>
        <row r="239">
          <cell r="A239" t="str">
            <v>ZOOOM TO SELECTION</v>
          </cell>
          <cell r="B239" t="str">
            <v>KEISTI PAŽYMĖTOS DALIES MASTELĮ</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3">
          <cell r="U3" t="str">
            <v>Reklamos pajamos</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persons/person.xml><?xml version="1.0" encoding="utf-8"?>
<personList xmlns="http://schemas.microsoft.com/office/spreadsheetml/2018/threadedcomments" xmlns:x="http://schemas.openxmlformats.org/spreadsheetml/2006/main">
  <person displayName="Sandra Stasaityte" id="{0604A291-FCDB-4495-89B2-54F4AEB0A283}" userId="fcedccfe66002493"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ra Stasaityte" refreshedDate="45165.894248032404" createdVersion="8" refreshedVersion="8" minRefreshableVersion="3" recordCount="211" xr:uid="{EABDBCAD-52EB-4012-ACFF-87823F23496A}">
  <cacheSource type="worksheet">
    <worksheetSource ref="A5:E216" sheet="U17_1"/>
  </cacheSource>
  <cacheFields count="5">
    <cacheField name="Šalis" numFmtId="0">
      <sharedItems count="4">
        <s v="Ispanija"/>
        <s v="Lietuva"/>
        <s v="Lenkija"/>
        <s v="Norvegija"/>
      </sharedItems>
    </cacheField>
    <cacheField name="Kategorija" numFmtId="0">
      <sharedItems count="3">
        <s v="Vaisiai"/>
        <s v="Uogos"/>
        <s v="Daržovės"/>
      </sharedItems>
    </cacheField>
    <cacheField name="Prekė" numFmtId="0">
      <sharedItems count="17">
        <s v="Melionai"/>
        <s v="Vynuogės"/>
        <s v="Agurkai"/>
        <s v="Vyšnios"/>
        <s v="Bananai"/>
        <s v="Kopūstai"/>
        <s v="Citrinos"/>
        <s v="Kiviai"/>
        <s v="Kriaušės"/>
        <s v="Porai"/>
        <s v="Bulvės"/>
        <s v="Pomidorai"/>
        <s v="Burokėliai"/>
        <s v="Slyvos"/>
        <s v="Obuoliai"/>
        <s v="Svogūnai"/>
        <s v="Mandarinai"/>
      </sharedItems>
    </cacheField>
    <cacheField name="Data" numFmtId="14">
      <sharedItems containsSemiMixedTypes="0" containsNonDate="0" containsDate="1" containsString="0" minDate="2019-02-02T00:00:00" maxDate="2019-07-01T00:00:00" count="107">
        <d v="2019-02-02T00:00:00"/>
        <d v="2019-02-03T00:00:00"/>
        <d v="2019-02-04T00:00:00"/>
        <d v="2019-02-05T00:00:00"/>
        <d v="2019-02-07T00:00:00"/>
        <d v="2019-02-09T00:00:00"/>
        <d v="2019-02-10T00:00:00"/>
        <d v="2019-02-12T00:00:00"/>
        <d v="2019-02-13T00:00:00"/>
        <d v="2019-02-15T00:00:00"/>
        <d v="2019-02-16T00:00:00"/>
        <d v="2019-02-17T00:00:00"/>
        <d v="2019-02-18T00:00:00"/>
        <d v="2019-02-19T00:00:00"/>
        <d v="2019-02-20T00:00:00"/>
        <d v="2019-02-21T00:00:00"/>
        <d v="2019-02-22T00:00:00"/>
        <d v="2019-02-23T00:00:00"/>
        <d v="2019-02-25T00:00:00"/>
        <d v="2019-02-27T00:00:00"/>
        <d v="2019-02-28T00:00:00"/>
        <d v="2019-03-01T00:00:00"/>
        <d v="2019-03-02T00:00:00"/>
        <d v="2019-03-03T00:00:00"/>
        <d v="2019-03-04T00:00:00"/>
        <d v="2019-03-06T00:00:00"/>
        <d v="2019-03-07T00:00:00"/>
        <d v="2019-03-10T00:00:00"/>
        <d v="2019-03-12T00:00:00"/>
        <d v="2019-03-13T00:00:00"/>
        <d v="2019-03-14T00:00:00"/>
        <d v="2019-03-16T00:00:00"/>
        <d v="2019-03-17T00:00:00"/>
        <d v="2019-03-18T00:00:00"/>
        <d v="2019-03-21T00:00:00"/>
        <d v="2019-03-22T00:00:00"/>
        <d v="2019-03-23T00:00:00"/>
        <d v="2019-03-24T00:00:00"/>
        <d v="2019-03-25T00:00:00"/>
        <d v="2019-03-26T00:00:00"/>
        <d v="2019-03-28T00:00:00"/>
        <d v="2019-03-30T00:00:00"/>
        <d v="2019-03-31T00:00:00"/>
        <d v="2019-04-02T00:00:00"/>
        <d v="2019-04-03T00:00:00"/>
        <d v="2019-04-05T00:00:00"/>
        <d v="2019-04-06T00:00:00"/>
        <d v="2019-04-07T00:00:00"/>
        <d v="2019-04-08T00:00:00"/>
        <d v="2019-04-09T00:00:00"/>
        <d v="2019-04-10T00:00:00"/>
        <d v="2019-04-11T00:00:00"/>
        <d v="2019-04-12T00:00:00"/>
        <d v="2019-04-13T00:00:00"/>
        <d v="2019-04-15T00:00:00"/>
        <d v="2019-04-17T00:00:00"/>
        <d v="2019-04-18T00:00:00"/>
        <d v="2019-04-19T00:00:00"/>
        <d v="2019-04-20T00:00:00"/>
        <d v="2019-04-21T00:00:00"/>
        <d v="2019-04-22T00:00:00"/>
        <d v="2019-04-24T00:00:00"/>
        <d v="2019-04-25T00:00:00"/>
        <d v="2019-04-28T00:00:00"/>
        <d v="2019-04-30T00:00:00"/>
        <d v="2019-05-01T00:00:00"/>
        <d v="2019-05-02T00:00:00"/>
        <d v="2019-05-04T00:00:00"/>
        <d v="2019-05-05T00:00:00"/>
        <d v="2019-05-06T00:00:00"/>
        <d v="2019-05-09T00:00:00"/>
        <d v="2019-05-10T00:00:00"/>
        <d v="2019-05-14T00:00:00"/>
        <d v="2019-05-15T00:00:00"/>
        <d v="2019-05-16T00:00:00"/>
        <d v="2019-05-17T00:00:00"/>
        <d v="2019-05-19T00:00:00"/>
        <d v="2019-05-21T00:00:00"/>
        <d v="2019-05-22T00:00:00"/>
        <d v="2019-05-24T00:00:00"/>
        <d v="2019-05-25T00:00:00"/>
        <d v="2019-05-27T00:00:00"/>
        <d v="2019-05-28T00:00:00"/>
        <d v="2019-05-29T00:00:00"/>
        <d v="2019-05-30T00:00:00"/>
        <d v="2019-05-31T00:00:00"/>
        <d v="2019-06-01T00:00:00"/>
        <d v="2019-06-02T00:00:00"/>
        <d v="2019-06-03T00:00:00"/>
        <d v="2019-06-04T00:00:00"/>
        <d v="2019-06-06T00:00:00"/>
        <d v="2019-06-08T00:00:00"/>
        <d v="2019-06-09T00:00:00"/>
        <d v="2019-06-10T00:00:00"/>
        <d v="2019-06-11T00:00:00"/>
        <d v="2019-06-12T00:00:00"/>
        <d v="2019-06-13T00:00:00"/>
        <d v="2019-06-15T00:00:00"/>
        <d v="2019-06-16T00:00:00"/>
        <d v="2019-06-19T00:00:00"/>
        <d v="2019-06-21T00:00:00"/>
        <d v="2019-06-22T00:00:00"/>
        <d v="2019-06-23T00:00:00"/>
        <d v="2019-06-25T00:00:00"/>
        <d v="2019-06-26T00:00:00"/>
        <d v="2019-06-27T00:00:00"/>
        <d v="2019-06-30T00:00:00"/>
      </sharedItems>
    </cacheField>
    <cacheField name="Kiekis" numFmtId="0">
      <sharedItems containsSemiMixedTypes="0" containsString="0" containsNumber="1" containsInteger="1" minValue="4" maxValue="8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ra Stasaityte" refreshedDate="45166.427483449072" createdVersion="8" refreshedVersion="8" minRefreshableVersion="3" recordCount="209" xr:uid="{9355E013-79DB-4172-A42C-C30226B04F00}">
  <cacheSource type="worksheet">
    <worksheetSource ref="A5:E214" sheet="U17_2"/>
  </cacheSource>
  <cacheFields count="5">
    <cacheField name="Šalis" numFmtId="0">
      <sharedItems count="3">
        <s v="Ispanija"/>
        <s v="Lietuva"/>
        <s v="Lenkija"/>
      </sharedItems>
    </cacheField>
    <cacheField name="Kategorija" numFmtId="0">
      <sharedItems count="3">
        <s v="Vaisiai"/>
        <s v="Uogos"/>
        <s v="Daržovės"/>
      </sharedItems>
    </cacheField>
    <cacheField name="Prekė" numFmtId="0">
      <sharedItems count="16">
        <s v="Melionai"/>
        <s v="Vynuogės"/>
        <s v="Agurkai"/>
        <s v="Vyšnios"/>
        <s v="Bananai"/>
        <s v="Kopūstai"/>
        <s v="Citrinos"/>
        <s v="Kiviai"/>
        <s v="Kriaušės"/>
        <s v="Porai"/>
        <s v="Bulvės"/>
        <s v="Pomidorai"/>
        <s v="Burokėliai"/>
        <s v="Slyvos"/>
        <s v="Obuoliai"/>
        <s v="Svogūnai"/>
      </sharedItems>
    </cacheField>
    <cacheField name="Data" numFmtId="14">
      <sharedItems containsSemiMixedTypes="0" containsNonDate="0" containsDate="1" containsString="0" minDate="2019-02-02T00:00:00" maxDate="2019-07-01T00:00:00" count="107">
        <d v="2019-02-02T00:00:00"/>
        <d v="2019-02-03T00:00:00"/>
        <d v="2019-02-04T00:00:00"/>
        <d v="2019-02-05T00:00:00"/>
        <d v="2019-02-07T00:00:00"/>
        <d v="2019-02-09T00:00:00"/>
        <d v="2019-02-10T00:00:00"/>
        <d v="2019-02-12T00:00:00"/>
        <d v="2019-02-13T00:00:00"/>
        <d v="2019-02-15T00:00:00"/>
        <d v="2019-02-16T00:00:00"/>
        <d v="2019-02-17T00:00:00"/>
        <d v="2019-02-18T00:00:00"/>
        <d v="2019-02-19T00:00:00"/>
        <d v="2019-02-20T00:00:00"/>
        <d v="2019-02-21T00:00:00"/>
        <d v="2019-02-22T00:00:00"/>
        <d v="2019-02-23T00:00:00"/>
        <d v="2019-02-25T00:00:00"/>
        <d v="2019-02-27T00:00:00"/>
        <d v="2019-02-28T00:00:00"/>
        <d v="2019-03-01T00:00:00"/>
        <d v="2019-03-02T00:00:00"/>
        <d v="2019-03-03T00:00:00"/>
        <d v="2019-03-04T00:00:00"/>
        <d v="2019-03-06T00:00:00"/>
        <d v="2019-03-07T00:00:00"/>
        <d v="2019-03-10T00:00:00"/>
        <d v="2019-03-12T00:00:00"/>
        <d v="2019-03-13T00:00:00"/>
        <d v="2019-03-14T00:00:00"/>
        <d v="2019-03-16T00:00:00"/>
        <d v="2019-03-17T00:00:00"/>
        <d v="2019-03-18T00:00:00"/>
        <d v="2019-03-21T00:00:00"/>
        <d v="2019-03-22T00:00:00"/>
        <d v="2019-03-23T00:00:00"/>
        <d v="2019-03-24T00:00:00"/>
        <d v="2019-03-25T00:00:00"/>
        <d v="2019-03-26T00:00:00"/>
        <d v="2019-03-28T00:00:00"/>
        <d v="2019-03-30T00:00:00"/>
        <d v="2019-03-31T00:00:00"/>
        <d v="2019-04-02T00:00:00"/>
        <d v="2019-04-03T00:00:00"/>
        <d v="2019-04-05T00:00:00"/>
        <d v="2019-04-06T00:00:00"/>
        <d v="2019-04-07T00:00:00"/>
        <d v="2019-04-08T00:00:00"/>
        <d v="2019-04-09T00:00:00"/>
        <d v="2019-04-10T00:00:00"/>
        <d v="2019-04-11T00:00:00"/>
        <d v="2019-04-12T00:00:00"/>
        <d v="2019-04-13T00:00:00"/>
        <d v="2019-04-15T00:00:00"/>
        <d v="2019-04-17T00:00:00"/>
        <d v="2019-04-18T00:00:00"/>
        <d v="2019-04-19T00:00:00"/>
        <d v="2019-04-20T00:00:00"/>
        <d v="2019-04-21T00:00:00"/>
        <d v="2019-04-22T00:00:00"/>
        <d v="2019-04-24T00:00:00"/>
        <d v="2019-04-25T00:00:00"/>
        <d v="2019-04-28T00:00:00"/>
        <d v="2019-04-30T00:00:00"/>
        <d v="2019-05-01T00:00:00"/>
        <d v="2019-05-02T00:00:00"/>
        <d v="2019-05-04T00:00:00"/>
        <d v="2019-05-05T00:00:00"/>
        <d v="2019-05-06T00:00:00"/>
        <d v="2019-05-09T00:00:00"/>
        <d v="2019-05-10T00:00:00"/>
        <d v="2019-05-14T00:00:00"/>
        <d v="2019-05-15T00:00:00"/>
        <d v="2019-05-16T00:00:00"/>
        <d v="2019-05-17T00:00:00"/>
        <d v="2019-05-19T00:00:00"/>
        <d v="2019-05-21T00:00:00"/>
        <d v="2019-05-22T00:00:00"/>
        <d v="2019-05-24T00:00:00"/>
        <d v="2019-05-25T00:00:00"/>
        <d v="2019-05-27T00:00:00"/>
        <d v="2019-05-28T00:00:00"/>
        <d v="2019-05-29T00:00:00"/>
        <d v="2019-05-30T00:00:00"/>
        <d v="2019-05-31T00:00:00"/>
        <d v="2019-06-01T00:00:00"/>
        <d v="2019-06-02T00:00:00"/>
        <d v="2019-06-03T00:00:00"/>
        <d v="2019-06-04T00:00:00"/>
        <d v="2019-06-06T00:00:00"/>
        <d v="2019-06-08T00:00:00"/>
        <d v="2019-06-09T00:00:00"/>
        <d v="2019-06-10T00:00:00"/>
        <d v="2019-06-11T00:00:00"/>
        <d v="2019-06-12T00:00:00"/>
        <d v="2019-06-13T00:00:00"/>
        <d v="2019-06-15T00:00:00"/>
        <d v="2019-06-16T00:00:00"/>
        <d v="2019-06-19T00:00:00"/>
        <d v="2019-06-21T00:00:00"/>
        <d v="2019-06-22T00:00:00"/>
        <d v="2019-06-23T00:00:00"/>
        <d v="2019-06-25T00:00:00"/>
        <d v="2019-06-26T00:00:00"/>
        <d v="2019-06-27T00:00:00"/>
        <d v="2019-06-30T00:00:00"/>
      </sharedItems>
    </cacheField>
    <cacheField name="Kiekis" numFmtId="0">
      <sharedItems containsSemiMixedTypes="0" containsString="0" containsNumber="1" containsInteger="1" minValue="4" maxValue="15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ra Stasaityte" refreshedDate="45166.445172106483" createdVersion="8" refreshedVersion="8" minRefreshableVersion="3" recordCount="209" xr:uid="{2D7565EB-6C35-4840-8C73-1CCB22D2B090}">
  <cacheSource type="worksheet">
    <worksheetSource ref="A5:E214" sheet="U17_3"/>
  </cacheSource>
  <cacheFields count="5">
    <cacheField name="Šalis" numFmtId="0">
      <sharedItems count="3">
        <s v="Ispanija"/>
        <s v="Lietuva"/>
        <s v="Lenkija"/>
      </sharedItems>
    </cacheField>
    <cacheField name="Kategorija" numFmtId="0">
      <sharedItems count="3">
        <s v="Vaisiai"/>
        <s v="Uogos"/>
        <s v="Daržovės"/>
      </sharedItems>
    </cacheField>
    <cacheField name="Prekė" numFmtId="0">
      <sharedItems count="16">
        <s v="Melionai"/>
        <s v="Vynuogės"/>
        <s v="Agurkai"/>
        <s v="Vyšnios"/>
        <s v="Bananai"/>
        <s v="Kopūstai"/>
        <s v="Citrinos"/>
        <s v="Kiviai"/>
        <s v="Kriaušės"/>
        <s v="Porai"/>
        <s v="Bulvės"/>
        <s v="Pomidorai"/>
        <s v="Burokėliai"/>
        <s v="Slyvos"/>
        <s v="Obuoliai"/>
        <s v="Svogūnai"/>
      </sharedItems>
    </cacheField>
    <cacheField name="Data" numFmtId="14">
      <sharedItems containsSemiMixedTypes="0" containsNonDate="0" containsDate="1" containsString="0" minDate="2019-02-02T00:00:00" maxDate="2019-07-01T00:00:00" count="107">
        <d v="2019-02-02T00:00:00"/>
        <d v="2019-02-03T00:00:00"/>
        <d v="2019-02-04T00:00:00"/>
        <d v="2019-02-05T00:00:00"/>
        <d v="2019-02-07T00:00:00"/>
        <d v="2019-02-09T00:00:00"/>
        <d v="2019-02-10T00:00:00"/>
        <d v="2019-02-12T00:00:00"/>
        <d v="2019-02-13T00:00:00"/>
        <d v="2019-02-15T00:00:00"/>
        <d v="2019-02-16T00:00:00"/>
        <d v="2019-02-17T00:00:00"/>
        <d v="2019-02-18T00:00:00"/>
        <d v="2019-02-19T00:00:00"/>
        <d v="2019-02-20T00:00:00"/>
        <d v="2019-02-21T00:00:00"/>
        <d v="2019-02-22T00:00:00"/>
        <d v="2019-02-23T00:00:00"/>
        <d v="2019-02-25T00:00:00"/>
        <d v="2019-02-27T00:00:00"/>
        <d v="2019-02-28T00:00:00"/>
        <d v="2019-03-01T00:00:00"/>
        <d v="2019-03-02T00:00:00"/>
        <d v="2019-03-03T00:00:00"/>
        <d v="2019-03-04T00:00:00"/>
        <d v="2019-03-06T00:00:00"/>
        <d v="2019-03-07T00:00:00"/>
        <d v="2019-03-10T00:00:00"/>
        <d v="2019-03-12T00:00:00"/>
        <d v="2019-03-13T00:00:00"/>
        <d v="2019-03-14T00:00:00"/>
        <d v="2019-03-16T00:00:00"/>
        <d v="2019-03-17T00:00:00"/>
        <d v="2019-03-18T00:00:00"/>
        <d v="2019-03-21T00:00:00"/>
        <d v="2019-03-22T00:00:00"/>
        <d v="2019-03-23T00:00:00"/>
        <d v="2019-03-24T00:00:00"/>
        <d v="2019-03-25T00:00:00"/>
        <d v="2019-03-26T00:00:00"/>
        <d v="2019-03-28T00:00:00"/>
        <d v="2019-03-30T00:00:00"/>
        <d v="2019-03-31T00:00:00"/>
        <d v="2019-04-02T00:00:00"/>
        <d v="2019-04-03T00:00:00"/>
        <d v="2019-04-05T00:00:00"/>
        <d v="2019-04-06T00:00:00"/>
        <d v="2019-04-07T00:00:00"/>
        <d v="2019-04-08T00:00:00"/>
        <d v="2019-04-09T00:00:00"/>
        <d v="2019-04-10T00:00:00"/>
        <d v="2019-04-11T00:00:00"/>
        <d v="2019-04-12T00:00:00"/>
        <d v="2019-04-13T00:00:00"/>
        <d v="2019-04-15T00:00:00"/>
        <d v="2019-04-17T00:00:00"/>
        <d v="2019-04-18T00:00:00"/>
        <d v="2019-04-19T00:00:00"/>
        <d v="2019-04-20T00:00:00"/>
        <d v="2019-04-21T00:00:00"/>
        <d v="2019-04-22T00:00:00"/>
        <d v="2019-04-24T00:00:00"/>
        <d v="2019-04-25T00:00:00"/>
        <d v="2019-04-28T00:00:00"/>
        <d v="2019-04-30T00:00:00"/>
        <d v="2019-05-01T00:00:00"/>
        <d v="2019-05-02T00:00:00"/>
        <d v="2019-05-04T00:00:00"/>
        <d v="2019-05-05T00:00:00"/>
        <d v="2019-05-06T00:00:00"/>
        <d v="2019-05-09T00:00:00"/>
        <d v="2019-05-10T00:00:00"/>
        <d v="2019-05-14T00:00:00"/>
        <d v="2019-05-15T00:00:00"/>
        <d v="2019-05-16T00:00:00"/>
        <d v="2019-05-17T00:00:00"/>
        <d v="2019-05-19T00:00:00"/>
        <d v="2019-05-21T00:00:00"/>
        <d v="2019-05-22T00:00:00"/>
        <d v="2019-05-24T00:00:00"/>
        <d v="2019-05-25T00:00:00"/>
        <d v="2019-05-27T00:00:00"/>
        <d v="2019-05-28T00:00:00"/>
        <d v="2019-05-29T00:00:00"/>
        <d v="2019-05-30T00:00:00"/>
        <d v="2019-05-31T00:00:00"/>
        <d v="2019-06-01T00:00:00"/>
        <d v="2019-06-02T00:00:00"/>
        <d v="2019-06-03T00:00:00"/>
        <d v="2019-06-04T00:00:00"/>
        <d v="2019-06-06T00:00:00"/>
        <d v="2019-06-08T00:00:00"/>
        <d v="2019-06-09T00:00:00"/>
        <d v="2019-06-10T00:00:00"/>
        <d v="2019-06-11T00:00:00"/>
        <d v="2019-06-12T00:00:00"/>
        <d v="2019-06-13T00:00:00"/>
        <d v="2019-06-15T00:00:00"/>
        <d v="2019-06-16T00:00:00"/>
        <d v="2019-06-19T00:00:00"/>
        <d v="2019-06-21T00:00:00"/>
        <d v="2019-06-22T00:00:00"/>
        <d v="2019-06-23T00:00:00"/>
        <d v="2019-06-25T00:00:00"/>
        <d v="2019-06-26T00:00:00"/>
        <d v="2019-06-27T00:00:00"/>
        <d v="2019-06-30T00:00:00"/>
      </sharedItems>
    </cacheField>
    <cacheField name="Kiekis" numFmtId="0">
      <sharedItems containsSemiMixedTypes="0" containsString="0" containsNumber="1" containsInteger="1" minValue="4" maxValue="15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ra Stasaityte" refreshedDate="45166.503361226853" backgroundQuery="1" createdVersion="8" refreshedVersion="8" minRefreshableVersion="3" recordCount="0" supportSubquery="1" supportAdvancedDrill="1" xr:uid="{6E3B326D-3FD5-4191-AA92-06B1565291BE}">
  <cacheSource type="external" connectionId="5"/>
  <cacheFields count="4">
    <cacheField name="[Measures].[Sum of Kiekis, vnt.]" caption="Sum of Kiekis, vnt." numFmtId="0" hierarchy="19" level="32767"/>
    <cacheField name="[tablegamintojai].[Gamintojai].[Gamintojai]" caption="Gamintojai" numFmtId="0" hierarchy="8" level="1">
      <sharedItems count="4">
        <s v="Gamintojas1"/>
        <s v="Gamintojas2"/>
        <s v="Gamintojas3"/>
        <s v="Gamintojas4"/>
      </sharedItems>
    </cacheField>
    <cacheField name="[tableprekes].[Prekės].[Prekės]" caption="Prekės" numFmtId="0" hierarchy="10" level="1">
      <sharedItems count="7">
        <s v="Preke1"/>
        <s v="Preke2"/>
        <s v="Preke3"/>
        <s v="Preke4"/>
        <s v="Preke5"/>
        <s v="Preke6"/>
        <s v="Preke7"/>
      </sharedItems>
    </cacheField>
    <cacheField name="[tablesalys].[Šalys].[Šalys]" caption="Šalys" numFmtId="0" hierarchy="12" level="1">
      <sharedItems count="3">
        <s v="Prancūzija"/>
        <s v="Lietuva"/>
        <s v="Jungtinė Karalystė"/>
      </sharedItems>
    </cacheField>
  </cacheFields>
  <cacheHierarchies count="20">
    <cacheHierarchy uniqueName="[Table1].[Data]" caption="Data" attribute="1" time="1" defaultMemberUniqueName="[Table1].[Data].[All]" allUniqueName="[Table1].[Data].[All]" dimensionUniqueName="[Table1]" displayFolder="" count="0" memberValueDatatype="7" unbalanced="0"/>
    <cacheHierarchy uniqueName="[Table1].[BarKodas]" caption="BarKodas" attribute="1" defaultMemberUniqueName="[Table1].[BarKodas].[All]" allUniqueName="[Table1].[BarKodas].[All]" dimensionUniqueName="[Table1]" displayFolder="" count="0" memberValueDatatype="20" unbalanced="0"/>
    <cacheHierarchy uniqueName="[Table1].[Salies Kodas]" caption="Salies Kodas" attribute="1" defaultMemberUniqueName="[Table1].[Salies Kodas].[All]" allUniqueName="[Table1].[Salies Kodas].[All]" dimensionUniqueName="[Table1]" displayFolder="" count="0" memberValueDatatype="20" unbalanced="0"/>
    <cacheHierarchy uniqueName="[Table1].[Gamintojo kodas]" caption="Gamintojo kodas" attribute="1" defaultMemberUniqueName="[Table1].[Gamintojo kodas].[All]" allUniqueName="[Table1].[Gamintojo kodas].[All]" dimensionUniqueName="[Table1]" displayFolder="" count="0" memberValueDatatype="20" unbalanced="0"/>
    <cacheHierarchy uniqueName="[Table1].[Prekes Kodas]" caption="Prekes Kodas" attribute="1" defaultMemberUniqueName="[Table1].[Prekes Kodas].[All]" allUniqueName="[Table1].[Prekes Kodas].[All]" dimensionUniqueName="[Table1]" displayFolder="" count="0" memberValueDatatype="20" unbalanced="0"/>
    <cacheHierarchy uniqueName="[Table1].[Column1]" caption="Column1" attribute="1" defaultMemberUniqueName="[Table1].[Column1].[All]" allUniqueName="[Table1].[Column1].[All]" dimensionUniqueName="[Table1]" displayFolder="" count="0" memberValueDatatype="20" unbalanced="0"/>
    <cacheHierarchy uniqueName="[Table1].[Kiekis, vnt.]" caption="Kiekis, vnt." attribute="1" defaultMemberUniqueName="[Table1].[Kiekis, vnt.].[All]" allUniqueName="[Table1].[Kiekis, vnt.].[All]" dimensionUniqueName="[Table1]" displayFolder="" count="0" memberValueDatatype="20" unbalanced="0"/>
    <cacheHierarchy uniqueName="[Table1].[Kaina, Eur]" caption="Kaina, Eur" attribute="1" defaultMemberUniqueName="[Table1].[Kaina, Eur].[All]" allUniqueName="[Table1].[Kaina, Eur].[All]" dimensionUniqueName="[Table1]" displayFolder="" count="0" memberValueDatatype="5" unbalanced="0"/>
    <cacheHierarchy uniqueName="[tablegamintojai].[Gamintojai]" caption="Gamintojai" attribute="1" defaultMemberUniqueName="[tablegamintojai].[Gamintojai].[All]" allUniqueName="[tablegamintojai].[Gamintojai].[All]" dimensionUniqueName="[tablegamintojai]" displayFolder="" count="2" memberValueDatatype="130" unbalanced="0">
      <fieldsUsage count="2">
        <fieldUsage x="-1"/>
        <fieldUsage x="1"/>
      </fieldsUsage>
    </cacheHierarchy>
    <cacheHierarchy uniqueName="[tablegamintojai].[GamintKod]" caption="GamintKod" attribute="1" defaultMemberUniqueName="[tablegamintojai].[GamintKod].[All]" allUniqueName="[tablegamintojai].[GamintKod].[All]" dimensionUniqueName="[tablegamintojai]" displayFolder="" count="0" memberValueDatatype="20" unbalanced="0"/>
    <cacheHierarchy uniqueName="[tableprekes].[Prekės]" caption="Prekės" attribute="1" defaultMemberUniqueName="[tableprekes].[Prekės].[All]" allUniqueName="[tableprekes].[Prekės].[All]" dimensionUniqueName="[tableprekes]" displayFolder="" count="2" memberValueDatatype="130" unbalanced="0">
      <fieldsUsage count="2">
        <fieldUsage x="-1"/>
        <fieldUsage x="2"/>
      </fieldsUsage>
    </cacheHierarchy>
    <cacheHierarchy uniqueName="[tableprekes].[PrekKod]" caption="PrekKod" attribute="1" defaultMemberUniqueName="[tableprekes].[PrekKod].[All]" allUniqueName="[tableprekes].[PrekKod].[All]" dimensionUniqueName="[tableprekes]" displayFolder="" count="0" memberValueDatatype="20" unbalanced="0"/>
    <cacheHierarchy uniqueName="[tablesalys].[Šalys]" caption="Šalys" attribute="1" defaultMemberUniqueName="[tablesalys].[Šalys].[All]" allUniqueName="[tablesalys].[Šalys].[All]" dimensionUniqueName="[tablesalys]" displayFolder="" count="2" memberValueDatatype="130" unbalanced="0">
      <fieldsUsage count="2">
        <fieldUsage x="-1"/>
        <fieldUsage x="3"/>
      </fieldsUsage>
    </cacheHierarchy>
    <cacheHierarchy uniqueName="[tablesalys].[ŠalKod]" caption="ŠalKod" attribute="1" defaultMemberUniqueName="[tablesalys].[ŠalKod].[All]" allUniqueName="[tablesalys].[ŠalKod].[All]" dimensionUniqueName="[tablesalys]" displayFolder="" count="0" memberValueDatatype="20" unbalanced="0"/>
    <cacheHierarchy uniqueName="[Measures].[__XL_Count Table1]" caption="__XL_Count Table1" measure="1" displayFolder="" measureGroup="Table1" count="0" hidden="1"/>
    <cacheHierarchy uniqueName="[Measures].[__XL_Count tableprekes]" caption="__XL_Count tableprekes" measure="1" displayFolder="" measureGroup="tableprekes" count="0" hidden="1"/>
    <cacheHierarchy uniqueName="[Measures].[__XL_Count tablesalys]" caption="__XL_Count tablesalys" measure="1" displayFolder="" measureGroup="tablesalys" count="0" hidden="1"/>
    <cacheHierarchy uniqueName="[Measures].[__XL_Count tablegamintojai]" caption="__XL_Count tablegamintojai" measure="1" displayFolder="" measureGroup="tablegamintojai" count="0" hidden="1"/>
    <cacheHierarchy uniqueName="[Measures].[__No measures defined]" caption="__No measures defined" measure="1" displayFolder="" count="0" hidden="1"/>
    <cacheHierarchy uniqueName="[Measures].[Sum of Kiekis, vnt.]" caption="Sum of Kiekis, vnt."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5">
    <dimension measure="1" name="Measures" uniqueName="[Measures]" caption="Measures"/>
    <dimension name="Table1" uniqueName="[Table1]" caption="Table1"/>
    <dimension name="tablegamintojai" uniqueName="[tablegamintojai]" caption="tablegamintojai"/>
    <dimension name="tableprekes" uniqueName="[tableprekes]" caption="tableprekes"/>
    <dimension name="tablesalys" uniqueName="[tablesalys]" caption="tablesalys"/>
  </dimensions>
  <measureGroups count="4">
    <measureGroup name="Table1" caption="Table1"/>
    <measureGroup name="tablegamintojai" caption="tablegamintojai"/>
    <measureGroup name="tableprekes" caption="tableprekes"/>
    <measureGroup name="tablesalys" caption="tablesalys"/>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1">
  <r>
    <x v="0"/>
    <x v="0"/>
    <x v="0"/>
    <x v="0"/>
    <n v="800"/>
  </r>
  <r>
    <x v="0"/>
    <x v="1"/>
    <x v="1"/>
    <x v="1"/>
    <n v="15"/>
  </r>
  <r>
    <x v="1"/>
    <x v="2"/>
    <x v="2"/>
    <x v="2"/>
    <n v="22"/>
  </r>
  <r>
    <x v="0"/>
    <x v="1"/>
    <x v="3"/>
    <x v="2"/>
    <n v="35"/>
  </r>
  <r>
    <x v="0"/>
    <x v="0"/>
    <x v="4"/>
    <x v="3"/>
    <n v="45"/>
  </r>
  <r>
    <x v="2"/>
    <x v="2"/>
    <x v="5"/>
    <x v="3"/>
    <n v="85"/>
  </r>
  <r>
    <x v="0"/>
    <x v="0"/>
    <x v="0"/>
    <x v="3"/>
    <n v="7"/>
  </r>
  <r>
    <x v="0"/>
    <x v="0"/>
    <x v="6"/>
    <x v="4"/>
    <n v="5"/>
  </r>
  <r>
    <x v="0"/>
    <x v="0"/>
    <x v="7"/>
    <x v="4"/>
    <n v="8"/>
  </r>
  <r>
    <x v="1"/>
    <x v="0"/>
    <x v="8"/>
    <x v="4"/>
    <n v="100"/>
  </r>
  <r>
    <x v="2"/>
    <x v="2"/>
    <x v="9"/>
    <x v="4"/>
    <n v="12"/>
  </r>
  <r>
    <x v="1"/>
    <x v="2"/>
    <x v="10"/>
    <x v="5"/>
    <n v="120"/>
  </r>
  <r>
    <x v="2"/>
    <x v="2"/>
    <x v="11"/>
    <x v="5"/>
    <n v="20"/>
  </r>
  <r>
    <x v="2"/>
    <x v="2"/>
    <x v="9"/>
    <x v="5"/>
    <n v="15"/>
  </r>
  <r>
    <x v="2"/>
    <x v="2"/>
    <x v="12"/>
    <x v="6"/>
    <n v="25"/>
  </r>
  <r>
    <x v="1"/>
    <x v="1"/>
    <x v="13"/>
    <x v="6"/>
    <n v="35"/>
  </r>
  <r>
    <x v="1"/>
    <x v="1"/>
    <x v="13"/>
    <x v="6"/>
    <n v="40"/>
  </r>
  <r>
    <x v="1"/>
    <x v="0"/>
    <x v="14"/>
    <x v="7"/>
    <n v="40"/>
  </r>
  <r>
    <x v="2"/>
    <x v="2"/>
    <x v="11"/>
    <x v="7"/>
    <n v="23"/>
  </r>
  <r>
    <x v="0"/>
    <x v="1"/>
    <x v="1"/>
    <x v="7"/>
    <n v="10"/>
  </r>
  <r>
    <x v="0"/>
    <x v="0"/>
    <x v="0"/>
    <x v="8"/>
    <n v="10"/>
  </r>
  <r>
    <x v="2"/>
    <x v="2"/>
    <x v="2"/>
    <x v="9"/>
    <n v="21"/>
  </r>
  <r>
    <x v="0"/>
    <x v="0"/>
    <x v="7"/>
    <x v="9"/>
    <n v="7"/>
  </r>
  <r>
    <x v="0"/>
    <x v="0"/>
    <x v="4"/>
    <x v="10"/>
    <n v="55"/>
  </r>
  <r>
    <x v="1"/>
    <x v="2"/>
    <x v="9"/>
    <x v="11"/>
    <n v="12"/>
  </r>
  <r>
    <x v="1"/>
    <x v="2"/>
    <x v="12"/>
    <x v="11"/>
    <n v="25"/>
  </r>
  <r>
    <x v="2"/>
    <x v="1"/>
    <x v="13"/>
    <x v="11"/>
    <n v="45"/>
  </r>
  <r>
    <x v="1"/>
    <x v="2"/>
    <x v="15"/>
    <x v="12"/>
    <n v="25"/>
  </r>
  <r>
    <x v="0"/>
    <x v="1"/>
    <x v="3"/>
    <x v="13"/>
    <n v="25"/>
  </r>
  <r>
    <x v="1"/>
    <x v="2"/>
    <x v="5"/>
    <x v="13"/>
    <n v="95"/>
  </r>
  <r>
    <x v="1"/>
    <x v="0"/>
    <x v="14"/>
    <x v="13"/>
    <n v="50"/>
  </r>
  <r>
    <x v="1"/>
    <x v="2"/>
    <x v="11"/>
    <x v="14"/>
    <n v="25"/>
  </r>
  <r>
    <x v="2"/>
    <x v="2"/>
    <x v="15"/>
    <x v="14"/>
    <n v="27"/>
  </r>
  <r>
    <x v="0"/>
    <x v="0"/>
    <x v="6"/>
    <x v="15"/>
    <n v="4"/>
  </r>
  <r>
    <x v="0"/>
    <x v="0"/>
    <x v="8"/>
    <x v="16"/>
    <n v="110"/>
  </r>
  <r>
    <x v="2"/>
    <x v="2"/>
    <x v="10"/>
    <x v="17"/>
    <n v="130"/>
  </r>
  <r>
    <x v="1"/>
    <x v="2"/>
    <x v="15"/>
    <x v="18"/>
    <n v="28"/>
  </r>
  <r>
    <x v="0"/>
    <x v="0"/>
    <x v="0"/>
    <x v="19"/>
    <n v="8"/>
  </r>
  <r>
    <x v="1"/>
    <x v="2"/>
    <x v="2"/>
    <x v="20"/>
    <n v="20"/>
  </r>
  <r>
    <x v="0"/>
    <x v="1"/>
    <x v="1"/>
    <x v="20"/>
    <n v="15"/>
  </r>
  <r>
    <x v="2"/>
    <x v="0"/>
    <x v="14"/>
    <x v="21"/>
    <n v="45"/>
  </r>
  <r>
    <x v="1"/>
    <x v="2"/>
    <x v="9"/>
    <x v="22"/>
    <n v="13"/>
  </r>
  <r>
    <x v="1"/>
    <x v="1"/>
    <x v="13"/>
    <x v="22"/>
    <n v="35"/>
  </r>
  <r>
    <x v="0"/>
    <x v="1"/>
    <x v="3"/>
    <x v="23"/>
    <n v="30"/>
  </r>
  <r>
    <x v="0"/>
    <x v="0"/>
    <x v="7"/>
    <x v="24"/>
    <n v="7"/>
  </r>
  <r>
    <x v="1"/>
    <x v="2"/>
    <x v="5"/>
    <x v="24"/>
    <n v="90"/>
  </r>
  <r>
    <x v="1"/>
    <x v="2"/>
    <x v="11"/>
    <x v="24"/>
    <n v="20"/>
  </r>
  <r>
    <x v="0"/>
    <x v="0"/>
    <x v="6"/>
    <x v="25"/>
    <n v="6"/>
  </r>
  <r>
    <x v="0"/>
    <x v="0"/>
    <x v="8"/>
    <x v="25"/>
    <n v="95"/>
  </r>
  <r>
    <x v="1"/>
    <x v="2"/>
    <x v="12"/>
    <x v="25"/>
    <n v="30"/>
  </r>
  <r>
    <x v="1"/>
    <x v="2"/>
    <x v="10"/>
    <x v="26"/>
    <n v="135"/>
  </r>
  <r>
    <x v="2"/>
    <x v="2"/>
    <x v="5"/>
    <x v="27"/>
    <n v="85"/>
  </r>
  <r>
    <x v="0"/>
    <x v="0"/>
    <x v="0"/>
    <x v="27"/>
    <n v="9"/>
  </r>
  <r>
    <x v="2"/>
    <x v="2"/>
    <x v="15"/>
    <x v="27"/>
    <n v="27"/>
  </r>
  <r>
    <x v="0"/>
    <x v="0"/>
    <x v="6"/>
    <x v="28"/>
    <n v="5"/>
  </r>
  <r>
    <x v="1"/>
    <x v="0"/>
    <x v="14"/>
    <x v="28"/>
    <n v="50"/>
  </r>
  <r>
    <x v="0"/>
    <x v="0"/>
    <x v="4"/>
    <x v="29"/>
    <n v="50"/>
  </r>
  <r>
    <x v="2"/>
    <x v="0"/>
    <x v="8"/>
    <x v="30"/>
    <n v="125"/>
  </r>
  <r>
    <x v="2"/>
    <x v="2"/>
    <x v="9"/>
    <x v="30"/>
    <n v="15"/>
  </r>
  <r>
    <x v="0"/>
    <x v="1"/>
    <x v="13"/>
    <x v="30"/>
    <n v="45"/>
  </r>
  <r>
    <x v="0"/>
    <x v="1"/>
    <x v="1"/>
    <x v="30"/>
    <n v="10"/>
  </r>
  <r>
    <x v="1"/>
    <x v="2"/>
    <x v="5"/>
    <x v="31"/>
    <n v="95"/>
  </r>
  <r>
    <x v="2"/>
    <x v="2"/>
    <x v="11"/>
    <x v="31"/>
    <n v="19"/>
  </r>
  <r>
    <x v="0"/>
    <x v="1"/>
    <x v="3"/>
    <x v="32"/>
    <n v="25"/>
  </r>
  <r>
    <x v="1"/>
    <x v="2"/>
    <x v="10"/>
    <x v="33"/>
    <n v="125"/>
  </r>
  <r>
    <x v="0"/>
    <x v="0"/>
    <x v="6"/>
    <x v="33"/>
    <n v="4"/>
  </r>
  <r>
    <x v="0"/>
    <x v="0"/>
    <x v="14"/>
    <x v="33"/>
    <n v="45"/>
  </r>
  <r>
    <x v="1"/>
    <x v="2"/>
    <x v="2"/>
    <x v="34"/>
    <n v="25"/>
  </r>
  <r>
    <x v="0"/>
    <x v="0"/>
    <x v="6"/>
    <x v="34"/>
    <n v="6"/>
  </r>
  <r>
    <x v="1"/>
    <x v="2"/>
    <x v="15"/>
    <x v="35"/>
    <n v="29"/>
  </r>
  <r>
    <x v="0"/>
    <x v="0"/>
    <x v="0"/>
    <x v="36"/>
    <n v="9"/>
  </r>
  <r>
    <x v="0"/>
    <x v="1"/>
    <x v="1"/>
    <x v="37"/>
    <n v="17"/>
  </r>
  <r>
    <x v="2"/>
    <x v="2"/>
    <x v="2"/>
    <x v="38"/>
    <n v="25"/>
  </r>
  <r>
    <x v="0"/>
    <x v="1"/>
    <x v="3"/>
    <x v="38"/>
    <n v="40"/>
  </r>
  <r>
    <x v="0"/>
    <x v="0"/>
    <x v="4"/>
    <x v="39"/>
    <n v="52"/>
  </r>
  <r>
    <x v="1"/>
    <x v="2"/>
    <x v="5"/>
    <x v="39"/>
    <n v="98"/>
  </r>
  <r>
    <x v="0"/>
    <x v="0"/>
    <x v="0"/>
    <x v="39"/>
    <n v="8"/>
  </r>
  <r>
    <x v="0"/>
    <x v="0"/>
    <x v="6"/>
    <x v="40"/>
    <n v="6"/>
  </r>
  <r>
    <x v="0"/>
    <x v="0"/>
    <x v="7"/>
    <x v="40"/>
    <n v="9"/>
  </r>
  <r>
    <x v="1"/>
    <x v="0"/>
    <x v="8"/>
    <x v="40"/>
    <n v="115"/>
  </r>
  <r>
    <x v="2"/>
    <x v="2"/>
    <x v="9"/>
    <x v="40"/>
    <n v="14"/>
  </r>
  <r>
    <x v="2"/>
    <x v="2"/>
    <x v="10"/>
    <x v="41"/>
    <n v="138"/>
  </r>
  <r>
    <x v="2"/>
    <x v="2"/>
    <x v="11"/>
    <x v="41"/>
    <n v="23"/>
  </r>
  <r>
    <x v="1"/>
    <x v="2"/>
    <x v="9"/>
    <x v="41"/>
    <n v="17"/>
  </r>
  <r>
    <x v="2"/>
    <x v="2"/>
    <x v="12"/>
    <x v="42"/>
    <n v="29"/>
  </r>
  <r>
    <x v="0"/>
    <x v="1"/>
    <x v="13"/>
    <x v="42"/>
    <n v="40"/>
  </r>
  <r>
    <x v="2"/>
    <x v="1"/>
    <x v="13"/>
    <x v="42"/>
    <n v="46"/>
  </r>
  <r>
    <x v="0"/>
    <x v="0"/>
    <x v="14"/>
    <x v="43"/>
    <n v="46"/>
  </r>
  <r>
    <x v="1"/>
    <x v="2"/>
    <x v="11"/>
    <x v="43"/>
    <n v="26"/>
  </r>
  <r>
    <x v="0"/>
    <x v="1"/>
    <x v="1"/>
    <x v="43"/>
    <n v="12"/>
  </r>
  <r>
    <x v="0"/>
    <x v="0"/>
    <x v="0"/>
    <x v="44"/>
    <n v="12"/>
  </r>
  <r>
    <x v="1"/>
    <x v="2"/>
    <x v="2"/>
    <x v="45"/>
    <n v="24"/>
  </r>
  <r>
    <x v="0"/>
    <x v="0"/>
    <x v="7"/>
    <x v="45"/>
    <n v="8"/>
  </r>
  <r>
    <x v="0"/>
    <x v="0"/>
    <x v="4"/>
    <x v="46"/>
    <n v="63"/>
  </r>
  <r>
    <x v="1"/>
    <x v="2"/>
    <x v="9"/>
    <x v="47"/>
    <n v="14"/>
  </r>
  <r>
    <x v="1"/>
    <x v="2"/>
    <x v="12"/>
    <x v="47"/>
    <n v="29"/>
  </r>
  <r>
    <x v="1"/>
    <x v="1"/>
    <x v="13"/>
    <x v="47"/>
    <n v="52"/>
  </r>
  <r>
    <x v="1"/>
    <x v="2"/>
    <x v="15"/>
    <x v="48"/>
    <n v="29"/>
  </r>
  <r>
    <x v="0"/>
    <x v="1"/>
    <x v="3"/>
    <x v="49"/>
    <n v="29"/>
  </r>
  <r>
    <x v="2"/>
    <x v="2"/>
    <x v="5"/>
    <x v="49"/>
    <n v="109"/>
  </r>
  <r>
    <x v="2"/>
    <x v="0"/>
    <x v="14"/>
    <x v="49"/>
    <n v="58"/>
  </r>
  <r>
    <x v="1"/>
    <x v="2"/>
    <x v="11"/>
    <x v="50"/>
    <n v="29"/>
  </r>
  <r>
    <x v="2"/>
    <x v="2"/>
    <x v="15"/>
    <x v="50"/>
    <n v="31"/>
  </r>
  <r>
    <x v="0"/>
    <x v="0"/>
    <x v="6"/>
    <x v="51"/>
    <n v="5"/>
  </r>
  <r>
    <x v="0"/>
    <x v="0"/>
    <x v="8"/>
    <x v="52"/>
    <n v="127"/>
  </r>
  <r>
    <x v="1"/>
    <x v="2"/>
    <x v="10"/>
    <x v="53"/>
    <n v="150"/>
  </r>
  <r>
    <x v="1"/>
    <x v="2"/>
    <x v="15"/>
    <x v="54"/>
    <n v="32"/>
  </r>
  <r>
    <x v="0"/>
    <x v="0"/>
    <x v="0"/>
    <x v="55"/>
    <n v="9"/>
  </r>
  <r>
    <x v="1"/>
    <x v="2"/>
    <x v="2"/>
    <x v="56"/>
    <n v="23"/>
  </r>
  <r>
    <x v="0"/>
    <x v="1"/>
    <x v="1"/>
    <x v="56"/>
    <n v="17"/>
  </r>
  <r>
    <x v="1"/>
    <x v="0"/>
    <x v="14"/>
    <x v="57"/>
    <n v="52"/>
  </r>
  <r>
    <x v="2"/>
    <x v="2"/>
    <x v="9"/>
    <x v="58"/>
    <n v="15"/>
  </r>
  <r>
    <x v="1"/>
    <x v="1"/>
    <x v="13"/>
    <x v="58"/>
    <n v="40"/>
  </r>
  <r>
    <x v="0"/>
    <x v="1"/>
    <x v="3"/>
    <x v="59"/>
    <n v="35"/>
  </r>
  <r>
    <x v="0"/>
    <x v="0"/>
    <x v="7"/>
    <x v="60"/>
    <n v="8"/>
  </r>
  <r>
    <x v="1"/>
    <x v="2"/>
    <x v="5"/>
    <x v="60"/>
    <n v="104"/>
  </r>
  <r>
    <x v="2"/>
    <x v="2"/>
    <x v="11"/>
    <x v="60"/>
    <n v="23"/>
  </r>
  <r>
    <x v="0"/>
    <x v="0"/>
    <x v="6"/>
    <x v="61"/>
    <n v="7"/>
  </r>
  <r>
    <x v="0"/>
    <x v="0"/>
    <x v="8"/>
    <x v="61"/>
    <n v="109"/>
  </r>
  <r>
    <x v="1"/>
    <x v="2"/>
    <x v="12"/>
    <x v="61"/>
    <n v="35"/>
  </r>
  <r>
    <x v="1"/>
    <x v="2"/>
    <x v="10"/>
    <x v="62"/>
    <n v="155"/>
  </r>
  <r>
    <x v="2"/>
    <x v="2"/>
    <x v="5"/>
    <x v="63"/>
    <n v="98"/>
  </r>
  <r>
    <x v="0"/>
    <x v="0"/>
    <x v="0"/>
    <x v="63"/>
    <n v="10"/>
  </r>
  <r>
    <x v="2"/>
    <x v="2"/>
    <x v="15"/>
    <x v="63"/>
    <n v="31"/>
  </r>
  <r>
    <x v="0"/>
    <x v="0"/>
    <x v="6"/>
    <x v="64"/>
    <n v="6"/>
  </r>
  <r>
    <x v="0"/>
    <x v="0"/>
    <x v="14"/>
    <x v="64"/>
    <n v="58"/>
  </r>
  <r>
    <x v="0"/>
    <x v="0"/>
    <x v="4"/>
    <x v="65"/>
    <n v="58"/>
  </r>
  <r>
    <x v="2"/>
    <x v="0"/>
    <x v="8"/>
    <x v="66"/>
    <n v="144"/>
  </r>
  <r>
    <x v="2"/>
    <x v="2"/>
    <x v="9"/>
    <x v="66"/>
    <n v="17"/>
  </r>
  <r>
    <x v="2"/>
    <x v="1"/>
    <x v="13"/>
    <x v="66"/>
    <n v="52"/>
  </r>
  <r>
    <x v="0"/>
    <x v="1"/>
    <x v="1"/>
    <x v="66"/>
    <n v="12"/>
  </r>
  <r>
    <x v="1"/>
    <x v="2"/>
    <x v="5"/>
    <x v="67"/>
    <n v="109"/>
  </r>
  <r>
    <x v="2"/>
    <x v="2"/>
    <x v="11"/>
    <x v="67"/>
    <n v="22"/>
  </r>
  <r>
    <x v="0"/>
    <x v="1"/>
    <x v="3"/>
    <x v="68"/>
    <n v="29"/>
  </r>
  <r>
    <x v="2"/>
    <x v="2"/>
    <x v="10"/>
    <x v="69"/>
    <n v="144"/>
  </r>
  <r>
    <x v="0"/>
    <x v="0"/>
    <x v="6"/>
    <x v="69"/>
    <n v="5"/>
  </r>
  <r>
    <x v="0"/>
    <x v="0"/>
    <x v="14"/>
    <x v="69"/>
    <n v="52"/>
  </r>
  <r>
    <x v="2"/>
    <x v="2"/>
    <x v="2"/>
    <x v="70"/>
    <n v="29"/>
  </r>
  <r>
    <x v="0"/>
    <x v="0"/>
    <x v="6"/>
    <x v="70"/>
    <n v="7"/>
  </r>
  <r>
    <x v="1"/>
    <x v="2"/>
    <x v="15"/>
    <x v="71"/>
    <n v="33"/>
  </r>
  <r>
    <x v="0"/>
    <x v="0"/>
    <x v="0"/>
    <x v="72"/>
    <n v="8"/>
  </r>
  <r>
    <x v="0"/>
    <x v="1"/>
    <x v="1"/>
    <x v="73"/>
    <n v="16"/>
  </r>
  <r>
    <x v="1"/>
    <x v="2"/>
    <x v="2"/>
    <x v="74"/>
    <n v="23"/>
  </r>
  <r>
    <x v="0"/>
    <x v="1"/>
    <x v="3"/>
    <x v="74"/>
    <n v="37"/>
  </r>
  <r>
    <x v="0"/>
    <x v="0"/>
    <x v="4"/>
    <x v="75"/>
    <n v="47"/>
  </r>
  <r>
    <x v="1"/>
    <x v="2"/>
    <x v="5"/>
    <x v="75"/>
    <n v="89"/>
  </r>
  <r>
    <x v="0"/>
    <x v="0"/>
    <x v="0"/>
    <x v="75"/>
    <n v="7"/>
  </r>
  <r>
    <x v="0"/>
    <x v="0"/>
    <x v="6"/>
    <x v="76"/>
    <n v="5"/>
  </r>
  <r>
    <x v="0"/>
    <x v="0"/>
    <x v="7"/>
    <x v="76"/>
    <n v="8"/>
  </r>
  <r>
    <x v="1"/>
    <x v="0"/>
    <x v="8"/>
    <x v="76"/>
    <n v="105"/>
  </r>
  <r>
    <x v="1"/>
    <x v="2"/>
    <x v="9"/>
    <x v="76"/>
    <n v="13"/>
  </r>
  <r>
    <x v="1"/>
    <x v="2"/>
    <x v="10"/>
    <x v="77"/>
    <n v="126"/>
  </r>
  <r>
    <x v="1"/>
    <x v="2"/>
    <x v="11"/>
    <x v="77"/>
    <n v="21"/>
  </r>
  <r>
    <x v="2"/>
    <x v="2"/>
    <x v="9"/>
    <x v="77"/>
    <n v="16"/>
  </r>
  <r>
    <x v="2"/>
    <x v="2"/>
    <x v="12"/>
    <x v="78"/>
    <n v="26"/>
  </r>
  <r>
    <x v="1"/>
    <x v="1"/>
    <x v="13"/>
    <x v="78"/>
    <n v="37"/>
  </r>
  <r>
    <x v="0"/>
    <x v="1"/>
    <x v="13"/>
    <x v="78"/>
    <n v="42"/>
  </r>
  <r>
    <x v="2"/>
    <x v="0"/>
    <x v="14"/>
    <x v="79"/>
    <n v="42"/>
  </r>
  <r>
    <x v="2"/>
    <x v="2"/>
    <x v="11"/>
    <x v="79"/>
    <n v="24"/>
  </r>
  <r>
    <x v="0"/>
    <x v="1"/>
    <x v="1"/>
    <x v="79"/>
    <n v="11"/>
  </r>
  <r>
    <x v="0"/>
    <x v="0"/>
    <x v="0"/>
    <x v="80"/>
    <n v="11"/>
  </r>
  <r>
    <x v="1"/>
    <x v="2"/>
    <x v="2"/>
    <x v="81"/>
    <n v="22"/>
  </r>
  <r>
    <x v="0"/>
    <x v="0"/>
    <x v="7"/>
    <x v="81"/>
    <n v="7"/>
  </r>
  <r>
    <x v="0"/>
    <x v="0"/>
    <x v="4"/>
    <x v="82"/>
    <n v="58"/>
  </r>
  <r>
    <x v="2"/>
    <x v="2"/>
    <x v="9"/>
    <x v="83"/>
    <n v="13"/>
  </r>
  <r>
    <x v="1"/>
    <x v="2"/>
    <x v="12"/>
    <x v="83"/>
    <n v="26"/>
  </r>
  <r>
    <x v="0"/>
    <x v="1"/>
    <x v="13"/>
    <x v="83"/>
    <n v="47"/>
  </r>
  <r>
    <x v="1"/>
    <x v="2"/>
    <x v="15"/>
    <x v="84"/>
    <n v="26"/>
  </r>
  <r>
    <x v="0"/>
    <x v="1"/>
    <x v="3"/>
    <x v="85"/>
    <n v="26"/>
  </r>
  <r>
    <x v="2"/>
    <x v="2"/>
    <x v="5"/>
    <x v="85"/>
    <n v="100"/>
  </r>
  <r>
    <x v="1"/>
    <x v="0"/>
    <x v="14"/>
    <x v="85"/>
    <n v="53"/>
  </r>
  <r>
    <x v="2"/>
    <x v="2"/>
    <x v="11"/>
    <x v="86"/>
    <n v="26"/>
  </r>
  <r>
    <x v="2"/>
    <x v="2"/>
    <x v="15"/>
    <x v="86"/>
    <n v="28"/>
  </r>
  <r>
    <x v="0"/>
    <x v="0"/>
    <x v="6"/>
    <x v="87"/>
    <n v="4"/>
  </r>
  <r>
    <x v="0"/>
    <x v="0"/>
    <x v="8"/>
    <x v="88"/>
    <n v="116"/>
  </r>
  <r>
    <x v="1"/>
    <x v="2"/>
    <x v="10"/>
    <x v="89"/>
    <n v="137"/>
  </r>
  <r>
    <x v="1"/>
    <x v="2"/>
    <x v="15"/>
    <x v="90"/>
    <n v="29"/>
  </r>
  <r>
    <x v="0"/>
    <x v="0"/>
    <x v="0"/>
    <x v="91"/>
    <n v="8"/>
  </r>
  <r>
    <x v="2"/>
    <x v="2"/>
    <x v="2"/>
    <x v="92"/>
    <n v="21"/>
  </r>
  <r>
    <x v="0"/>
    <x v="1"/>
    <x v="1"/>
    <x v="92"/>
    <n v="16"/>
  </r>
  <r>
    <x v="0"/>
    <x v="0"/>
    <x v="14"/>
    <x v="93"/>
    <n v="47"/>
  </r>
  <r>
    <x v="1"/>
    <x v="2"/>
    <x v="9"/>
    <x v="94"/>
    <n v="14"/>
  </r>
  <r>
    <x v="2"/>
    <x v="1"/>
    <x v="13"/>
    <x v="94"/>
    <n v="37"/>
  </r>
  <r>
    <x v="0"/>
    <x v="1"/>
    <x v="3"/>
    <x v="95"/>
    <n v="32"/>
  </r>
  <r>
    <x v="0"/>
    <x v="0"/>
    <x v="7"/>
    <x v="96"/>
    <n v="7"/>
  </r>
  <r>
    <x v="1"/>
    <x v="2"/>
    <x v="5"/>
    <x v="96"/>
    <n v="95"/>
  </r>
  <r>
    <x v="1"/>
    <x v="2"/>
    <x v="11"/>
    <x v="96"/>
    <n v="21"/>
  </r>
  <r>
    <x v="0"/>
    <x v="0"/>
    <x v="6"/>
    <x v="97"/>
    <n v="6"/>
  </r>
  <r>
    <x v="0"/>
    <x v="0"/>
    <x v="8"/>
    <x v="97"/>
    <n v="100"/>
  </r>
  <r>
    <x v="1"/>
    <x v="2"/>
    <x v="12"/>
    <x v="97"/>
    <n v="32"/>
  </r>
  <r>
    <x v="2"/>
    <x v="2"/>
    <x v="10"/>
    <x v="98"/>
    <n v="142"/>
  </r>
  <r>
    <x v="1"/>
    <x v="2"/>
    <x v="5"/>
    <x v="99"/>
    <n v="89"/>
  </r>
  <r>
    <x v="0"/>
    <x v="0"/>
    <x v="0"/>
    <x v="99"/>
    <n v="9"/>
  </r>
  <r>
    <x v="2"/>
    <x v="2"/>
    <x v="15"/>
    <x v="99"/>
    <n v="28"/>
  </r>
  <r>
    <x v="0"/>
    <x v="0"/>
    <x v="6"/>
    <x v="100"/>
    <n v="5"/>
  </r>
  <r>
    <x v="0"/>
    <x v="0"/>
    <x v="14"/>
    <x v="100"/>
    <n v="53"/>
  </r>
  <r>
    <x v="0"/>
    <x v="0"/>
    <x v="4"/>
    <x v="101"/>
    <n v="53"/>
  </r>
  <r>
    <x v="2"/>
    <x v="0"/>
    <x v="8"/>
    <x v="102"/>
    <n v="131"/>
  </r>
  <r>
    <x v="1"/>
    <x v="2"/>
    <x v="9"/>
    <x v="102"/>
    <n v="16"/>
  </r>
  <r>
    <x v="1"/>
    <x v="1"/>
    <x v="13"/>
    <x v="102"/>
    <n v="47"/>
  </r>
  <r>
    <x v="0"/>
    <x v="1"/>
    <x v="1"/>
    <x v="102"/>
    <n v="11"/>
  </r>
  <r>
    <x v="2"/>
    <x v="2"/>
    <x v="5"/>
    <x v="103"/>
    <n v="100"/>
  </r>
  <r>
    <x v="1"/>
    <x v="2"/>
    <x v="11"/>
    <x v="103"/>
    <n v="20"/>
  </r>
  <r>
    <x v="0"/>
    <x v="1"/>
    <x v="3"/>
    <x v="104"/>
    <n v="26"/>
  </r>
  <r>
    <x v="1"/>
    <x v="2"/>
    <x v="10"/>
    <x v="105"/>
    <n v="131"/>
  </r>
  <r>
    <x v="0"/>
    <x v="0"/>
    <x v="6"/>
    <x v="105"/>
    <n v="4"/>
  </r>
  <r>
    <x v="1"/>
    <x v="0"/>
    <x v="14"/>
    <x v="105"/>
    <n v="47"/>
  </r>
  <r>
    <x v="1"/>
    <x v="2"/>
    <x v="2"/>
    <x v="106"/>
    <n v="26"/>
  </r>
  <r>
    <x v="0"/>
    <x v="0"/>
    <x v="6"/>
    <x v="106"/>
    <n v="6"/>
  </r>
  <r>
    <x v="1"/>
    <x v="0"/>
    <x v="16"/>
    <x v="105"/>
    <n v="47"/>
  </r>
  <r>
    <x v="3"/>
    <x v="0"/>
    <x v="16"/>
    <x v="105"/>
    <n v="1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
  <r>
    <x v="0"/>
    <x v="0"/>
    <x v="0"/>
    <x v="0"/>
    <n v="8"/>
  </r>
  <r>
    <x v="0"/>
    <x v="1"/>
    <x v="1"/>
    <x v="1"/>
    <n v="15"/>
  </r>
  <r>
    <x v="1"/>
    <x v="2"/>
    <x v="2"/>
    <x v="2"/>
    <n v="22"/>
  </r>
  <r>
    <x v="0"/>
    <x v="1"/>
    <x v="3"/>
    <x v="2"/>
    <n v="35"/>
  </r>
  <r>
    <x v="0"/>
    <x v="0"/>
    <x v="4"/>
    <x v="3"/>
    <n v="45"/>
  </r>
  <r>
    <x v="2"/>
    <x v="2"/>
    <x v="5"/>
    <x v="3"/>
    <n v="85"/>
  </r>
  <r>
    <x v="0"/>
    <x v="0"/>
    <x v="0"/>
    <x v="3"/>
    <n v="7"/>
  </r>
  <r>
    <x v="0"/>
    <x v="0"/>
    <x v="6"/>
    <x v="4"/>
    <n v="5"/>
  </r>
  <r>
    <x v="0"/>
    <x v="0"/>
    <x v="7"/>
    <x v="4"/>
    <n v="8"/>
  </r>
  <r>
    <x v="1"/>
    <x v="0"/>
    <x v="8"/>
    <x v="4"/>
    <n v="100"/>
  </r>
  <r>
    <x v="2"/>
    <x v="2"/>
    <x v="9"/>
    <x v="4"/>
    <n v="12"/>
  </r>
  <r>
    <x v="1"/>
    <x v="2"/>
    <x v="10"/>
    <x v="5"/>
    <n v="120"/>
  </r>
  <r>
    <x v="2"/>
    <x v="2"/>
    <x v="11"/>
    <x v="5"/>
    <n v="20"/>
  </r>
  <r>
    <x v="2"/>
    <x v="2"/>
    <x v="9"/>
    <x v="5"/>
    <n v="15"/>
  </r>
  <r>
    <x v="2"/>
    <x v="2"/>
    <x v="12"/>
    <x v="6"/>
    <n v="25"/>
  </r>
  <r>
    <x v="1"/>
    <x v="1"/>
    <x v="13"/>
    <x v="6"/>
    <n v="35"/>
  </r>
  <r>
    <x v="1"/>
    <x v="1"/>
    <x v="13"/>
    <x v="6"/>
    <n v="40"/>
  </r>
  <r>
    <x v="1"/>
    <x v="0"/>
    <x v="14"/>
    <x v="7"/>
    <n v="40"/>
  </r>
  <r>
    <x v="2"/>
    <x v="2"/>
    <x v="11"/>
    <x v="7"/>
    <n v="23"/>
  </r>
  <r>
    <x v="0"/>
    <x v="1"/>
    <x v="1"/>
    <x v="7"/>
    <n v="10"/>
  </r>
  <r>
    <x v="0"/>
    <x v="0"/>
    <x v="0"/>
    <x v="8"/>
    <n v="10"/>
  </r>
  <r>
    <x v="2"/>
    <x v="2"/>
    <x v="2"/>
    <x v="9"/>
    <n v="21"/>
  </r>
  <r>
    <x v="0"/>
    <x v="0"/>
    <x v="7"/>
    <x v="9"/>
    <n v="7"/>
  </r>
  <r>
    <x v="0"/>
    <x v="0"/>
    <x v="4"/>
    <x v="10"/>
    <n v="55"/>
  </r>
  <r>
    <x v="1"/>
    <x v="2"/>
    <x v="9"/>
    <x v="11"/>
    <n v="12"/>
  </r>
  <r>
    <x v="1"/>
    <x v="2"/>
    <x v="12"/>
    <x v="11"/>
    <n v="25"/>
  </r>
  <r>
    <x v="2"/>
    <x v="1"/>
    <x v="13"/>
    <x v="11"/>
    <n v="45"/>
  </r>
  <r>
    <x v="1"/>
    <x v="2"/>
    <x v="15"/>
    <x v="12"/>
    <n v="25"/>
  </r>
  <r>
    <x v="0"/>
    <x v="1"/>
    <x v="3"/>
    <x v="13"/>
    <n v="25"/>
  </r>
  <r>
    <x v="1"/>
    <x v="2"/>
    <x v="5"/>
    <x v="13"/>
    <n v="95"/>
  </r>
  <r>
    <x v="1"/>
    <x v="0"/>
    <x v="14"/>
    <x v="13"/>
    <n v="50"/>
  </r>
  <r>
    <x v="1"/>
    <x v="2"/>
    <x v="11"/>
    <x v="14"/>
    <n v="25"/>
  </r>
  <r>
    <x v="2"/>
    <x v="2"/>
    <x v="15"/>
    <x v="14"/>
    <n v="27"/>
  </r>
  <r>
    <x v="0"/>
    <x v="0"/>
    <x v="6"/>
    <x v="15"/>
    <n v="4"/>
  </r>
  <r>
    <x v="0"/>
    <x v="0"/>
    <x v="8"/>
    <x v="16"/>
    <n v="110"/>
  </r>
  <r>
    <x v="2"/>
    <x v="2"/>
    <x v="10"/>
    <x v="17"/>
    <n v="130"/>
  </r>
  <r>
    <x v="1"/>
    <x v="2"/>
    <x v="15"/>
    <x v="18"/>
    <n v="28"/>
  </r>
  <r>
    <x v="0"/>
    <x v="0"/>
    <x v="0"/>
    <x v="19"/>
    <n v="8"/>
  </r>
  <r>
    <x v="1"/>
    <x v="2"/>
    <x v="2"/>
    <x v="20"/>
    <n v="20"/>
  </r>
  <r>
    <x v="0"/>
    <x v="1"/>
    <x v="1"/>
    <x v="20"/>
    <n v="15"/>
  </r>
  <r>
    <x v="2"/>
    <x v="0"/>
    <x v="14"/>
    <x v="21"/>
    <n v="45"/>
  </r>
  <r>
    <x v="1"/>
    <x v="2"/>
    <x v="9"/>
    <x v="22"/>
    <n v="13"/>
  </r>
  <r>
    <x v="1"/>
    <x v="1"/>
    <x v="13"/>
    <x v="22"/>
    <n v="35"/>
  </r>
  <r>
    <x v="0"/>
    <x v="1"/>
    <x v="3"/>
    <x v="23"/>
    <n v="30"/>
  </r>
  <r>
    <x v="0"/>
    <x v="0"/>
    <x v="7"/>
    <x v="24"/>
    <n v="7"/>
  </r>
  <r>
    <x v="1"/>
    <x v="2"/>
    <x v="5"/>
    <x v="24"/>
    <n v="90"/>
  </r>
  <r>
    <x v="1"/>
    <x v="2"/>
    <x v="11"/>
    <x v="24"/>
    <n v="20"/>
  </r>
  <r>
    <x v="0"/>
    <x v="0"/>
    <x v="6"/>
    <x v="25"/>
    <n v="6"/>
  </r>
  <r>
    <x v="0"/>
    <x v="0"/>
    <x v="8"/>
    <x v="25"/>
    <n v="95"/>
  </r>
  <r>
    <x v="1"/>
    <x v="2"/>
    <x v="12"/>
    <x v="25"/>
    <n v="30"/>
  </r>
  <r>
    <x v="1"/>
    <x v="2"/>
    <x v="10"/>
    <x v="26"/>
    <n v="135"/>
  </r>
  <r>
    <x v="2"/>
    <x v="2"/>
    <x v="5"/>
    <x v="27"/>
    <n v="85"/>
  </r>
  <r>
    <x v="0"/>
    <x v="0"/>
    <x v="0"/>
    <x v="27"/>
    <n v="9"/>
  </r>
  <r>
    <x v="2"/>
    <x v="2"/>
    <x v="15"/>
    <x v="27"/>
    <n v="27"/>
  </r>
  <r>
    <x v="0"/>
    <x v="0"/>
    <x v="6"/>
    <x v="28"/>
    <n v="5"/>
  </r>
  <r>
    <x v="1"/>
    <x v="0"/>
    <x v="14"/>
    <x v="28"/>
    <n v="50"/>
  </r>
  <r>
    <x v="0"/>
    <x v="0"/>
    <x v="4"/>
    <x v="29"/>
    <n v="50"/>
  </r>
  <r>
    <x v="2"/>
    <x v="0"/>
    <x v="8"/>
    <x v="30"/>
    <n v="125"/>
  </r>
  <r>
    <x v="2"/>
    <x v="2"/>
    <x v="9"/>
    <x v="30"/>
    <n v="15"/>
  </r>
  <r>
    <x v="0"/>
    <x v="1"/>
    <x v="13"/>
    <x v="30"/>
    <n v="45"/>
  </r>
  <r>
    <x v="0"/>
    <x v="1"/>
    <x v="1"/>
    <x v="30"/>
    <n v="10"/>
  </r>
  <r>
    <x v="1"/>
    <x v="2"/>
    <x v="5"/>
    <x v="31"/>
    <n v="95"/>
  </r>
  <r>
    <x v="2"/>
    <x v="2"/>
    <x v="11"/>
    <x v="31"/>
    <n v="19"/>
  </r>
  <r>
    <x v="0"/>
    <x v="1"/>
    <x v="3"/>
    <x v="32"/>
    <n v="25"/>
  </r>
  <r>
    <x v="1"/>
    <x v="2"/>
    <x v="10"/>
    <x v="33"/>
    <n v="125"/>
  </r>
  <r>
    <x v="0"/>
    <x v="0"/>
    <x v="6"/>
    <x v="33"/>
    <n v="4"/>
  </r>
  <r>
    <x v="0"/>
    <x v="0"/>
    <x v="14"/>
    <x v="33"/>
    <n v="45"/>
  </r>
  <r>
    <x v="1"/>
    <x v="2"/>
    <x v="2"/>
    <x v="34"/>
    <n v="25"/>
  </r>
  <r>
    <x v="0"/>
    <x v="0"/>
    <x v="6"/>
    <x v="34"/>
    <n v="6"/>
  </r>
  <r>
    <x v="1"/>
    <x v="2"/>
    <x v="15"/>
    <x v="35"/>
    <n v="29"/>
  </r>
  <r>
    <x v="0"/>
    <x v="0"/>
    <x v="0"/>
    <x v="36"/>
    <n v="9"/>
  </r>
  <r>
    <x v="0"/>
    <x v="1"/>
    <x v="1"/>
    <x v="37"/>
    <n v="17"/>
  </r>
  <r>
    <x v="2"/>
    <x v="2"/>
    <x v="2"/>
    <x v="38"/>
    <n v="25"/>
  </r>
  <r>
    <x v="0"/>
    <x v="1"/>
    <x v="3"/>
    <x v="38"/>
    <n v="40"/>
  </r>
  <r>
    <x v="0"/>
    <x v="0"/>
    <x v="4"/>
    <x v="39"/>
    <n v="52"/>
  </r>
  <r>
    <x v="1"/>
    <x v="2"/>
    <x v="5"/>
    <x v="39"/>
    <n v="98"/>
  </r>
  <r>
    <x v="0"/>
    <x v="0"/>
    <x v="0"/>
    <x v="39"/>
    <n v="8"/>
  </r>
  <r>
    <x v="0"/>
    <x v="0"/>
    <x v="6"/>
    <x v="40"/>
    <n v="6"/>
  </r>
  <r>
    <x v="0"/>
    <x v="0"/>
    <x v="7"/>
    <x v="40"/>
    <n v="9"/>
  </r>
  <r>
    <x v="1"/>
    <x v="0"/>
    <x v="8"/>
    <x v="40"/>
    <n v="115"/>
  </r>
  <r>
    <x v="2"/>
    <x v="2"/>
    <x v="9"/>
    <x v="40"/>
    <n v="14"/>
  </r>
  <r>
    <x v="2"/>
    <x v="2"/>
    <x v="10"/>
    <x v="41"/>
    <n v="138"/>
  </r>
  <r>
    <x v="2"/>
    <x v="2"/>
    <x v="11"/>
    <x v="41"/>
    <n v="23"/>
  </r>
  <r>
    <x v="1"/>
    <x v="2"/>
    <x v="9"/>
    <x v="41"/>
    <n v="17"/>
  </r>
  <r>
    <x v="2"/>
    <x v="2"/>
    <x v="12"/>
    <x v="42"/>
    <n v="29"/>
  </r>
  <r>
    <x v="0"/>
    <x v="1"/>
    <x v="13"/>
    <x v="42"/>
    <n v="40"/>
  </r>
  <r>
    <x v="2"/>
    <x v="1"/>
    <x v="13"/>
    <x v="42"/>
    <n v="46"/>
  </r>
  <r>
    <x v="0"/>
    <x v="0"/>
    <x v="14"/>
    <x v="43"/>
    <n v="46"/>
  </r>
  <r>
    <x v="1"/>
    <x v="2"/>
    <x v="11"/>
    <x v="43"/>
    <n v="26"/>
  </r>
  <r>
    <x v="0"/>
    <x v="1"/>
    <x v="1"/>
    <x v="43"/>
    <n v="12"/>
  </r>
  <r>
    <x v="0"/>
    <x v="0"/>
    <x v="0"/>
    <x v="44"/>
    <n v="12"/>
  </r>
  <r>
    <x v="1"/>
    <x v="2"/>
    <x v="2"/>
    <x v="45"/>
    <n v="24"/>
  </r>
  <r>
    <x v="0"/>
    <x v="0"/>
    <x v="7"/>
    <x v="45"/>
    <n v="8"/>
  </r>
  <r>
    <x v="0"/>
    <x v="0"/>
    <x v="4"/>
    <x v="46"/>
    <n v="63"/>
  </r>
  <r>
    <x v="1"/>
    <x v="2"/>
    <x v="9"/>
    <x v="47"/>
    <n v="14"/>
  </r>
  <r>
    <x v="1"/>
    <x v="2"/>
    <x v="12"/>
    <x v="47"/>
    <n v="29"/>
  </r>
  <r>
    <x v="1"/>
    <x v="1"/>
    <x v="13"/>
    <x v="47"/>
    <n v="52"/>
  </r>
  <r>
    <x v="1"/>
    <x v="2"/>
    <x v="15"/>
    <x v="48"/>
    <n v="29"/>
  </r>
  <r>
    <x v="0"/>
    <x v="1"/>
    <x v="3"/>
    <x v="49"/>
    <n v="29"/>
  </r>
  <r>
    <x v="2"/>
    <x v="2"/>
    <x v="5"/>
    <x v="49"/>
    <n v="109"/>
  </r>
  <r>
    <x v="2"/>
    <x v="0"/>
    <x v="14"/>
    <x v="49"/>
    <n v="58"/>
  </r>
  <r>
    <x v="1"/>
    <x v="2"/>
    <x v="11"/>
    <x v="50"/>
    <n v="29"/>
  </r>
  <r>
    <x v="2"/>
    <x v="2"/>
    <x v="15"/>
    <x v="50"/>
    <n v="31"/>
  </r>
  <r>
    <x v="0"/>
    <x v="0"/>
    <x v="6"/>
    <x v="51"/>
    <n v="5"/>
  </r>
  <r>
    <x v="0"/>
    <x v="0"/>
    <x v="8"/>
    <x v="52"/>
    <n v="127"/>
  </r>
  <r>
    <x v="1"/>
    <x v="2"/>
    <x v="10"/>
    <x v="53"/>
    <n v="150"/>
  </r>
  <r>
    <x v="1"/>
    <x v="2"/>
    <x v="15"/>
    <x v="54"/>
    <n v="32"/>
  </r>
  <r>
    <x v="0"/>
    <x v="0"/>
    <x v="0"/>
    <x v="55"/>
    <n v="9"/>
  </r>
  <r>
    <x v="1"/>
    <x v="2"/>
    <x v="2"/>
    <x v="56"/>
    <n v="23"/>
  </r>
  <r>
    <x v="0"/>
    <x v="1"/>
    <x v="1"/>
    <x v="56"/>
    <n v="17"/>
  </r>
  <r>
    <x v="1"/>
    <x v="0"/>
    <x v="14"/>
    <x v="57"/>
    <n v="52"/>
  </r>
  <r>
    <x v="2"/>
    <x v="2"/>
    <x v="9"/>
    <x v="58"/>
    <n v="15"/>
  </r>
  <r>
    <x v="1"/>
    <x v="1"/>
    <x v="13"/>
    <x v="58"/>
    <n v="40"/>
  </r>
  <r>
    <x v="0"/>
    <x v="1"/>
    <x v="3"/>
    <x v="59"/>
    <n v="35"/>
  </r>
  <r>
    <x v="0"/>
    <x v="0"/>
    <x v="7"/>
    <x v="60"/>
    <n v="8"/>
  </r>
  <r>
    <x v="1"/>
    <x v="2"/>
    <x v="5"/>
    <x v="60"/>
    <n v="104"/>
  </r>
  <r>
    <x v="2"/>
    <x v="2"/>
    <x v="11"/>
    <x v="60"/>
    <n v="23"/>
  </r>
  <r>
    <x v="0"/>
    <x v="0"/>
    <x v="6"/>
    <x v="61"/>
    <n v="7"/>
  </r>
  <r>
    <x v="0"/>
    <x v="0"/>
    <x v="8"/>
    <x v="61"/>
    <n v="109"/>
  </r>
  <r>
    <x v="1"/>
    <x v="2"/>
    <x v="12"/>
    <x v="61"/>
    <n v="35"/>
  </r>
  <r>
    <x v="1"/>
    <x v="2"/>
    <x v="10"/>
    <x v="62"/>
    <n v="155"/>
  </r>
  <r>
    <x v="2"/>
    <x v="2"/>
    <x v="5"/>
    <x v="63"/>
    <n v="98"/>
  </r>
  <r>
    <x v="0"/>
    <x v="0"/>
    <x v="0"/>
    <x v="63"/>
    <n v="10"/>
  </r>
  <r>
    <x v="2"/>
    <x v="2"/>
    <x v="15"/>
    <x v="63"/>
    <n v="31"/>
  </r>
  <r>
    <x v="0"/>
    <x v="0"/>
    <x v="6"/>
    <x v="64"/>
    <n v="6"/>
  </r>
  <r>
    <x v="0"/>
    <x v="0"/>
    <x v="14"/>
    <x v="64"/>
    <n v="58"/>
  </r>
  <r>
    <x v="0"/>
    <x v="0"/>
    <x v="4"/>
    <x v="65"/>
    <n v="58"/>
  </r>
  <r>
    <x v="2"/>
    <x v="0"/>
    <x v="8"/>
    <x v="66"/>
    <n v="144"/>
  </r>
  <r>
    <x v="2"/>
    <x v="2"/>
    <x v="9"/>
    <x v="66"/>
    <n v="17"/>
  </r>
  <r>
    <x v="2"/>
    <x v="1"/>
    <x v="13"/>
    <x v="66"/>
    <n v="52"/>
  </r>
  <r>
    <x v="0"/>
    <x v="1"/>
    <x v="1"/>
    <x v="66"/>
    <n v="12"/>
  </r>
  <r>
    <x v="1"/>
    <x v="2"/>
    <x v="5"/>
    <x v="67"/>
    <n v="109"/>
  </r>
  <r>
    <x v="2"/>
    <x v="2"/>
    <x v="11"/>
    <x v="67"/>
    <n v="22"/>
  </r>
  <r>
    <x v="0"/>
    <x v="1"/>
    <x v="3"/>
    <x v="68"/>
    <n v="29"/>
  </r>
  <r>
    <x v="2"/>
    <x v="2"/>
    <x v="10"/>
    <x v="69"/>
    <n v="144"/>
  </r>
  <r>
    <x v="0"/>
    <x v="0"/>
    <x v="6"/>
    <x v="69"/>
    <n v="5"/>
  </r>
  <r>
    <x v="0"/>
    <x v="0"/>
    <x v="14"/>
    <x v="69"/>
    <n v="52"/>
  </r>
  <r>
    <x v="2"/>
    <x v="2"/>
    <x v="2"/>
    <x v="70"/>
    <n v="29"/>
  </r>
  <r>
    <x v="0"/>
    <x v="0"/>
    <x v="6"/>
    <x v="70"/>
    <n v="7"/>
  </r>
  <r>
    <x v="1"/>
    <x v="2"/>
    <x v="15"/>
    <x v="71"/>
    <n v="33"/>
  </r>
  <r>
    <x v="0"/>
    <x v="0"/>
    <x v="0"/>
    <x v="72"/>
    <n v="8"/>
  </r>
  <r>
    <x v="0"/>
    <x v="1"/>
    <x v="1"/>
    <x v="73"/>
    <n v="16"/>
  </r>
  <r>
    <x v="1"/>
    <x v="2"/>
    <x v="2"/>
    <x v="74"/>
    <n v="23"/>
  </r>
  <r>
    <x v="0"/>
    <x v="1"/>
    <x v="3"/>
    <x v="74"/>
    <n v="37"/>
  </r>
  <r>
    <x v="0"/>
    <x v="0"/>
    <x v="4"/>
    <x v="75"/>
    <n v="47"/>
  </r>
  <r>
    <x v="1"/>
    <x v="2"/>
    <x v="5"/>
    <x v="75"/>
    <n v="89"/>
  </r>
  <r>
    <x v="0"/>
    <x v="0"/>
    <x v="0"/>
    <x v="75"/>
    <n v="7"/>
  </r>
  <r>
    <x v="0"/>
    <x v="0"/>
    <x v="6"/>
    <x v="76"/>
    <n v="5"/>
  </r>
  <r>
    <x v="0"/>
    <x v="0"/>
    <x v="7"/>
    <x v="76"/>
    <n v="8"/>
  </r>
  <r>
    <x v="1"/>
    <x v="0"/>
    <x v="8"/>
    <x v="76"/>
    <n v="105"/>
  </r>
  <r>
    <x v="1"/>
    <x v="2"/>
    <x v="9"/>
    <x v="76"/>
    <n v="13"/>
  </r>
  <r>
    <x v="1"/>
    <x v="2"/>
    <x v="10"/>
    <x v="77"/>
    <n v="126"/>
  </r>
  <r>
    <x v="1"/>
    <x v="2"/>
    <x v="11"/>
    <x v="77"/>
    <n v="21"/>
  </r>
  <r>
    <x v="2"/>
    <x v="2"/>
    <x v="9"/>
    <x v="77"/>
    <n v="16"/>
  </r>
  <r>
    <x v="2"/>
    <x v="2"/>
    <x v="12"/>
    <x v="78"/>
    <n v="26"/>
  </r>
  <r>
    <x v="1"/>
    <x v="1"/>
    <x v="13"/>
    <x v="78"/>
    <n v="37"/>
  </r>
  <r>
    <x v="0"/>
    <x v="1"/>
    <x v="13"/>
    <x v="78"/>
    <n v="42"/>
  </r>
  <r>
    <x v="2"/>
    <x v="0"/>
    <x v="14"/>
    <x v="79"/>
    <n v="42"/>
  </r>
  <r>
    <x v="2"/>
    <x v="2"/>
    <x v="11"/>
    <x v="79"/>
    <n v="24"/>
  </r>
  <r>
    <x v="0"/>
    <x v="1"/>
    <x v="1"/>
    <x v="79"/>
    <n v="11"/>
  </r>
  <r>
    <x v="0"/>
    <x v="0"/>
    <x v="0"/>
    <x v="80"/>
    <n v="11"/>
  </r>
  <r>
    <x v="1"/>
    <x v="2"/>
    <x v="2"/>
    <x v="81"/>
    <n v="22"/>
  </r>
  <r>
    <x v="0"/>
    <x v="0"/>
    <x v="7"/>
    <x v="81"/>
    <n v="7"/>
  </r>
  <r>
    <x v="0"/>
    <x v="0"/>
    <x v="4"/>
    <x v="82"/>
    <n v="58"/>
  </r>
  <r>
    <x v="2"/>
    <x v="2"/>
    <x v="9"/>
    <x v="83"/>
    <n v="13"/>
  </r>
  <r>
    <x v="1"/>
    <x v="2"/>
    <x v="12"/>
    <x v="83"/>
    <n v="26"/>
  </r>
  <r>
    <x v="0"/>
    <x v="1"/>
    <x v="13"/>
    <x v="83"/>
    <n v="47"/>
  </r>
  <r>
    <x v="1"/>
    <x v="2"/>
    <x v="15"/>
    <x v="84"/>
    <n v="26"/>
  </r>
  <r>
    <x v="0"/>
    <x v="1"/>
    <x v="3"/>
    <x v="85"/>
    <n v="26"/>
  </r>
  <r>
    <x v="2"/>
    <x v="2"/>
    <x v="5"/>
    <x v="85"/>
    <n v="100"/>
  </r>
  <r>
    <x v="1"/>
    <x v="0"/>
    <x v="14"/>
    <x v="85"/>
    <n v="53"/>
  </r>
  <r>
    <x v="2"/>
    <x v="2"/>
    <x v="11"/>
    <x v="86"/>
    <n v="26"/>
  </r>
  <r>
    <x v="2"/>
    <x v="2"/>
    <x v="15"/>
    <x v="86"/>
    <n v="28"/>
  </r>
  <r>
    <x v="0"/>
    <x v="0"/>
    <x v="6"/>
    <x v="87"/>
    <n v="4"/>
  </r>
  <r>
    <x v="0"/>
    <x v="0"/>
    <x v="8"/>
    <x v="88"/>
    <n v="116"/>
  </r>
  <r>
    <x v="1"/>
    <x v="2"/>
    <x v="10"/>
    <x v="89"/>
    <n v="137"/>
  </r>
  <r>
    <x v="1"/>
    <x v="2"/>
    <x v="15"/>
    <x v="90"/>
    <n v="29"/>
  </r>
  <r>
    <x v="0"/>
    <x v="0"/>
    <x v="0"/>
    <x v="91"/>
    <n v="8"/>
  </r>
  <r>
    <x v="2"/>
    <x v="2"/>
    <x v="2"/>
    <x v="92"/>
    <n v="21"/>
  </r>
  <r>
    <x v="0"/>
    <x v="1"/>
    <x v="1"/>
    <x v="92"/>
    <n v="16"/>
  </r>
  <r>
    <x v="0"/>
    <x v="0"/>
    <x v="14"/>
    <x v="93"/>
    <n v="47"/>
  </r>
  <r>
    <x v="1"/>
    <x v="2"/>
    <x v="9"/>
    <x v="94"/>
    <n v="14"/>
  </r>
  <r>
    <x v="2"/>
    <x v="1"/>
    <x v="13"/>
    <x v="94"/>
    <n v="37"/>
  </r>
  <r>
    <x v="0"/>
    <x v="1"/>
    <x v="3"/>
    <x v="95"/>
    <n v="32"/>
  </r>
  <r>
    <x v="0"/>
    <x v="0"/>
    <x v="7"/>
    <x v="96"/>
    <n v="7"/>
  </r>
  <r>
    <x v="1"/>
    <x v="2"/>
    <x v="5"/>
    <x v="96"/>
    <n v="95"/>
  </r>
  <r>
    <x v="1"/>
    <x v="2"/>
    <x v="11"/>
    <x v="96"/>
    <n v="21"/>
  </r>
  <r>
    <x v="0"/>
    <x v="0"/>
    <x v="6"/>
    <x v="97"/>
    <n v="6"/>
  </r>
  <r>
    <x v="0"/>
    <x v="0"/>
    <x v="8"/>
    <x v="97"/>
    <n v="100"/>
  </r>
  <r>
    <x v="1"/>
    <x v="2"/>
    <x v="12"/>
    <x v="97"/>
    <n v="32"/>
  </r>
  <r>
    <x v="2"/>
    <x v="2"/>
    <x v="10"/>
    <x v="98"/>
    <n v="142"/>
  </r>
  <r>
    <x v="1"/>
    <x v="2"/>
    <x v="5"/>
    <x v="99"/>
    <n v="89"/>
  </r>
  <r>
    <x v="0"/>
    <x v="0"/>
    <x v="0"/>
    <x v="99"/>
    <n v="9"/>
  </r>
  <r>
    <x v="2"/>
    <x v="2"/>
    <x v="15"/>
    <x v="99"/>
    <n v="28"/>
  </r>
  <r>
    <x v="0"/>
    <x v="0"/>
    <x v="6"/>
    <x v="100"/>
    <n v="5"/>
  </r>
  <r>
    <x v="0"/>
    <x v="0"/>
    <x v="14"/>
    <x v="100"/>
    <n v="53"/>
  </r>
  <r>
    <x v="0"/>
    <x v="0"/>
    <x v="4"/>
    <x v="101"/>
    <n v="53"/>
  </r>
  <r>
    <x v="2"/>
    <x v="0"/>
    <x v="8"/>
    <x v="102"/>
    <n v="131"/>
  </r>
  <r>
    <x v="1"/>
    <x v="2"/>
    <x v="9"/>
    <x v="102"/>
    <n v="16"/>
  </r>
  <r>
    <x v="1"/>
    <x v="1"/>
    <x v="13"/>
    <x v="102"/>
    <n v="47"/>
  </r>
  <r>
    <x v="0"/>
    <x v="1"/>
    <x v="1"/>
    <x v="102"/>
    <n v="11"/>
  </r>
  <r>
    <x v="2"/>
    <x v="2"/>
    <x v="5"/>
    <x v="103"/>
    <n v="100"/>
  </r>
  <r>
    <x v="1"/>
    <x v="2"/>
    <x v="11"/>
    <x v="103"/>
    <n v="20"/>
  </r>
  <r>
    <x v="0"/>
    <x v="1"/>
    <x v="3"/>
    <x v="104"/>
    <n v="26"/>
  </r>
  <r>
    <x v="1"/>
    <x v="2"/>
    <x v="10"/>
    <x v="105"/>
    <n v="131"/>
  </r>
  <r>
    <x v="0"/>
    <x v="0"/>
    <x v="6"/>
    <x v="105"/>
    <n v="4"/>
  </r>
  <r>
    <x v="1"/>
    <x v="0"/>
    <x v="14"/>
    <x v="105"/>
    <n v="47"/>
  </r>
  <r>
    <x v="1"/>
    <x v="2"/>
    <x v="2"/>
    <x v="106"/>
    <n v="26"/>
  </r>
  <r>
    <x v="0"/>
    <x v="0"/>
    <x v="6"/>
    <x v="106"/>
    <n v="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
  <r>
    <x v="0"/>
    <x v="0"/>
    <x v="0"/>
    <x v="0"/>
    <n v="8"/>
  </r>
  <r>
    <x v="0"/>
    <x v="1"/>
    <x v="1"/>
    <x v="1"/>
    <n v="15"/>
  </r>
  <r>
    <x v="1"/>
    <x v="2"/>
    <x v="2"/>
    <x v="2"/>
    <n v="22"/>
  </r>
  <r>
    <x v="0"/>
    <x v="1"/>
    <x v="3"/>
    <x v="2"/>
    <n v="35"/>
  </r>
  <r>
    <x v="0"/>
    <x v="0"/>
    <x v="4"/>
    <x v="3"/>
    <n v="45"/>
  </r>
  <r>
    <x v="2"/>
    <x v="2"/>
    <x v="5"/>
    <x v="3"/>
    <n v="85"/>
  </r>
  <r>
    <x v="0"/>
    <x v="0"/>
    <x v="0"/>
    <x v="3"/>
    <n v="7"/>
  </r>
  <r>
    <x v="0"/>
    <x v="0"/>
    <x v="6"/>
    <x v="4"/>
    <n v="5"/>
  </r>
  <r>
    <x v="0"/>
    <x v="0"/>
    <x v="7"/>
    <x v="4"/>
    <n v="8"/>
  </r>
  <r>
    <x v="1"/>
    <x v="0"/>
    <x v="8"/>
    <x v="4"/>
    <n v="100"/>
  </r>
  <r>
    <x v="2"/>
    <x v="2"/>
    <x v="9"/>
    <x v="4"/>
    <n v="12"/>
  </r>
  <r>
    <x v="1"/>
    <x v="2"/>
    <x v="10"/>
    <x v="5"/>
    <n v="120"/>
  </r>
  <r>
    <x v="2"/>
    <x v="2"/>
    <x v="11"/>
    <x v="5"/>
    <n v="20"/>
  </r>
  <r>
    <x v="2"/>
    <x v="2"/>
    <x v="9"/>
    <x v="5"/>
    <n v="15"/>
  </r>
  <r>
    <x v="2"/>
    <x v="2"/>
    <x v="12"/>
    <x v="6"/>
    <n v="25"/>
  </r>
  <r>
    <x v="1"/>
    <x v="1"/>
    <x v="13"/>
    <x v="6"/>
    <n v="35"/>
  </r>
  <r>
    <x v="1"/>
    <x v="1"/>
    <x v="13"/>
    <x v="6"/>
    <n v="40"/>
  </r>
  <r>
    <x v="1"/>
    <x v="0"/>
    <x v="14"/>
    <x v="7"/>
    <n v="40"/>
  </r>
  <r>
    <x v="2"/>
    <x v="2"/>
    <x v="11"/>
    <x v="7"/>
    <n v="23"/>
  </r>
  <r>
    <x v="0"/>
    <x v="1"/>
    <x v="1"/>
    <x v="7"/>
    <n v="10"/>
  </r>
  <r>
    <x v="0"/>
    <x v="0"/>
    <x v="0"/>
    <x v="8"/>
    <n v="10"/>
  </r>
  <r>
    <x v="2"/>
    <x v="2"/>
    <x v="2"/>
    <x v="9"/>
    <n v="21"/>
  </r>
  <r>
    <x v="0"/>
    <x v="0"/>
    <x v="7"/>
    <x v="9"/>
    <n v="7"/>
  </r>
  <r>
    <x v="0"/>
    <x v="0"/>
    <x v="4"/>
    <x v="10"/>
    <n v="55"/>
  </r>
  <r>
    <x v="1"/>
    <x v="2"/>
    <x v="9"/>
    <x v="11"/>
    <n v="12"/>
  </r>
  <r>
    <x v="1"/>
    <x v="2"/>
    <x v="12"/>
    <x v="11"/>
    <n v="25"/>
  </r>
  <r>
    <x v="2"/>
    <x v="1"/>
    <x v="13"/>
    <x v="11"/>
    <n v="45"/>
  </r>
  <r>
    <x v="1"/>
    <x v="2"/>
    <x v="15"/>
    <x v="12"/>
    <n v="25"/>
  </r>
  <r>
    <x v="0"/>
    <x v="1"/>
    <x v="3"/>
    <x v="13"/>
    <n v="25"/>
  </r>
  <r>
    <x v="1"/>
    <x v="2"/>
    <x v="5"/>
    <x v="13"/>
    <n v="95"/>
  </r>
  <r>
    <x v="1"/>
    <x v="0"/>
    <x v="14"/>
    <x v="13"/>
    <n v="50"/>
  </r>
  <r>
    <x v="1"/>
    <x v="2"/>
    <x v="11"/>
    <x v="14"/>
    <n v="25"/>
  </r>
  <r>
    <x v="2"/>
    <x v="2"/>
    <x v="15"/>
    <x v="14"/>
    <n v="27"/>
  </r>
  <r>
    <x v="0"/>
    <x v="0"/>
    <x v="6"/>
    <x v="15"/>
    <n v="4"/>
  </r>
  <r>
    <x v="0"/>
    <x v="0"/>
    <x v="8"/>
    <x v="16"/>
    <n v="110"/>
  </r>
  <r>
    <x v="2"/>
    <x v="2"/>
    <x v="10"/>
    <x v="17"/>
    <n v="130"/>
  </r>
  <r>
    <x v="1"/>
    <x v="2"/>
    <x v="15"/>
    <x v="18"/>
    <n v="28"/>
  </r>
  <r>
    <x v="0"/>
    <x v="0"/>
    <x v="0"/>
    <x v="19"/>
    <n v="8"/>
  </r>
  <r>
    <x v="1"/>
    <x v="2"/>
    <x v="2"/>
    <x v="20"/>
    <n v="20"/>
  </r>
  <r>
    <x v="0"/>
    <x v="1"/>
    <x v="1"/>
    <x v="20"/>
    <n v="15"/>
  </r>
  <r>
    <x v="2"/>
    <x v="0"/>
    <x v="14"/>
    <x v="21"/>
    <n v="45"/>
  </r>
  <r>
    <x v="1"/>
    <x v="2"/>
    <x v="9"/>
    <x v="22"/>
    <n v="13"/>
  </r>
  <r>
    <x v="1"/>
    <x v="1"/>
    <x v="13"/>
    <x v="22"/>
    <n v="35"/>
  </r>
  <r>
    <x v="0"/>
    <x v="1"/>
    <x v="3"/>
    <x v="23"/>
    <n v="30"/>
  </r>
  <r>
    <x v="0"/>
    <x v="0"/>
    <x v="7"/>
    <x v="24"/>
    <n v="7"/>
  </r>
  <r>
    <x v="1"/>
    <x v="2"/>
    <x v="5"/>
    <x v="24"/>
    <n v="90"/>
  </r>
  <r>
    <x v="1"/>
    <x v="2"/>
    <x v="11"/>
    <x v="24"/>
    <n v="20"/>
  </r>
  <r>
    <x v="0"/>
    <x v="0"/>
    <x v="6"/>
    <x v="25"/>
    <n v="6"/>
  </r>
  <r>
    <x v="0"/>
    <x v="0"/>
    <x v="8"/>
    <x v="25"/>
    <n v="95"/>
  </r>
  <r>
    <x v="1"/>
    <x v="2"/>
    <x v="12"/>
    <x v="25"/>
    <n v="30"/>
  </r>
  <r>
    <x v="1"/>
    <x v="2"/>
    <x v="10"/>
    <x v="26"/>
    <n v="135"/>
  </r>
  <r>
    <x v="2"/>
    <x v="2"/>
    <x v="5"/>
    <x v="27"/>
    <n v="85"/>
  </r>
  <r>
    <x v="0"/>
    <x v="0"/>
    <x v="0"/>
    <x v="27"/>
    <n v="9"/>
  </r>
  <r>
    <x v="2"/>
    <x v="2"/>
    <x v="15"/>
    <x v="27"/>
    <n v="27"/>
  </r>
  <r>
    <x v="0"/>
    <x v="0"/>
    <x v="6"/>
    <x v="28"/>
    <n v="5"/>
  </r>
  <r>
    <x v="1"/>
    <x v="0"/>
    <x v="14"/>
    <x v="28"/>
    <n v="50"/>
  </r>
  <r>
    <x v="0"/>
    <x v="0"/>
    <x v="4"/>
    <x v="29"/>
    <n v="50"/>
  </r>
  <r>
    <x v="2"/>
    <x v="0"/>
    <x v="8"/>
    <x v="30"/>
    <n v="125"/>
  </r>
  <r>
    <x v="2"/>
    <x v="2"/>
    <x v="9"/>
    <x v="30"/>
    <n v="15"/>
  </r>
  <r>
    <x v="0"/>
    <x v="1"/>
    <x v="13"/>
    <x v="30"/>
    <n v="45"/>
  </r>
  <r>
    <x v="0"/>
    <x v="1"/>
    <x v="1"/>
    <x v="30"/>
    <n v="10"/>
  </r>
  <r>
    <x v="1"/>
    <x v="2"/>
    <x v="5"/>
    <x v="31"/>
    <n v="95"/>
  </r>
  <r>
    <x v="2"/>
    <x v="2"/>
    <x v="11"/>
    <x v="31"/>
    <n v="19"/>
  </r>
  <r>
    <x v="0"/>
    <x v="1"/>
    <x v="3"/>
    <x v="32"/>
    <n v="25"/>
  </r>
  <r>
    <x v="1"/>
    <x v="2"/>
    <x v="10"/>
    <x v="33"/>
    <n v="125"/>
  </r>
  <r>
    <x v="0"/>
    <x v="0"/>
    <x v="6"/>
    <x v="33"/>
    <n v="4"/>
  </r>
  <r>
    <x v="0"/>
    <x v="0"/>
    <x v="14"/>
    <x v="33"/>
    <n v="45"/>
  </r>
  <r>
    <x v="1"/>
    <x v="2"/>
    <x v="2"/>
    <x v="34"/>
    <n v="25"/>
  </r>
  <r>
    <x v="0"/>
    <x v="0"/>
    <x v="6"/>
    <x v="34"/>
    <n v="6"/>
  </r>
  <r>
    <x v="1"/>
    <x v="2"/>
    <x v="15"/>
    <x v="35"/>
    <n v="29"/>
  </r>
  <r>
    <x v="0"/>
    <x v="0"/>
    <x v="0"/>
    <x v="36"/>
    <n v="9"/>
  </r>
  <r>
    <x v="0"/>
    <x v="1"/>
    <x v="1"/>
    <x v="37"/>
    <n v="17"/>
  </r>
  <r>
    <x v="2"/>
    <x v="2"/>
    <x v="2"/>
    <x v="38"/>
    <n v="25"/>
  </r>
  <r>
    <x v="0"/>
    <x v="1"/>
    <x v="3"/>
    <x v="38"/>
    <n v="40"/>
  </r>
  <r>
    <x v="0"/>
    <x v="0"/>
    <x v="4"/>
    <x v="39"/>
    <n v="52"/>
  </r>
  <r>
    <x v="1"/>
    <x v="2"/>
    <x v="5"/>
    <x v="39"/>
    <n v="98"/>
  </r>
  <r>
    <x v="0"/>
    <x v="0"/>
    <x v="0"/>
    <x v="39"/>
    <n v="8"/>
  </r>
  <r>
    <x v="0"/>
    <x v="0"/>
    <x v="6"/>
    <x v="40"/>
    <n v="6"/>
  </r>
  <r>
    <x v="0"/>
    <x v="0"/>
    <x v="7"/>
    <x v="40"/>
    <n v="9"/>
  </r>
  <r>
    <x v="1"/>
    <x v="0"/>
    <x v="8"/>
    <x v="40"/>
    <n v="115"/>
  </r>
  <r>
    <x v="2"/>
    <x v="2"/>
    <x v="9"/>
    <x v="40"/>
    <n v="14"/>
  </r>
  <r>
    <x v="2"/>
    <x v="2"/>
    <x v="10"/>
    <x v="41"/>
    <n v="138"/>
  </r>
  <r>
    <x v="2"/>
    <x v="2"/>
    <x v="11"/>
    <x v="41"/>
    <n v="23"/>
  </r>
  <r>
    <x v="1"/>
    <x v="2"/>
    <x v="9"/>
    <x v="41"/>
    <n v="17"/>
  </r>
  <r>
    <x v="2"/>
    <x v="2"/>
    <x v="12"/>
    <x v="42"/>
    <n v="29"/>
  </r>
  <r>
    <x v="0"/>
    <x v="1"/>
    <x v="13"/>
    <x v="42"/>
    <n v="40"/>
  </r>
  <r>
    <x v="2"/>
    <x v="1"/>
    <x v="13"/>
    <x v="42"/>
    <n v="46"/>
  </r>
  <r>
    <x v="0"/>
    <x v="0"/>
    <x v="14"/>
    <x v="43"/>
    <n v="46"/>
  </r>
  <r>
    <x v="1"/>
    <x v="2"/>
    <x v="11"/>
    <x v="43"/>
    <n v="26"/>
  </r>
  <r>
    <x v="0"/>
    <x v="1"/>
    <x v="1"/>
    <x v="43"/>
    <n v="12"/>
  </r>
  <r>
    <x v="0"/>
    <x v="0"/>
    <x v="0"/>
    <x v="44"/>
    <n v="12"/>
  </r>
  <r>
    <x v="1"/>
    <x v="2"/>
    <x v="2"/>
    <x v="45"/>
    <n v="24"/>
  </r>
  <r>
    <x v="0"/>
    <x v="0"/>
    <x v="7"/>
    <x v="45"/>
    <n v="8"/>
  </r>
  <r>
    <x v="0"/>
    <x v="0"/>
    <x v="4"/>
    <x v="46"/>
    <n v="63"/>
  </r>
  <r>
    <x v="1"/>
    <x v="2"/>
    <x v="9"/>
    <x v="47"/>
    <n v="14"/>
  </r>
  <r>
    <x v="1"/>
    <x v="2"/>
    <x v="12"/>
    <x v="47"/>
    <n v="29"/>
  </r>
  <r>
    <x v="1"/>
    <x v="1"/>
    <x v="13"/>
    <x v="47"/>
    <n v="52"/>
  </r>
  <r>
    <x v="1"/>
    <x v="2"/>
    <x v="15"/>
    <x v="48"/>
    <n v="29"/>
  </r>
  <r>
    <x v="0"/>
    <x v="1"/>
    <x v="3"/>
    <x v="49"/>
    <n v="29"/>
  </r>
  <r>
    <x v="2"/>
    <x v="2"/>
    <x v="5"/>
    <x v="49"/>
    <n v="109"/>
  </r>
  <r>
    <x v="2"/>
    <x v="0"/>
    <x v="14"/>
    <x v="49"/>
    <n v="58"/>
  </r>
  <r>
    <x v="1"/>
    <x v="2"/>
    <x v="11"/>
    <x v="50"/>
    <n v="29"/>
  </r>
  <r>
    <x v="2"/>
    <x v="2"/>
    <x v="15"/>
    <x v="50"/>
    <n v="31"/>
  </r>
  <r>
    <x v="0"/>
    <x v="0"/>
    <x v="6"/>
    <x v="51"/>
    <n v="5"/>
  </r>
  <r>
    <x v="0"/>
    <x v="0"/>
    <x v="8"/>
    <x v="52"/>
    <n v="127"/>
  </r>
  <r>
    <x v="1"/>
    <x v="2"/>
    <x v="10"/>
    <x v="53"/>
    <n v="150"/>
  </r>
  <r>
    <x v="1"/>
    <x v="2"/>
    <x v="15"/>
    <x v="54"/>
    <n v="32"/>
  </r>
  <r>
    <x v="0"/>
    <x v="0"/>
    <x v="0"/>
    <x v="55"/>
    <n v="9"/>
  </r>
  <r>
    <x v="1"/>
    <x v="2"/>
    <x v="2"/>
    <x v="56"/>
    <n v="23"/>
  </r>
  <r>
    <x v="0"/>
    <x v="1"/>
    <x v="1"/>
    <x v="56"/>
    <n v="17"/>
  </r>
  <r>
    <x v="1"/>
    <x v="0"/>
    <x v="14"/>
    <x v="57"/>
    <n v="52"/>
  </r>
  <r>
    <x v="2"/>
    <x v="2"/>
    <x v="9"/>
    <x v="58"/>
    <n v="15"/>
  </r>
  <r>
    <x v="1"/>
    <x v="1"/>
    <x v="13"/>
    <x v="58"/>
    <n v="40"/>
  </r>
  <r>
    <x v="0"/>
    <x v="1"/>
    <x v="3"/>
    <x v="59"/>
    <n v="35"/>
  </r>
  <r>
    <x v="0"/>
    <x v="0"/>
    <x v="7"/>
    <x v="60"/>
    <n v="8"/>
  </r>
  <r>
    <x v="1"/>
    <x v="2"/>
    <x v="5"/>
    <x v="60"/>
    <n v="104"/>
  </r>
  <r>
    <x v="2"/>
    <x v="2"/>
    <x v="11"/>
    <x v="60"/>
    <n v="23"/>
  </r>
  <r>
    <x v="0"/>
    <x v="0"/>
    <x v="6"/>
    <x v="61"/>
    <n v="7"/>
  </r>
  <r>
    <x v="0"/>
    <x v="0"/>
    <x v="8"/>
    <x v="61"/>
    <n v="109"/>
  </r>
  <r>
    <x v="1"/>
    <x v="2"/>
    <x v="12"/>
    <x v="61"/>
    <n v="35"/>
  </r>
  <r>
    <x v="1"/>
    <x v="2"/>
    <x v="10"/>
    <x v="62"/>
    <n v="155"/>
  </r>
  <r>
    <x v="2"/>
    <x v="2"/>
    <x v="5"/>
    <x v="63"/>
    <n v="98"/>
  </r>
  <r>
    <x v="0"/>
    <x v="0"/>
    <x v="0"/>
    <x v="63"/>
    <n v="10"/>
  </r>
  <r>
    <x v="2"/>
    <x v="2"/>
    <x v="15"/>
    <x v="63"/>
    <n v="31"/>
  </r>
  <r>
    <x v="0"/>
    <x v="0"/>
    <x v="6"/>
    <x v="64"/>
    <n v="6"/>
  </r>
  <r>
    <x v="0"/>
    <x v="0"/>
    <x v="14"/>
    <x v="64"/>
    <n v="58"/>
  </r>
  <r>
    <x v="0"/>
    <x v="0"/>
    <x v="4"/>
    <x v="65"/>
    <n v="58"/>
  </r>
  <r>
    <x v="2"/>
    <x v="0"/>
    <x v="8"/>
    <x v="66"/>
    <n v="144"/>
  </r>
  <r>
    <x v="2"/>
    <x v="2"/>
    <x v="9"/>
    <x v="66"/>
    <n v="17"/>
  </r>
  <r>
    <x v="2"/>
    <x v="1"/>
    <x v="13"/>
    <x v="66"/>
    <n v="52"/>
  </r>
  <r>
    <x v="0"/>
    <x v="1"/>
    <x v="1"/>
    <x v="66"/>
    <n v="12"/>
  </r>
  <r>
    <x v="1"/>
    <x v="2"/>
    <x v="5"/>
    <x v="67"/>
    <n v="109"/>
  </r>
  <r>
    <x v="2"/>
    <x v="2"/>
    <x v="11"/>
    <x v="67"/>
    <n v="22"/>
  </r>
  <r>
    <x v="0"/>
    <x v="1"/>
    <x v="3"/>
    <x v="68"/>
    <n v="29"/>
  </r>
  <r>
    <x v="2"/>
    <x v="2"/>
    <x v="10"/>
    <x v="69"/>
    <n v="144"/>
  </r>
  <r>
    <x v="0"/>
    <x v="0"/>
    <x v="6"/>
    <x v="69"/>
    <n v="5"/>
  </r>
  <r>
    <x v="0"/>
    <x v="0"/>
    <x v="14"/>
    <x v="69"/>
    <n v="52"/>
  </r>
  <r>
    <x v="2"/>
    <x v="2"/>
    <x v="2"/>
    <x v="70"/>
    <n v="29"/>
  </r>
  <r>
    <x v="0"/>
    <x v="0"/>
    <x v="6"/>
    <x v="70"/>
    <n v="7"/>
  </r>
  <r>
    <x v="1"/>
    <x v="2"/>
    <x v="15"/>
    <x v="71"/>
    <n v="33"/>
  </r>
  <r>
    <x v="0"/>
    <x v="0"/>
    <x v="0"/>
    <x v="72"/>
    <n v="8"/>
  </r>
  <r>
    <x v="0"/>
    <x v="1"/>
    <x v="1"/>
    <x v="73"/>
    <n v="16"/>
  </r>
  <r>
    <x v="1"/>
    <x v="2"/>
    <x v="2"/>
    <x v="74"/>
    <n v="23"/>
  </r>
  <r>
    <x v="0"/>
    <x v="1"/>
    <x v="3"/>
    <x v="74"/>
    <n v="37"/>
  </r>
  <r>
    <x v="0"/>
    <x v="0"/>
    <x v="4"/>
    <x v="75"/>
    <n v="47"/>
  </r>
  <r>
    <x v="1"/>
    <x v="2"/>
    <x v="5"/>
    <x v="75"/>
    <n v="89"/>
  </r>
  <r>
    <x v="0"/>
    <x v="0"/>
    <x v="0"/>
    <x v="75"/>
    <n v="7"/>
  </r>
  <r>
    <x v="0"/>
    <x v="0"/>
    <x v="6"/>
    <x v="76"/>
    <n v="5"/>
  </r>
  <r>
    <x v="0"/>
    <x v="0"/>
    <x v="7"/>
    <x v="76"/>
    <n v="8"/>
  </r>
  <r>
    <x v="1"/>
    <x v="0"/>
    <x v="8"/>
    <x v="76"/>
    <n v="105"/>
  </r>
  <r>
    <x v="1"/>
    <x v="2"/>
    <x v="9"/>
    <x v="76"/>
    <n v="13"/>
  </r>
  <r>
    <x v="1"/>
    <x v="2"/>
    <x v="10"/>
    <x v="77"/>
    <n v="126"/>
  </r>
  <r>
    <x v="1"/>
    <x v="2"/>
    <x v="11"/>
    <x v="77"/>
    <n v="21"/>
  </r>
  <r>
    <x v="2"/>
    <x v="2"/>
    <x v="9"/>
    <x v="77"/>
    <n v="16"/>
  </r>
  <r>
    <x v="2"/>
    <x v="2"/>
    <x v="12"/>
    <x v="78"/>
    <n v="26"/>
  </r>
  <r>
    <x v="1"/>
    <x v="1"/>
    <x v="13"/>
    <x v="78"/>
    <n v="37"/>
  </r>
  <r>
    <x v="0"/>
    <x v="1"/>
    <x v="13"/>
    <x v="78"/>
    <n v="42"/>
  </r>
  <r>
    <x v="2"/>
    <x v="0"/>
    <x v="14"/>
    <x v="79"/>
    <n v="42"/>
  </r>
  <r>
    <x v="2"/>
    <x v="2"/>
    <x v="11"/>
    <x v="79"/>
    <n v="24"/>
  </r>
  <r>
    <x v="0"/>
    <x v="1"/>
    <x v="1"/>
    <x v="79"/>
    <n v="11"/>
  </r>
  <r>
    <x v="0"/>
    <x v="0"/>
    <x v="0"/>
    <x v="80"/>
    <n v="11"/>
  </r>
  <r>
    <x v="1"/>
    <x v="2"/>
    <x v="2"/>
    <x v="81"/>
    <n v="22"/>
  </r>
  <r>
    <x v="0"/>
    <x v="0"/>
    <x v="7"/>
    <x v="81"/>
    <n v="7"/>
  </r>
  <r>
    <x v="0"/>
    <x v="0"/>
    <x v="4"/>
    <x v="82"/>
    <n v="58"/>
  </r>
  <r>
    <x v="2"/>
    <x v="2"/>
    <x v="9"/>
    <x v="83"/>
    <n v="13"/>
  </r>
  <r>
    <x v="1"/>
    <x v="2"/>
    <x v="12"/>
    <x v="83"/>
    <n v="26"/>
  </r>
  <r>
    <x v="0"/>
    <x v="1"/>
    <x v="13"/>
    <x v="83"/>
    <n v="47"/>
  </r>
  <r>
    <x v="1"/>
    <x v="2"/>
    <x v="15"/>
    <x v="84"/>
    <n v="26"/>
  </r>
  <r>
    <x v="0"/>
    <x v="1"/>
    <x v="3"/>
    <x v="85"/>
    <n v="26"/>
  </r>
  <r>
    <x v="2"/>
    <x v="2"/>
    <x v="5"/>
    <x v="85"/>
    <n v="100"/>
  </r>
  <r>
    <x v="1"/>
    <x v="0"/>
    <x v="14"/>
    <x v="85"/>
    <n v="53"/>
  </r>
  <r>
    <x v="2"/>
    <x v="2"/>
    <x v="11"/>
    <x v="86"/>
    <n v="26"/>
  </r>
  <r>
    <x v="2"/>
    <x v="2"/>
    <x v="15"/>
    <x v="86"/>
    <n v="28"/>
  </r>
  <r>
    <x v="0"/>
    <x v="0"/>
    <x v="6"/>
    <x v="87"/>
    <n v="4"/>
  </r>
  <r>
    <x v="0"/>
    <x v="0"/>
    <x v="8"/>
    <x v="88"/>
    <n v="116"/>
  </r>
  <r>
    <x v="1"/>
    <x v="2"/>
    <x v="10"/>
    <x v="89"/>
    <n v="137"/>
  </r>
  <r>
    <x v="1"/>
    <x v="2"/>
    <x v="15"/>
    <x v="90"/>
    <n v="29"/>
  </r>
  <r>
    <x v="0"/>
    <x v="0"/>
    <x v="0"/>
    <x v="91"/>
    <n v="8"/>
  </r>
  <r>
    <x v="2"/>
    <x v="2"/>
    <x v="2"/>
    <x v="92"/>
    <n v="21"/>
  </r>
  <r>
    <x v="0"/>
    <x v="1"/>
    <x v="1"/>
    <x v="92"/>
    <n v="16"/>
  </r>
  <r>
    <x v="0"/>
    <x v="0"/>
    <x v="14"/>
    <x v="93"/>
    <n v="47"/>
  </r>
  <r>
    <x v="1"/>
    <x v="2"/>
    <x v="9"/>
    <x v="94"/>
    <n v="14"/>
  </r>
  <r>
    <x v="2"/>
    <x v="1"/>
    <x v="13"/>
    <x v="94"/>
    <n v="37"/>
  </r>
  <r>
    <x v="0"/>
    <x v="1"/>
    <x v="3"/>
    <x v="95"/>
    <n v="32"/>
  </r>
  <r>
    <x v="0"/>
    <x v="0"/>
    <x v="7"/>
    <x v="96"/>
    <n v="7"/>
  </r>
  <r>
    <x v="1"/>
    <x v="2"/>
    <x v="5"/>
    <x v="96"/>
    <n v="95"/>
  </r>
  <r>
    <x v="1"/>
    <x v="2"/>
    <x v="11"/>
    <x v="96"/>
    <n v="21"/>
  </r>
  <r>
    <x v="0"/>
    <x v="0"/>
    <x v="6"/>
    <x v="97"/>
    <n v="6"/>
  </r>
  <r>
    <x v="0"/>
    <x v="0"/>
    <x v="8"/>
    <x v="97"/>
    <n v="100"/>
  </r>
  <r>
    <x v="1"/>
    <x v="2"/>
    <x v="12"/>
    <x v="97"/>
    <n v="32"/>
  </r>
  <r>
    <x v="2"/>
    <x v="2"/>
    <x v="10"/>
    <x v="98"/>
    <n v="142"/>
  </r>
  <r>
    <x v="1"/>
    <x v="2"/>
    <x v="5"/>
    <x v="99"/>
    <n v="89"/>
  </r>
  <r>
    <x v="0"/>
    <x v="0"/>
    <x v="0"/>
    <x v="99"/>
    <n v="9"/>
  </r>
  <r>
    <x v="2"/>
    <x v="2"/>
    <x v="15"/>
    <x v="99"/>
    <n v="28"/>
  </r>
  <r>
    <x v="0"/>
    <x v="0"/>
    <x v="6"/>
    <x v="100"/>
    <n v="5"/>
  </r>
  <r>
    <x v="0"/>
    <x v="0"/>
    <x v="14"/>
    <x v="100"/>
    <n v="53"/>
  </r>
  <r>
    <x v="0"/>
    <x v="0"/>
    <x v="4"/>
    <x v="101"/>
    <n v="53"/>
  </r>
  <r>
    <x v="2"/>
    <x v="0"/>
    <x v="8"/>
    <x v="102"/>
    <n v="131"/>
  </r>
  <r>
    <x v="1"/>
    <x v="2"/>
    <x v="9"/>
    <x v="102"/>
    <n v="16"/>
  </r>
  <r>
    <x v="1"/>
    <x v="1"/>
    <x v="13"/>
    <x v="102"/>
    <n v="47"/>
  </r>
  <r>
    <x v="0"/>
    <x v="1"/>
    <x v="1"/>
    <x v="102"/>
    <n v="11"/>
  </r>
  <r>
    <x v="2"/>
    <x v="2"/>
    <x v="5"/>
    <x v="103"/>
    <n v="100"/>
  </r>
  <r>
    <x v="1"/>
    <x v="2"/>
    <x v="11"/>
    <x v="103"/>
    <n v="20"/>
  </r>
  <r>
    <x v="0"/>
    <x v="1"/>
    <x v="3"/>
    <x v="104"/>
    <n v="26"/>
  </r>
  <r>
    <x v="1"/>
    <x v="2"/>
    <x v="10"/>
    <x v="105"/>
    <n v="131"/>
  </r>
  <r>
    <x v="0"/>
    <x v="0"/>
    <x v="6"/>
    <x v="105"/>
    <n v="4"/>
  </r>
  <r>
    <x v="1"/>
    <x v="0"/>
    <x v="14"/>
    <x v="105"/>
    <n v="47"/>
  </r>
  <r>
    <x v="1"/>
    <x v="2"/>
    <x v="2"/>
    <x v="106"/>
    <n v="26"/>
  </r>
  <r>
    <x v="0"/>
    <x v="0"/>
    <x v="6"/>
    <x v="106"/>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1811C1-C7CD-461D-B68B-D2C4CA21E29E}" name="PivotTable1" cacheId="4"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4:C40" firstHeaderRow="1" firstDataRow="1" firstDataCol="2" rowPageCount="2" colPageCount="1"/>
  <pivotFields count="5">
    <pivotField axis="axisRow" compact="0" showAll="0">
      <items count="5">
        <item x="0"/>
        <item x="2"/>
        <item x="1"/>
        <item x="3"/>
        <item t="default"/>
      </items>
    </pivotField>
    <pivotField axis="axisPage" compact="0" showAll="0">
      <items count="4">
        <item x="2"/>
        <item x="1"/>
        <item x="0"/>
        <item t="default"/>
      </items>
    </pivotField>
    <pivotField axis="axisRow" compact="0" showAll="0">
      <items count="18">
        <item x="2"/>
        <item x="4"/>
        <item x="10"/>
        <item x="12"/>
        <item x="6"/>
        <item x="7"/>
        <item x="5"/>
        <item x="8"/>
        <item x="16"/>
        <item x="0"/>
        <item x="14"/>
        <item x="11"/>
        <item x="9"/>
        <item x="13"/>
        <item x="15"/>
        <item x="1"/>
        <item x="3"/>
        <item t="default"/>
      </items>
    </pivotField>
    <pivotField axis="axisPage" compact="0" numFmtId="14" showAll="0">
      <items count="1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dataField="1" compact="0" showAll="0"/>
  </pivotFields>
  <rowFields count="2">
    <field x="0"/>
    <field x="2"/>
  </rowFields>
  <rowItems count="36">
    <i>
      <x/>
    </i>
    <i r="1">
      <x v="1"/>
    </i>
    <i r="1">
      <x v="4"/>
    </i>
    <i r="1">
      <x v="5"/>
    </i>
    <i r="1">
      <x v="7"/>
    </i>
    <i r="1">
      <x v="9"/>
    </i>
    <i r="1">
      <x v="10"/>
    </i>
    <i r="1">
      <x v="13"/>
    </i>
    <i r="1">
      <x v="15"/>
    </i>
    <i r="1">
      <x v="16"/>
    </i>
    <i>
      <x v="1"/>
    </i>
    <i r="1">
      <x/>
    </i>
    <i r="1">
      <x v="2"/>
    </i>
    <i r="1">
      <x v="3"/>
    </i>
    <i r="1">
      <x v="6"/>
    </i>
    <i r="1">
      <x v="7"/>
    </i>
    <i r="1">
      <x v="10"/>
    </i>
    <i r="1">
      <x v="11"/>
    </i>
    <i r="1">
      <x v="12"/>
    </i>
    <i r="1">
      <x v="13"/>
    </i>
    <i r="1">
      <x v="14"/>
    </i>
    <i>
      <x v="2"/>
    </i>
    <i r="1">
      <x/>
    </i>
    <i r="1">
      <x v="2"/>
    </i>
    <i r="1">
      <x v="3"/>
    </i>
    <i r="1">
      <x v="6"/>
    </i>
    <i r="1">
      <x v="7"/>
    </i>
    <i r="1">
      <x v="8"/>
    </i>
    <i r="1">
      <x v="10"/>
    </i>
    <i r="1">
      <x v="11"/>
    </i>
    <i r="1">
      <x v="12"/>
    </i>
    <i r="1">
      <x v="13"/>
    </i>
    <i r="1">
      <x v="14"/>
    </i>
    <i>
      <x v="3"/>
    </i>
    <i r="1">
      <x v="8"/>
    </i>
    <i t="grand">
      <x/>
    </i>
  </rowItems>
  <colItems count="1">
    <i/>
  </colItems>
  <pageFields count="2">
    <pageField fld="1" hier="-1"/>
    <pageField fld="3" hier="-1"/>
  </pageFields>
  <dataFields count="1">
    <dataField name="Sum of Kieki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535337-CD4D-411B-94CD-8A281D61A3FE}" name="PivotTable2"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5:I38" firstHeaderRow="1" firstDataRow="1" firstDataCol="2" rowPageCount="2" colPageCount="1"/>
  <pivotFields count="5">
    <pivotField axis="axisRow" compact="0" outline="0" showAll="0">
      <items count="4">
        <item x="0"/>
        <item x="2"/>
        <item x="1"/>
        <item t="default"/>
      </items>
    </pivotField>
    <pivotField axis="axisPage" compact="0" outline="0" showAll="0">
      <items count="4">
        <item x="2"/>
        <item x="1"/>
        <item x="0"/>
        <item t="default"/>
      </items>
    </pivotField>
    <pivotField axis="axisRow" compact="0" outline="0" showAll="0">
      <items count="17">
        <item x="2"/>
        <item x="4"/>
        <item x="10"/>
        <item x="12"/>
        <item x="6"/>
        <item x="7"/>
        <item x="5"/>
        <item x="8"/>
        <item x="0"/>
        <item x="14"/>
        <item x="11"/>
        <item x="9"/>
        <item x="13"/>
        <item x="15"/>
        <item x="1"/>
        <item x="3"/>
        <item t="default"/>
      </items>
    </pivotField>
    <pivotField axis="axisPage" compact="0" numFmtId="14" outline="0" showAll="0">
      <items count="1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dataField="1" compact="0" outline="0" showAll="0"/>
  </pivotFields>
  <rowFields count="2">
    <field x="0"/>
    <field x="2"/>
  </rowFields>
  <rowItems count="33">
    <i>
      <x/>
      <x v="1"/>
    </i>
    <i r="1">
      <x v="4"/>
    </i>
    <i r="1">
      <x v="5"/>
    </i>
    <i r="1">
      <x v="7"/>
    </i>
    <i r="1">
      <x v="8"/>
    </i>
    <i r="1">
      <x v="9"/>
    </i>
    <i r="1">
      <x v="12"/>
    </i>
    <i r="1">
      <x v="14"/>
    </i>
    <i r="1">
      <x v="15"/>
    </i>
    <i t="default">
      <x/>
    </i>
    <i>
      <x v="1"/>
      <x/>
    </i>
    <i r="1">
      <x v="2"/>
    </i>
    <i r="1">
      <x v="3"/>
    </i>
    <i r="1">
      <x v="6"/>
    </i>
    <i r="1">
      <x v="7"/>
    </i>
    <i r="1">
      <x v="9"/>
    </i>
    <i r="1">
      <x v="10"/>
    </i>
    <i r="1">
      <x v="11"/>
    </i>
    <i r="1">
      <x v="12"/>
    </i>
    <i r="1">
      <x v="13"/>
    </i>
    <i t="default">
      <x v="1"/>
    </i>
    <i>
      <x v="2"/>
      <x/>
    </i>
    <i r="1">
      <x v="2"/>
    </i>
    <i r="1">
      <x v="3"/>
    </i>
    <i r="1">
      <x v="6"/>
    </i>
    <i r="1">
      <x v="7"/>
    </i>
    <i r="1">
      <x v="9"/>
    </i>
    <i r="1">
      <x v="10"/>
    </i>
    <i r="1">
      <x v="11"/>
    </i>
    <i r="1">
      <x v="12"/>
    </i>
    <i r="1">
      <x v="13"/>
    </i>
    <i t="default">
      <x v="2"/>
    </i>
    <i t="grand">
      <x/>
    </i>
  </rowItems>
  <colItems count="1">
    <i/>
  </colItems>
  <pageFields count="2">
    <pageField fld="1" hier="-1"/>
    <pageField fld="3" hier="-1"/>
  </pageFields>
  <dataFields count="1">
    <dataField name="Sum of Kieki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0FF1FD-6164-4205-A254-D42C3DFF1FDB}" name="PivotTable3"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5:I38" firstHeaderRow="1" firstDataRow="1" firstDataCol="2" rowPageCount="2" colPageCount="1"/>
  <pivotFields count="5">
    <pivotField axis="axisRow" compact="0" outline="0" showAll="0">
      <items count="4">
        <item x="0"/>
        <item x="2"/>
        <item x="1"/>
        <item t="default"/>
      </items>
    </pivotField>
    <pivotField axis="axisPage" compact="0" outline="0" showAll="0">
      <items count="4">
        <item x="2"/>
        <item x="1"/>
        <item x="0"/>
        <item t="default"/>
      </items>
    </pivotField>
    <pivotField axis="axisRow" compact="0" outline="0" showAll="0">
      <items count="17">
        <item x="2"/>
        <item x="4"/>
        <item x="10"/>
        <item x="12"/>
        <item x="6"/>
        <item x="7"/>
        <item x="5"/>
        <item x="8"/>
        <item x="0"/>
        <item x="14"/>
        <item x="11"/>
        <item x="9"/>
        <item x="13"/>
        <item x="15"/>
        <item x="1"/>
        <item x="3"/>
        <item t="default"/>
      </items>
    </pivotField>
    <pivotField axis="axisPage" compact="0" numFmtId="14" outline="0" showAll="0">
      <items count="1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dataField="1" compact="0" outline="0" showAll="0"/>
  </pivotFields>
  <rowFields count="2">
    <field x="0"/>
    <field x="2"/>
  </rowFields>
  <rowItems count="33">
    <i>
      <x/>
      <x v="1"/>
    </i>
    <i r="1">
      <x v="4"/>
    </i>
    <i r="1">
      <x v="5"/>
    </i>
    <i r="1">
      <x v="7"/>
    </i>
    <i r="1">
      <x v="8"/>
    </i>
    <i r="1">
      <x v="9"/>
    </i>
    <i r="1">
      <x v="12"/>
    </i>
    <i r="1">
      <x v="14"/>
    </i>
    <i r="1">
      <x v="15"/>
    </i>
    <i t="default">
      <x/>
    </i>
    <i>
      <x v="1"/>
      <x/>
    </i>
    <i r="1">
      <x v="2"/>
    </i>
    <i r="1">
      <x v="3"/>
    </i>
    <i r="1">
      <x v="6"/>
    </i>
    <i r="1">
      <x v="7"/>
    </i>
    <i r="1">
      <x v="9"/>
    </i>
    <i r="1">
      <x v="10"/>
    </i>
    <i r="1">
      <x v="11"/>
    </i>
    <i r="1">
      <x v="12"/>
    </i>
    <i r="1">
      <x v="13"/>
    </i>
    <i t="default">
      <x v="1"/>
    </i>
    <i>
      <x v="2"/>
      <x/>
    </i>
    <i r="1">
      <x v="2"/>
    </i>
    <i r="1">
      <x v="3"/>
    </i>
    <i r="1">
      <x v="6"/>
    </i>
    <i r="1">
      <x v="7"/>
    </i>
    <i r="1">
      <x v="9"/>
    </i>
    <i r="1">
      <x v="10"/>
    </i>
    <i r="1">
      <x v="11"/>
    </i>
    <i r="1">
      <x v="12"/>
    </i>
    <i r="1">
      <x v="13"/>
    </i>
    <i t="default">
      <x v="2"/>
    </i>
    <i t="grand">
      <x/>
    </i>
  </rowItems>
  <colItems count="1">
    <i/>
  </colItems>
  <pageFields count="2">
    <pageField fld="3" hier="-1"/>
    <pageField fld="1" hier="-1"/>
  </pageFields>
  <dataFields count="1">
    <dataField name="Sum of Kieki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8060CC-9F7D-4667-ADC0-4A96D201F73C}" name="PivotTable1" cacheId="7" applyNumberFormats="0" applyBorderFormats="0" applyFontFormats="0" applyPatternFormats="0" applyAlignmentFormats="0" applyWidthHeightFormats="1" dataCaption="Values" tag="07095a8a-84a5-4154-a9e1-2fdd7d80ba41" updatedVersion="8" minRefreshableVersion="3" useAutoFormatting="1" itemPrintTitles="1" createdVersion="8" indent="0" outline="1" outlineData="1" multipleFieldFilters="0">
  <location ref="M7:R23" firstHeaderRow="1" firstDataRow="2" firstDataCol="1"/>
  <pivotFields count="4">
    <pivotField dataField="1" subtotalTop="0" showAll="0" defaultSubtotal="0"/>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3">
        <item x="0"/>
        <item x="1"/>
        <item x="2"/>
      </items>
    </pivotField>
  </pivotFields>
  <rowFields count="2">
    <field x="2"/>
    <field x="3"/>
  </rowFields>
  <rowItems count="15">
    <i>
      <x/>
    </i>
    <i r="1">
      <x/>
    </i>
    <i>
      <x v="1"/>
    </i>
    <i r="1">
      <x v="1"/>
    </i>
    <i>
      <x v="2"/>
    </i>
    <i r="1">
      <x v="2"/>
    </i>
    <i>
      <x v="3"/>
    </i>
    <i r="1">
      <x v="2"/>
    </i>
    <i>
      <x v="4"/>
    </i>
    <i r="1">
      <x v="1"/>
    </i>
    <i>
      <x v="5"/>
    </i>
    <i r="1">
      <x v="1"/>
    </i>
    <i>
      <x v="6"/>
    </i>
    <i r="1">
      <x v="1"/>
    </i>
    <i t="grand">
      <x/>
    </i>
  </rowItems>
  <colFields count="1">
    <field x="1"/>
  </colFields>
  <colItems count="5">
    <i>
      <x/>
    </i>
    <i>
      <x v="1"/>
    </i>
    <i>
      <x v="2"/>
    </i>
    <i>
      <x v="3"/>
    </i>
    <i t="grand">
      <x/>
    </i>
  </colItems>
  <dataFields count="1">
    <dataField name="Sum of Kiekis, vnt." fld="0" baseField="0" baseItem="0"/>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0"/>
    <rowHierarchyUsage hierarchyUsage="12"/>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gamintojai]"/>
        <x15:activeTabTopLevelEntity name="[tableprekes]"/>
        <x15:activeTabTopLevelEntity name="[tablesalys]"/>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E7D945C-B99B-4973-A7A9-F43C860D81FB}" name="tblpienotiekejai" displayName="tblpienotiekejai" ref="B4:H28" totalsRowCount="1" headerRowDxfId="51" dataDxfId="50" tableBorderDxfId="49">
  <autoFilter ref="B4:H27" xr:uid="{CFFCD515-2930-4C02-8581-9DF963E2088C}"/>
  <tableColumns count="7">
    <tableColumn id="1" xr3:uid="{04C49323-3E21-43F0-9F28-AF399D79016D}" name="Data" totalsRowLabel="Total" dataDxfId="48" totalsRowDxfId="47"/>
    <tableColumn id="2" xr3:uid="{225B3DB9-3CF5-4F1C-83A7-E1789EF2542D}" name="Prekės pavadinimas" dataDxfId="46" totalsRowDxfId="45"/>
    <tableColumn id="3" xr3:uid="{B41CF1BC-E1DD-427D-AC15-7FCD64AAF80D}" name="Tiekėjas" dataDxfId="44" totalsRowDxfId="43"/>
    <tableColumn id="4" xr3:uid="{0497524C-35AF-40A3-9EED-331AF4E96250}" name="Kiekis, vnt." totalsRowFunction="count" dataDxfId="42" totalsRowDxfId="41"/>
    <tableColumn id="5" xr3:uid="{F4A7D87B-E5FB-41C3-B35B-9F791AE6C187}" name="Kaina, Eur" totalsRowFunction="max" dataDxfId="40" totalsRowDxfId="39"/>
    <tableColumn id="6" xr3:uid="{F13CDFFE-1D42-4BD4-9AE7-F772158F6A3C}" name="Suma" totalsRowFunction="sum" dataDxfId="38" totalsRowDxfId="37">
      <calculatedColumnFormula>'U11'!$E5*'U11'!$F5</calculatedColumnFormula>
    </tableColumn>
    <tableColumn id="7" xr3:uid="{0132E2D3-F339-44D1-8717-9C346B700959}" name="Procentas" totalsRowFunction="sum" dataDxfId="36" totalsRowDxfId="35">
      <calculatedColumnFormula>'U11'!$G5/SUM('U11'!$G$5:$G$27)</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5185F1-E4EE-4E1C-A8A1-CF8F6CC49DD4}" name="tableprekes" displayName="tableprekes" ref="J5:K12" totalsRowShown="0" headerRowDxfId="34" tableBorderDxfId="33">
  <autoFilter ref="J5:K12" xr:uid="{B55185F1-E4EE-4E1C-A8A1-CF8F6CC49DD4}"/>
  <tableColumns count="2">
    <tableColumn id="1" xr3:uid="{1DED4246-DF9A-4A54-B7CC-9551BD7AC7D8}" name="Prekės" dataDxfId="32"/>
    <tableColumn id="2" xr3:uid="{787EF751-37DD-4D05-8E26-05CB8A28A5A2}" name="PrekKod" dataDxfId="3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9A024A-0646-46DA-A0F9-D300137A2B07}" name="tablesalys" displayName="tablesalys" ref="J18:K24" totalsRowShown="0" headerRowDxfId="30" tableBorderDxfId="29">
  <autoFilter ref="J18:K24" xr:uid="{2E9A024A-0646-46DA-A0F9-D300137A2B07}"/>
  <tableColumns count="2">
    <tableColumn id="1" xr3:uid="{9F16DF0C-CF07-4B46-BB8B-EB9718A01E3F}" name="Šalys" dataDxfId="28"/>
    <tableColumn id="2" xr3:uid="{136BCF35-F2A3-422C-A468-7FE33B8A9C28}" name="ŠalKod" dataDxfId="2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2A13707-5782-4F62-B604-0F8167C09971}" name="tablegamintojai" displayName="tablegamintojai" ref="J27:K31" totalsRowShown="0" headerRowDxfId="26" tableBorderDxfId="25">
  <autoFilter ref="J27:K31" xr:uid="{32A13707-5782-4F62-B604-0F8167C09971}"/>
  <tableColumns count="2">
    <tableColumn id="1" xr3:uid="{D4C5EF97-005A-4E25-A902-75374F302973}" name="Gamintojai" dataDxfId="24"/>
    <tableColumn id="2" xr3:uid="{97390F4E-BBCB-4763-A4E3-8CA2B8225D87}" name="GamintKod" dataDxfId="2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E04ED3-7FF8-49DB-9146-7DD0C438862B}" name="Table1" displayName="Table1" ref="A6:H521" totalsRowShown="0" headerRowDxfId="22" tableBorderDxfId="21" dataCellStyle="Paprastas 2 2 2">
  <autoFilter ref="A6:H521" xr:uid="{9AE04ED3-7FF8-49DB-9146-7DD0C438862B}"/>
  <tableColumns count="8">
    <tableColumn id="1" xr3:uid="{41A807A6-4211-49A4-B887-12DB7458EF59}" name="Data" dataDxfId="20" dataCellStyle="Paprastas 2 2 2"/>
    <tableColumn id="2" xr3:uid="{15EB5273-04AA-4CAE-AAB4-9FCB331E8EA4}" name="BarKodas" dataDxfId="19" dataCellStyle="Paprastas 2 2 2"/>
    <tableColumn id="3" xr3:uid="{3156492C-5F02-4CED-AD2C-19994BA9301B}" name="Salies Kodas" dataDxfId="18" dataCellStyle="Paprastas 2 2 2"/>
    <tableColumn id="4" xr3:uid="{B7AFED4D-06A1-445E-AB6F-685249DD5B3D}" name="Gamintojo kodas" dataDxfId="17" dataCellStyle="Paprastas 2 2 2"/>
    <tableColumn id="5" xr3:uid="{4268EA0D-6EA5-45AC-8146-4156F8FD041D}" name="Prekes Kodas" dataDxfId="16" dataCellStyle="Paprastas 2 2 2"/>
    <tableColumn id="6" xr3:uid="{0021C4BF-DAF8-493B-A499-79A19B4949C6}" name="Column1" dataDxfId="15" dataCellStyle="Paprastas 2 2 2"/>
    <tableColumn id="7" xr3:uid="{3CB3F509-7F8C-43A9-BB64-BAB2D26E74B7}" name="Kiekis, vnt." dataDxfId="14" dataCellStyle="Paprastas 2 2 2"/>
    <tableColumn id="8" xr3:uid="{7E23AA8C-0A09-4D99-BB9E-B06E69D09775}" name="Kaina, Eur" dataDxfId="13" dataCellStyle="Paprastas 2 2 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3" dT="2023-08-27T08:46:41.47" personId="{0604A291-FCDB-4495-89B2-54F4AEB0A283}" id="{B8C96FE4-1B77-442D-B02F-6CEBDE2AFCD1}">
    <text>Parodo visas sumas be filtro ir matomas ir nematomas</text>
  </threadedComment>
  <threadedComment ref="H13" dT="2023-08-27T08:50:35.92" personId="{0604A291-FCDB-4495-89B2-54F4AEB0A283}" id="{2B21D6CB-66B5-401B-8B05-3A8E5B8046FE}">
    <text>Sumos ijungus filtrus, skaiciuoja tik matomas datas</text>
  </threadedComment>
  <threadedComment ref="L21" dT="2023-08-27T09:20:19.25" personId="{0604A291-FCDB-4495-89B2-54F4AEB0A283}" id="{FB0C7A8B-3B80-48D5-9047-981F396AEC25}">
    <text>Naudoti antram filtrui</text>
  </threadedComment>
</ThreadedComments>
</file>

<file path=xl/threadedComments/threadedComment2.xml><?xml version="1.0" encoding="utf-8"?>
<ThreadedComments xmlns="http://schemas.microsoft.com/office/spreadsheetml/2018/threadedcomments" xmlns:x="http://schemas.openxmlformats.org/spreadsheetml/2006/main">
  <threadedComment ref="J31" dT="2023-08-27T17:28:14.30" personId="{0604A291-FCDB-4495-89B2-54F4AEB0A283}" id="{5469EF87-7954-404E-AB0C-C7E42995E48F}">
    <text>Irasyti rankiniu budu</text>
  </threadedComment>
</ThreadedComments>
</file>

<file path=xl/threadedComments/threadedComment3.xml><?xml version="1.0" encoding="utf-8"?>
<ThreadedComments xmlns="http://schemas.microsoft.com/office/spreadsheetml/2018/threadedcomments" xmlns:x="http://schemas.openxmlformats.org/spreadsheetml/2006/main">
  <threadedComment ref="H14" dT="2023-08-27T20:10:45.80" personId="{0604A291-FCDB-4495-89B2-54F4AEB0A283}" id="{8BD30710-DD97-4BE7-A175-7773053BCA20}">
    <text>KINTAMASIS</text>
  </threadedComment>
  <threadedComment ref="I15" dT="2023-08-27T20:11:10.68" personId="{0604A291-FCDB-4495-89B2-54F4AEB0A283}" id="{1AA080B0-BC89-4A2A-8C0B-341F17414380}">
    <text>FINANSINIAI ISTEKLIAI YRA MAZIAU NEI IS VISO, NEGALI VIRSYTI</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7.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egidijus.purlys@enmin.lt"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4.bin"/><Relationship Id="rId5" Type="http://schemas.microsoft.com/office/2017/10/relationships/threadedComment" Target="../threadedComments/threadedComment2.xml"/><Relationship Id="rId4" Type="http://schemas.openxmlformats.org/officeDocument/2006/relationships/comments" Target="../comments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15.bin"/><Relationship Id="rId5" Type="http://schemas.microsoft.com/office/2017/10/relationships/threadedComment" Target="../threadedComments/threadedComment3.xml"/><Relationship Id="rId4" Type="http://schemas.openxmlformats.org/officeDocument/2006/relationships/comments" Target="../comments4.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ivotTable" Target="../pivotTables/pivotTable2.xm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ivotTable" Target="../pivotTables/pivotTable3.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19.bin"/><Relationship Id="rId1" Type="http://schemas.openxmlformats.org/officeDocument/2006/relationships/pivotTable" Target="../pivotTables/pivotTable4.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89B77-84E0-4638-A665-9F9C9BBF8793}">
  <dimension ref="A2:M48"/>
  <sheetViews>
    <sheetView topLeftCell="A9" workbookViewId="0">
      <selection activeCell="D51" sqref="D51"/>
    </sheetView>
  </sheetViews>
  <sheetFormatPr defaultColWidth="24.140625" defaultRowHeight="15" x14ac:dyDescent="0.25"/>
  <cols>
    <col min="1" max="1" width="24.140625" style="278"/>
    <col min="2" max="2" width="16.5703125" style="278" customWidth="1"/>
    <col min="3" max="3" width="13.42578125" style="278" customWidth="1"/>
    <col min="4" max="4" width="13.140625" style="278" customWidth="1"/>
    <col min="5" max="5" width="10.140625" style="278" customWidth="1"/>
    <col min="6" max="6" width="12.85546875" style="278" customWidth="1"/>
    <col min="7" max="7" width="24.140625" style="278"/>
    <col min="8" max="8" width="5.85546875" customWidth="1"/>
    <col min="11" max="11" width="8.28515625" customWidth="1"/>
  </cols>
  <sheetData>
    <row r="2" spans="1:13" x14ac:dyDescent="0.25">
      <c r="A2" s="279" t="s">
        <v>986</v>
      </c>
      <c r="I2" s="40" t="s">
        <v>948</v>
      </c>
    </row>
    <row r="3" spans="1:13" x14ac:dyDescent="0.25">
      <c r="A3" s="278" t="s">
        <v>987</v>
      </c>
      <c r="I3" s="40"/>
    </row>
    <row r="4" spans="1:13" ht="15.75" customHeight="1" x14ac:dyDescent="0.25">
      <c r="I4" t="s">
        <v>947</v>
      </c>
    </row>
    <row r="5" spans="1:13" ht="15.75" customHeight="1" x14ac:dyDescent="0.25"/>
    <row r="6" spans="1:13" ht="20.25" thickBot="1" x14ac:dyDescent="0.35">
      <c r="I6" s="256" t="s">
        <v>946</v>
      </c>
      <c r="J6" s="256"/>
      <c r="L6" s="255" t="s">
        <v>945</v>
      </c>
      <c r="M6" s="254"/>
    </row>
    <row r="7" spans="1:13" ht="15.75" thickTop="1" x14ac:dyDescent="0.25">
      <c r="L7" s="253"/>
    </row>
    <row r="8" spans="1:13" ht="19.5" thickBot="1" x14ac:dyDescent="0.35">
      <c r="A8" s="195" t="s">
        <v>947</v>
      </c>
      <c r="B8" s="195"/>
      <c r="C8" s="195"/>
      <c r="I8" s="252" t="s">
        <v>944</v>
      </c>
      <c r="J8" s="252"/>
      <c r="L8" s="251" t="s">
        <v>943</v>
      </c>
      <c r="M8" s="250"/>
    </row>
    <row r="9" spans="1:13" ht="16.5" thickTop="1" thickBot="1" x14ac:dyDescent="0.3"/>
    <row r="10" spans="1:13" ht="15.75" thickTop="1" x14ac:dyDescent="0.25">
      <c r="A10" s="285"/>
      <c r="B10" s="285"/>
      <c r="C10" s="285"/>
      <c r="D10" s="285" t="s">
        <v>932</v>
      </c>
      <c r="E10" s="285"/>
      <c r="F10" s="285"/>
      <c r="G10" s="285"/>
      <c r="I10" s="249" t="s">
        <v>18</v>
      </c>
      <c r="J10" s="248" t="s">
        <v>942</v>
      </c>
      <c r="L10" s="247" t="s">
        <v>18</v>
      </c>
      <c r="M10" s="246" t="s">
        <v>942</v>
      </c>
    </row>
    <row r="11" spans="1:13" s="280" customFormat="1" x14ac:dyDescent="0.25">
      <c r="A11" s="285" t="s">
        <v>19</v>
      </c>
      <c r="B11" s="285" t="s">
        <v>18</v>
      </c>
      <c r="C11" s="286" t="s">
        <v>17</v>
      </c>
      <c r="D11" s="285" t="s">
        <v>514</v>
      </c>
      <c r="E11" s="285" t="s">
        <v>515</v>
      </c>
      <c r="F11" s="285" t="s">
        <v>516</v>
      </c>
      <c r="G11" s="285" t="s">
        <v>16</v>
      </c>
      <c r="I11" s="281" t="s">
        <v>5</v>
      </c>
      <c r="J11" s="282">
        <v>0.9</v>
      </c>
      <c r="L11" s="283" t="s">
        <v>450</v>
      </c>
      <c r="M11" s="284">
        <v>1.5</v>
      </c>
    </row>
    <row r="12" spans="1:13" x14ac:dyDescent="0.25">
      <c r="A12" s="285" t="s">
        <v>12</v>
      </c>
      <c r="B12" s="285" t="s">
        <v>11</v>
      </c>
      <c r="C12" s="304">
        <v>1.8</v>
      </c>
      <c r="D12" s="285">
        <v>230</v>
      </c>
      <c r="E12" s="285">
        <v>260</v>
      </c>
      <c r="F12" s="285">
        <v>248</v>
      </c>
      <c r="G12" s="301">
        <f>SUM(C12:F12)</f>
        <v>739.8</v>
      </c>
      <c r="I12" s="241" t="s">
        <v>7</v>
      </c>
      <c r="J12" s="240">
        <v>0.9</v>
      </c>
      <c r="L12" s="245" t="s">
        <v>114</v>
      </c>
      <c r="M12" s="244">
        <v>1</v>
      </c>
    </row>
    <row r="13" spans="1:13" x14ac:dyDescent="0.25">
      <c r="A13" s="285" t="s">
        <v>12</v>
      </c>
      <c r="B13" s="285" t="s">
        <v>10</v>
      </c>
      <c r="C13" s="304">
        <v>0.99</v>
      </c>
      <c r="D13" s="285">
        <v>420</v>
      </c>
      <c r="E13" s="285">
        <v>405</v>
      </c>
      <c r="F13" s="285">
        <v>410</v>
      </c>
      <c r="G13" s="301">
        <f t="shared" ref="G13:G30" si="0">SUM(C13:F13)</f>
        <v>1235.99</v>
      </c>
      <c r="I13" s="241" t="s">
        <v>6</v>
      </c>
      <c r="J13" s="240">
        <v>1.5</v>
      </c>
      <c r="L13" s="245" t="s">
        <v>116</v>
      </c>
      <c r="M13" s="244">
        <v>0.69</v>
      </c>
    </row>
    <row r="14" spans="1:13" x14ac:dyDescent="0.25">
      <c r="A14" s="285" t="s">
        <v>12</v>
      </c>
      <c r="B14" s="285" t="s">
        <v>9</v>
      </c>
      <c r="C14" s="304">
        <v>2.5</v>
      </c>
      <c r="D14" s="285">
        <v>180</v>
      </c>
      <c r="E14" s="285">
        <v>150</v>
      </c>
      <c r="F14" s="285">
        <v>165</v>
      </c>
      <c r="G14" s="301">
        <f t="shared" si="0"/>
        <v>497.5</v>
      </c>
      <c r="I14" s="241" t="s">
        <v>4</v>
      </c>
      <c r="J14" s="240">
        <v>1.99</v>
      </c>
      <c r="L14" s="245" t="s">
        <v>454</v>
      </c>
      <c r="M14" s="244">
        <v>1.89</v>
      </c>
    </row>
    <row r="15" spans="1:13" x14ac:dyDescent="0.25">
      <c r="A15" s="285" t="s">
        <v>12</v>
      </c>
      <c r="B15" s="285" t="s">
        <v>8</v>
      </c>
      <c r="C15" s="304">
        <v>3.5</v>
      </c>
      <c r="D15" s="285">
        <v>50</v>
      </c>
      <c r="E15" s="285">
        <v>56</v>
      </c>
      <c r="F15" s="285">
        <v>52</v>
      </c>
      <c r="G15" s="301">
        <f t="shared" si="0"/>
        <v>161.5</v>
      </c>
      <c r="I15" s="241" t="s">
        <v>10</v>
      </c>
      <c r="J15" s="240">
        <v>0.99</v>
      </c>
      <c r="L15" s="245" t="s">
        <v>453</v>
      </c>
      <c r="M15" s="244">
        <v>2.8</v>
      </c>
    </row>
    <row r="16" spans="1:13" x14ac:dyDescent="0.25">
      <c r="A16" s="285" t="s">
        <v>12</v>
      </c>
      <c r="B16" s="285" t="s">
        <v>7</v>
      </c>
      <c r="C16" s="304">
        <v>0.9</v>
      </c>
      <c r="D16" s="285">
        <v>150</v>
      </c>
      <c r="E16" s="285">
        <v>175</v>
      </c>
      <c r="F16" s="285">
        <v>164</v>
      </c>
      <c r="G16" s="301">
        <f t="shared" si="0"/>
        <v>489.9</v>
      </c>
      <c r="I16" s="241" t="s">
        <v>3</v>
      </c>
      <c r="J16" s="240">
        <v>1.55</v>
      </c>
      <c r="L16" s="245" t="s">
        <v>925</v>
      </c>
      <c r="M16" s="244">
        <v>0.5</v>
      </c>
    </row>
    <row r="17" spans="1:13" ht="15.75" thickBot="1" x14ac:dyDescent="0.3">
      <c r="A17" s="285" t="s">
        <v>12</v>
      </c>
      <c r="B17" s="285" t="s">
        <v>6</v>
      </c>
      <c r="C17" s="304">
        <v>1.5</v>
      </c>
      <c r="D17" s="285">
        <v>30</v>
      </c>
      <c r="E17" s="285">
        <v>21</v>
      </c>
      <c r="F17" s="285">
        <v>27</v>
      </c>
      <c r="G17" s="301">
        <f t="shared" si="0"/>
        <v>79.5</v>
      </c>
      <c r="I17" s="241" t="s">
        <v>11</v>
      </c>
      <c r="J17" s="240">
        <v>1.8</v>
      </c>
      <c r="L17" s="243" t="s">
        <v>455</v>
      </c>
      <c r="M17" s="242">
        <v>1.3</v>
      </c>
    </row>
    <row r="18" spans="1:13" ht="15.75" thickTop="1" x14ac:dyDescent="0.25">
      <c r="A18" s="285" t="s">
        <v>12</v>
      </c>
      <c r="B18" s="285" t="s">
        <v>5</v>
      </c>
      <c r="C18" s="304">
        <v>0.9</v>
      </c>
      <c r="D18" s="285">
        <v>120</v>
      </c>
      <c r="E18" s="285">
        <v>99</v>
      </c>
      <c r="F18" s="285">
        <v>110</v>
      </c>
      <c r="G18" s="301">
        <f t="shared" si="0"/>
        <v>329.9</v>
      </c>
      <c r="I18" s="241" t="s">
        <v>9</v>
      </c>
      <c r="J18" s="240">
        <v>2.5</v>
      </c>
    </row>
    <row r="19" spans="1:13" ht="15.75" thickBot="1" x14ac:dyDescent="0.3">
      <c r="A19" s="285" t="s">
        <v>12</v>
      </c>
      <c r="B19" s="285" t="s">
        <v>4</v>
      </c>
      <c r="C19" s="304">
        <v>1.99</v>
      </c>
      <c r="D19" s="285">
        <v>20</v>
      </c>
      <c r="E19" s="285">
        <v>35</v>
      </c>
      <c r="F19" s="285">
        <v>28</v>
      </c>
      <c r="G19" s="301">
        <f t="shared" si="0"/>
        <v>84.99</v>
      </c>
      <c r="I19" s="239" t="s">
        <v>8</v>
      </c>
      <c r="J19" s="238">
        <v>3.5</v>
      </c>
    </row>
    <row r="20" spans="1:13" ht="15.75" thickTop="1" x14ac:dyDescent="0.25">
      <c r="A20" s="285" t="s">
        <v>12</v>
      </c>
      <c r="B20" s="285" t="s">
        <v>3</v>
      </c>
      <c r="C20" s="304">
        <v>1.55</v>
      </c>
      <c r="D20" s="285">
        <v>45</v>
      </c>
      <c r="E20" s="285">
        <v>75</v>
      </c>
      <c r="F20" s="285">
        <v>63</v>
      </c>
      <c r="G20" s="301">
        <f t="shared" si="0"/>
        <v>184.55</v>
      </c>
    </row>
    <row r="21" spans="1:13" x14ac:dyDescent="0.25">
      <c r="A21" s="287" t="s">
        <v>985</v>
      </c>
      <c r="B21" s="287"/>
      <c r="C21" s="300">
        <f>SUM(C12:C20)</f>
        <v>15.63</v>
      </c>
      <c r="D21" s="287">
        <f>SUM(D12:D20)</f>
        <v>1245</v>
      </c>
      <c r="E21" s="287">
        <f>SUM(E12:E20)</f>
        <v>1276</v>
      </c>
      <c r="F21" s="287">
        <f>SUM(F12:F20)</f>
        <v>1267</v>
      </c>
      <c r="G21" s="302">
        <f>SUM(C21:F21)</f>
        <v>3803.63</v>
      </c>
    </row>
    <row r="22" spans="1:13" x14ac:dyDescent="0.25">
      <c r="A22" s="285" t="s">
        <v>449</v>
      </c>
      <c r="B22" s="285" t="s">
        <v>114</v>
      </c>
      <c r="C22" s="304">
        <v>1</v>
      </c>
      <c r="D22" s="285">
        <v>450</v>
      </c>
      <c r="E22" s="285">
        <v>436</v>
      </c>
      <c r="F22" s="285">
        <v>452</v>
      </c>
      <c r="G22" s="301">
        <f t="shared" si="0"/>
        <v>1339</v>
      </c>
    </row>
    <row r="23" spans="1:13" x14ac:dyDescent="0.25">
      <c r="A23" s="285" t="s">
        <v>449</v>
      </c>
      <c r="B23" s="285" t="s">
        <v>116</v>
      </c>
      <c r="C23" s="304">
        <v>0.69</v>
      </c>
      <c r="D23" s="285">
        <v>355</v>
      </c>
      <c r="E23" s="285">
        <v>305</v>
      </c>
      <c r="F23" s="285">
        <v>321</v>
      </c>
      <c r="G23" s="301">
        <f t="shared" si="0"/>
        <v>981.69</v>
      </c>
    </row>
    <row r="24" spans="1:13" ht="33" customHeight="1" x14ac:dyDescent="0.25">
      <c r="A24" s="285" t="s">
        <v>449</v>
      </c>
      <c r="B24" s="285" t="s">
        <v>925</v>
      </c>
      <c r="C24" s="304">
        <v>0.5</v>
      </c>
      <c r="D24" s="285">
        <v>80</v>
      </c>
      <c r="E24" s="285">
        <v>76</v>
      </c>
      <c r="F24" s="285">
        <v>75</v>
      </c>
      <c r="G24" s="301">
        <f t="shared" si="0"/>
        <v>231.5</v>
      </c>
    </row>
    <row r="25" spans="1:13" x14ac:dyDescent="0.25">
      <c r="A25" s="285" t="s">
        <v>449</v>
      </c>
      <c r="B25" s="285" t="s">
        <v>453</v>
      </c>
      <c r="C25" s="304">
        <v>2.8</v>
      </c>
      <c r="D25" s="285">
        <v>58</v>
      </c>
      <c r="E25" s="285">
        <v>63</v>
      </c>
      <c r="F25" s="285">
        <v>59</v>
      </c>
      <c r="G25" s="301">
        <f t="shared" si="0"/>
        <v>182.8</v>
      </c>
    </row>
    <row r="26" spans="1:13" x14ac:dyDescent="0.25">
      <c r="A26" s="285" t="s">
        <v>449</v>
      </c>
      <c r="B26" s="285" t="s">
        <v>455</v>
      </c>
      <c r="C26" s="304">
        <v>1.3</v>
      </c>
      <c r="D26" s="285">
        <v>123</v>
      </c>
      <c r="E26" s="285">
        <v>152</v>
      </c>
      <c r="F26" s="285">
        <v>139</v>
      </c>
      <c r="G26" s="301">
        <f t="shared" si="0"/>
        <v>415.3</v>
      </c>
    </row>
    <row r="27" spans="1:13" x14ac:dyDescent="0.25">
      <c r="A27" s="285" t="s">
        <v>449</v>
      </c>
      <c r="B27" s="285" t="s">
        <v>450</v>
      </c>
      <c r="C27" s="304">
        <v>1.5</v>
      </c>
      <c r="D27" s="285">
        <v>86</v>
      </c>
      <c r="E27" s="285">
        <v>96</v>
      </c>
      <c r="F27" s="285">
        <v>95</v>
      </c>
      <c r="G27" s="301">
        <f t="shared" si="0"/>
        <v>278.5</v>
      </c>
    </row>
    <row r="28" spans="1:13" x14ac:dyDescent="0.25">
      <c r="A28" s="285" t="s">
        <v>449</v>
      </c>
      <c r="B28" s="285" t="s">
        <v>454</v>
      </c>
      <c r="C28" s="304">
        <v>1.89</v>
      </c>
      <c r="D28" s="285">
        <v>113</v>
      </c>
      <c r="E28" s="285">
        <v>105</v>
      </c>
      <c r="F28" s="285">
        <v>120</v>
      </c>
      <c r="G28" s="301">
        <f t="shared" si="0"/>
        <v>339.89</v>
      </c>
    </row>
    <row r="29" spans="1:13" x14ac:dyDescent="0.25">
      <c r="A29" s="287" t="s">
        <v>988</v>
      </c>
      <c r="B29" s="287"/>
      <c r="C29" s="300">
        <f>SUM(C22:C28)</f>
        <v>9.68</v>
      </c>
      <c r="D29" s="287">
        <f>SUM(D22:D28)</f>
        <v>1265</v>
      </c>
      <c r="E29" s="287">
        <f>SUM(E22:E28)</f>
        <v>1233</v>
      </c>
      <c r="F29" s="287">
        <f>SUM(F22:F28)</f>
        <v>1261</v>
      </c>
      <c r="G29" s="302">
        <f t="shared" si="0"/>
        <v>3768.6800000000003</v>
      </c>
    </row>
    <row r="30" spans="1:13" x14ac:dyDescent="0.25">
      <c r="A30" s="288" t="s">
        <v>935</v>
      </c>
      <c r="B30" s="288"/>
      <c r="C30" s="305">
        <f>SUM(C21,C29)</f>
        <v>25.310000000000002</v>
      </c>
      <c r="D30" s="299">
        <f>SUM(D21,D29)</f>
        <v>2510</v>
      </c>
      <c r="E30" s="299">
        <f t="shared" ref="E30:F30" si="1">SUM(E21,E29)</f>
        <v>2509</v>
      </c>
      <c r="F30" s="299">
        <f t="shared" si="1"/>
        <v>2528</v>
      </c>
      <c r="G30" s="303">
        <f t="shared" si="0"/>
        <v>7572.3099999999995</v>
      </c>
    </row>
    <row r="31" spans="1:13" x14ac:dyDescent="0.25">
      <c r="I31" s="40" t="s">
        <v>949</v>
      </c>
    </row>
    <row r="33" spans="1:13" ht="23.25" x14ac:dyDescent="0.35">
      <c r="A33" s="237"/>
      <c r="B33" s="237"/>
      <c r="C33" s="237"/>
      <c r="D33" s="237"/>
      <c r="E33" s="237"/>
      <c r="I33" s="237" t="s">
        <v>941</v>
      </c>
      <c r="J33" s="237"/>
      <c r="K33" s="237"/>
      <c r="L33" s="237"/>
      <c r="M33" s="237"/>
    </row>
    <row r="34" spans="1:13" x14ac:dyDescent="0.25">
      <c r="A34"/>
      <c r="B34"/>
      <c r="C34"/>
      <c r="D34"/>
      <c r="E34"/>
    </row>
    <row r="35" spans="1:13" x14ac:dyDescent="0.25">
      <c r="A35"/>
      <c r="B35" s="64"/>
      <c r="C35" s="64"/>
      <c r="D35" s="64"/>
      <c r="E35" s="64"/>
      <c r="J35" s="64" t="s">
        <v>939</v>
      </c>
      <c r="K35" s="64" t="s">
        <v>938</v>
      </c>
      <c r="L35" s="64" t="s">
        <v>937</v>
      </c>
      <c r="M35" s="64" t="s">
        <v>936</v>
      </c>
    </row>
    <row r="36" spans="1:13" x14ac:dyDescent="0.25">
      <c r="A36" s="236"/>
      <c r="B36" s="236"/>
      <c r="C36" s="236"/>
      <c r="D36" s="236"/>
      <c r="E36" s="236"/>
      <c r="I36" s="236" t="s">
        <v>11</v>
      </c>
      <c r="J36" s="236">
        <v>15</v>
      </c>
      <c r="K36" s="236">
        <v>150</v>
      </c>
      <c r="L36" s="236">
        <v>120</v>
      </c>
      <c r="M36" s="236">
        <f>+J36+K36-L36</f>
        <v>45</v>
      </c>
    </row>
    <row r="37" spans="1:13" x14ac:dyDescent="0.25">
      <c r="A37" s="236"/>
      <c r="B37" s="236"/>
      <c r="C37" s="236"/>
      <c r="D37" s="236"/>
      <c r="E37" s="236"/>
      <c r="I37" s="236" t="s">
        <v>10</v>
      </c>
      <c r="J37" s="236">
        <v>5</v>
      </c>
      <c r="K37" s="236">
        <v>100</v>
      </c>
      <c r="L37" s="236">
        <v>95</v>
      </c>
      <c r="M37" s="236">
        <f>+J37+K37-L37</f>
        <v>10</v>
      </c>
    </row>
    <row r="38" spans="1:13" ht="15.75" thickBot="1" x14ac:dyDescent="0.3">
      <c r="A38" s="235"/>
      <c r="B38" s="235"/>
      <c r="C38" s="235"/>
      <c r="D38" s="235"/>
      <c r="E38" s="235"/>
      <c r="I38" s="235" t="s">
        <v>9</v>
      </c>
      <c r="J38" s="235">
        <v>12</v>
      </c>
      <c r="K38" s="235">
        <v>45</v>
      </c>
      <c r="L38" s="235">
        <v>50</v>
      </c>
      <c r="M38" s="235">
        <f>+J38+K38-L38</f>
        <v>7</v>
      </c>
    </row>
    <row r="39" spans="1:13" ht="15.75" thickTop="1" x14ac:dyDescent="0.25">
      <c r="A39" s="234"/>
      <c r="B39" s="234"/>
      <c r="C39" s="234"/>
      <c r="D39" s="234"/>
      <c r="E39" s="234"/>
      <c r="I39" s="234" t="s">
        <v>935</v>
      </c>
      <c r="J39" s="234">
        <f>SUM(J36:J38)</f>
        <v>32</v>
      </c>
      <c r="K39" s="234">
        <f>SUM(K36:K38)</f>
        <v>295</v>
      </c>
      <c r="L39" s="234">
        <f>SUM(L36:L38)</f>
        <v>265</v>
      </c>
      <c r="M39" s="234">
        <f>SUM(M36:M38)</f>
        <v>62</v>
      </c>
    </row>
    <row r="42" spans="1:13" ht="23.25" x14ac:dyDescent="0.35">
      <c r="A42" s="278" t="s">
        <v>940</v>
      </c>
      <c r="I42" s="237" t="s">
        <v>940</v>
      </c>
      <c r="J42" s="237"/>
      <c r="K42" s="237"/>
      <c r="L42" s="237"/>
      <c r="M42" s="237"/>
    </row>
    <row r="44" spans="1:13" ht="30" x14ac:dyDescent="0.25">
      <c r="B44" s="278" t="s">
        <v>939</v>
      </c>
      <c r="C44" s="278" t="s">
        <v>938</v>
      </c>
      <c r="D44" s="278" t="s">
        <v>937</v>
      </c>
      <c r="E44" s="278" t="s">
        <v>936</v>
      </c>
      <c r="J44" s="64" t="s">
        <v>939</v>
      </c>
      <c r="K44" s="64" t="s">
        <v>938</v>
      </c>
      <c r="L44" s="64" t="s">
        <v>937</v>
      </c>
      <c r="M44" s="64" t="s">
        <v>936</v>
      </c>
    </row>
    <row r="45" spans="1:13" x14ac:dyDescent="0.25">
      <c r="A45" s="278" t="s">
        <v>11</v>
      </c>
      <c r="B45" s="278">
        <v>45</v>
      </c>
      <c r="C45" s="278">
        <v>120</v>
      </c>
      <c r="D45" s="278">
        <v>145</v>
      </c>
      <c r="E45" s="278">
        <v>20</v>
      </c>
      <c r="I45" s="236" t="s">
        <v>11</v>
      </c>
      <c r="J45" s="236">
        <f>+M36</f>
        <v>45</v>
      </c>
      <c r="K45" s="236">
        <v>120</v>
      </c>
      <c r="L45" s="236">
        <v>145</v>
      </c>
      <c r="M45" s="236">
        <f>+J45+K45-L45</f>
        <v>20</v>
      </c>
    </row>
    <row r="46" spans="1:13" x14ac:dyDescent="0.25">
      <c r="A46" s="278" t="s">
        <v>10</v>
      </c>
      <c r="B46" s="278">
        <v>10</v>
      </c>
      <c r="C46" s="278">
        <v>95</v>
      </c>
      <c r="D46" s="278">
        <v>100</v>
      </c>
      <c r="E46" s="278">
        <v>5</v>
      </c>
      <c r="I46" s="236" t="s">
        <v>10</v>
      </c>
      <c r="J46" s="236">
        <f>+M37</f>
        <v>10</v>
      </c>
      <c r="K46" s="236">
        <v>95</v>
      </c>
      <c r="L46" s="236">
        <v>100</v>
      </c>
      <c r="M46" s="236">
        <f>+J46+K46-L46</f>
        <v>5</v>
      </c>
    </row>
    <row r="47" spans="1:13" ht="15.75" thickBot="1" x14ac:dyDescent="0.3">
      <c r="A47" s="278" t="s">
        <v>9</v>
      </c>
      <c r="B47" s="278">
        <v>7</v>
      </c>
      <c r="C47" s="278">
        <v>50</v>
      </c>
      <c r="D47" s="278">
        <v>45</v>
      </c>
      <c r="E47" s="278">
        <v>12</v>
      </c>
      <c r="I47" s="235" t="s">
        <v>9</v>
      </c>
      <c r="J47" s="235">
        <f>+M38</f>
        <v>7</v>
      </c>
      <c r="K47" s="235">
        <v>50</v>
      </c>
      <c r="L47" s="235">
        <v>45</v>
      </c>
      <c r="M47" s="235">
        <f>+J47+K47-L47</f>
        <v>12</v>
      </c>
    </row>
    <row r="48" spans="1:13" ht="15.75" thickTop="1" x14ac:dyDescent="0.25">
      <c r="A48" s="278" t="s">
        <v>935</v>
      </c>
      <c r="B48" s="278">
        <v>62</v>
      </c>
      <c r="C48" s="278">
        <v>265</v>
      </c>
      <c r="D48" s="278">
        <v>290</v>
      </c>
      <c r="E48" s="278">
        <v>37</v>
      </c>
      <c r="I48" s="234" t="s">
        <v>935</v>
      </c>
      <c r="J48" s="234">
        <f>SUM(J45:J47)</f>
        <v>62</v>
      </c>
      <c r="K48" s="234">
        <f>SUM(K45:K47)</f>
        <v>265</v>
      </c>
      <c r="L48" s="234">
        <f>SUM(L45:L47)</f>
        <v>290</v>
      </c>
      <c r="M48" s="234">
        <f>+J48+K48-L48</f>
        <v>37</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E1DCC-6E55-4543-8081-65973A7A0F7E}">
  <dimension ref="B1:M54"/>
  <sheetViews>
    <sheetView topLeftCell="A23" zoomScaleNormal="100" workbookViewId="0">
      <selection activeCell="H40" sqref="H40"/>
    </sheetView>
  </sheetViews>
  <sheetFormatPr defaultColWidth="8.85546875" defaultRowHeight="15" x14ac:dyDescent="0.25"/>
  <cols>
    <col min="1" max="1" width="2.85546875" customWidth="1"/>
    <col min="2" max="2" width="22.140625" customWidth="1"/>
    <col min="3" max="3" width="15" customWidth="1"/>
    <col min="4" max="4" width="11.5703125" customWidth="1"/>
    <col min="5" max="5" width="10.28515625" customWidth="1"/>
    <col min="6" max="6" width="14.42578125" customWidth="1"/>
    <col min="7" max="7" width="9.85546875" customWidth="1"/>
    <col min="8" max="8" width="10.42578125" customWidth="1"/>
    <col min="9" max="9" width="13.140625" customWidth="1"/>
    <col min="11" max="11" width="16.42578125" customWidth="1"/>
    <col min="20" max="20" width="20.42578125" bestFit="1" customWidth="1"/>
    <col min="21" max="21" width="12.5703125" bestFit="1" customWidth="1"/>
  </cols>
  <sheetData>
    <row r="1" spans="2:13" ht="23.25" x14ac:dyDescent="0.35">
      <c r="B1" s="257" t="s">
        <v>958</v>
      </c>
      <c r="C1" s="1" t="s">
        <v>934</v>
      </c>
      <c r="D1" s="39"/>
      <c r="E1" s="39"/>
      <c r="F1" s="39"/>
      <c r="G1" s="39"/>
      <c r="H1" s="39"/>
      <c r="I1" s="38"/>
      <c r="J1" s="38"/>
      <c r="K1" s="38"/>
    </row>
    <row r="3" spans="2:13" ht="15.75" customHeight="1" x14ac:dyDescent="0.25"/>
    <row r="4" spans="2:13" ht="18.75" x14ac:dyDescent="0.3">
      <c r="B4" s="233" t="s">
        <v>950</v>
      </c>
      <c r="C4" s="232"/>
      <c r="D4" s="232"/>
      <c r="E4" s="232"/>
      <c r="F4" s="232"/>
      <c r="G4" s="232"/>
      <c r="H4" s="232"/>
      <c r="I4" s="232"/>
    </row>
    <row r="5" spans="2:13" x14ac:dyDescent="0.25">
      <c r="B5" s="231" t="s">
        <v>933</v>
      </c>
      <c r="C5" s="231"/>
      <c r="D5" s="231"/>
      <c r="E5" s="231"/>
      <c r="F5" s="231"/>
      <c r="G5" s="231"/>
      <c r="H5" s="231"/>
      <c r="I5" s="231"/>
    </row>
    <row r="6" spans="2:13" ht="15.75" thickBot="1" x14ac:dyDescent="0.3">
      <c r="B6" s="231"/>
      <c r="C6" s="231"/>
      <c r="D6" s="231"/>
      <c r="E6" s="231"/>
      <c r="F6" s="231"/>
      <c r="G6" s="231"/>
      <c r="H6" s="231"/>
      <c r="I6" s="231"/>
    </row>
    <row r="7" spans="2:13" x14ac:dyDescent="0.25">
      <c r="B7" s="366" t="s">
        <v>19</v>
      </c>
      <c r="C7" s="368" t="s">
        <v>18</v>
      </c>
      <c r="D7" s="368" t="s">
        <v>17</v>
      </c>
      <c r="E7" s="370" t="s">
        <v>932</v>
      </c>
      <c r="F7" s="371"/>
      <c r="G7" s="371"/>
      <c r="H7" s="368" t="s">
        <v>931</v>
      </c>
      <c r="I7" s="372" t="s">
        <v>16</v>
      </c>
    </row>
    <row r="8" spans="2:13" x14ac:dyDescent="0.25">
      <c r="B8" s="367"/>
      <c r="C8" s="369"/>
      <c r="D8" s="369"/>
      <c r="E8" s="32" t="s">
        <v>15</v>
      </c>
      <c r="F8" s="32" t="s">
        <v>14</v>
      </c>
      <c r="G8" s="32" t="s">
        <v>13</v>
      </c>
      <c r="H8" s="369"/>
      <c r="I8" s="373"/>
    </row>
    <row r="9" spans="2:13" x14ac:dyDescent="0.25">
      <c r="B9" s="25" t="s">
        <v>12</v>
      </c>
      <c r="C9" s="18" t="s">
        <v>11</v>
      </c>
      <c r="D9" s="306">
        <v>0.9</v>
      </c>
      <c r="E9" s="295">
        <v>250</v>
      </c>
      <c r="F9" s="295">
        <v>350</v>
      </c>
      <c r="G9" s="295">
        <v>410</v>
      </c>
      <c r="H9" s="291">
        <f>SUM(D9:G9)</f>
        <v>1010.9</v>
      </c>
      <c r="I9" s="290">
        <f>D9*H9</f>
        <v>909.81</v>
      </c>
    </row>
    <row r="10" spans="2:13" x14ac:dyDescent="0.25">
      <c r="B10" s="24"/>
      <c r="C10" s="18" t="s">
        <v>10</v>
      </c>
      <c r="D10" s="306">
        <v>1.2</v>
      </c>
      <c r="E10" s="295"/>
      <c r="F10" s="295"/>
      <c r="G10" s="295">
        <v>410</v>
      </c>
      <c r="H10" s="291">
        <f t="shared" ref="H10:H17" si="0">SUM(D10:G10)</f>
        <v>411.2</v>
      </c>
      <c r="I10" s="290">
        <f t="shared" ref="I10:I27" si="1">D10*H10</f>
        <v>493.43999999999994</v>
      </c>
      <c r="K10" t="s">
        <v>123</v>
      </c>
      <c r="L10" s="289">
        <f>SUM(D9:D17)</f>
        <v>15.930000000000001</v>
      </c>
    </row>
    <row r="11" spans="2:13" x14ac:dyDescent="0.25">
      <c r="B11" s="24"/>
      <c r="C11" s="18" t="s">
        <v>9</v>
      </c>
      <c r="D11" s="306">
        <v>1.5</v>
      </c>
      <c r="E11" s="295">
        <v>180</v>
      </c>
      <c r="F11" s="295">
        <v>150</v>
      </c>
      <c r="G11" s="295">
        <v>165</v>
      </c>
      <c r="H11" s="291">
        <f t="shared" si="0"/>
        <v>496.5</v>
      </c>
      <c r="I11" s="290">
        <f t="shared" si="1"/>
        <v>744.75</v>
      </c>
      <c r="K11" t="s">
        <v>125</v>
      </c>
      <c r="L11" s="289">
        <f>AVERAGE(D9:D17)</f>
        <v>1.7700000000000002</v>
      </c>
    </row>
    <row r="12" spans="2:13" x14ac:dyDescent="0.25">
      <c r="B12" s="24"/>
      <c r="C12" s="18" t="s">
        <v>8</v>
      </c>
      <c r="D12" s="306">
        <v>1.99</v>
      </c>
      <c r="E12" s="295">
        <v>50</v>
      </c>
      <c r="F12" s="295">
        <v>56</v>
      </c>
      <c r="G12" s="295">
        <v>52</v>
      </c>
      <c r="H12" s="291">
        <f t="shared" si="0"/>
        <v>159.99</v>
      </c>
      <c r="I12" s="290">
        <f t="shared" si="1"/>
        <v>318.38010000000003</v>
      </c>
      <c r="K12" t="s">
        <v>131</v>
      </c>
      <c r="L12">
        <f>COUNT(E9:E17)</f>
        <v>7</v>
      </c>
      <c r="M12" t="s">
        <v>990</v>
      </c>
    </row>
    <row r="13" spans="2:13" x14ac:dyDescent="0.25">
      <c r="B13" s="24"/>
      <c r="C13" s="18" t="s">
        <v>7</v>
      </c>
      <c r="D13" s="306">
        <v>0.99</v>
      </c>
      <c r="E13" s="295">
        <v>150</v>
      </c>
      <c r="F13" s="295">
        <v>175</v>
      </c>
      <c r="G13" s="295">
        <v>164</v>
      </c>
      <c r="H13" s="291">
        <f t="shared" si="0"/>
        <v>489.99</v>
      </c>
      <c r="I13" s="290">
        <f t="shared" si="1"/>
        <v>485.09010000000001</v>
      </c>
      <c r="K13" t="s">
        <v>951</v>
      </c>
      <c r="L13">
        <f>COUNTA(E9:E17)</f>
        <v>7</v>
      </c>
    </row>
    <row r="14" spans="2:13" x14ac:dyDescent="0.25">
      <c r="B14" s="24"/>
      <c r="C14" s="18" t="s">
        <v>6</v>
      </c>
      <c r="D14" s="306">
        <v>1.55</v>
      </c>
      <c r="E14" s="295">
        <v>30</v>
      </c>
      <c r="F14" s="295">
        <v>21</v>
      </c>
      <c r="G14" s="295">
        <v>27</v>
      </c>
      <c r="H14" s="291">
        <f t="shared" si="0"/>
        <v>79.55</v>
      </c>
      <c r="I14" s="290">
        <f t="shared" si="1"/>
        <v>123.30249999999999</v>
      </c>
      <c r="K14" t="s">
        <v>952</v>
      </c>
      <c r="L14">
        <f>COUNTBLANK(G9:G17)</f>
        <v>1</v>
      </c>
      <c r="M14" t="s">
        <v>989</v>
      </c>
    </row>
    <row r="15" spans="2:13" x14ac:dyDescent="0.25">
      <c r="B15" s="24"/>
      <c r="C15" s="18" t="s">
        <v>5</v>
      </c>
      <c r="D15" s="306">
        <v>1.8</v>
      </c>
      <c r="E15" s="295">
        <v>120</v>
      </c>
      <c r="F15" s="295">
        <v>99</v>
      </c>
      <c r="G15" s="295">
        <v>110</v>
      </c>
      <c r="H15" s="291">
        <f t="shared" si="0"/>
        <v>330.8</v>
      </c>
      <c r="I15" s="290">
        <f t="shared" si="1"/>
        <v>595.44000000000005</v>
      </c>
      <c r="K15" t="s">
        <v>129</v>
      </c>
      <c r="L15" s="289">
        <f>MAX(D9:D17)</f>
        <v>3.5</v>
      </c>
    </row>
    <row r="16" spans="2:13" x14ac:dyDescent="0.25">
      <c r="B16" s="24"/>
      <c r="C16" s="18" t="s">
        <v>4</v>
      </c>
      <c r="D16" s="306">
        <v>2.5</v>
      </c>
      <c r="E16" s="295"/>
      <c r="F16" s="295"/>
      <c r="G16" s="295"/>
      <c r="H16" s="291">
        <f t="shared" si="0"/>
        <v>2.5</v>
      </c>
      <c r="I16" s="290">
        <f t="shared" si="1"/>
        <v>6.25</v>
      </c>
      <c r="K16" t="s">
        <v>127</v>
      </c>
      <c r="L16" s="289">
        <f>MIN(D9:D17)</f>
        <v>0.9</v>
      </c>
    </row>
    <row r="17" spans="2:13" x14ac:dyDescent="0.25">
      <c r="B17" s="19"/>
      <c r="C17" s="18" t="s">
        <v>3</v>
      </c>
      <c r="D17" s="306">
        <v>3.5</v>
      </c>
      <c r="E17" s="295">
        <v>45</v>
      </c>
      <c r="F17" s="295">
        <v>75</v>
      </c>
      <c r="G17" s="295">
        <v>63</v>
      </c>
      <c r="H17" s="291">
        <f t="shared" si="0"/>
        <v>186.5</v>
      </c>
      <c r="I17" s="290">
        <f t="shared" si="1"/>
        <v>652.75</v>
      </c>
      <c r="K17" t="s">
        <v>953</v>
      </c>
      <c r="L17">
        <f>LARGE(D9:D17,1)</f>
        <v>3.5</v>
      </c>
      <c r="M17" t="s">
        <v>991</v>
      </c>
    </row>
    <row r="18" spans="2:13" x14ac:dyDescent="0.25">
      <c r="B18" s="14" t="s">
        <v>930</v>
      </c>
      <c r="C18" s="13"/>
      <c r="D18" s="307">
        <f>SUM(D9:D17)</f>
        <v>15.930000000000001</v>
      </c>
      <c r="E18" s="292">
        <f t="shared" ref="E18:H18" si="2">SUM(E9:E17)</f>
        <v>825</v>
      </c>
      <c r="F18" s="292">
        <f t="shared" si="2"/>
        <v>926</v>
      </c>
      <c r="G18" s="292">
        <f t="shared" si="2"/>
        <v>1401</v>
      </c>
      <c r="H18" s="292">
        <f t="shared" si="2"/>
        <v>3167.9300000000003</v>
      </c>
      <c r="I18" s="296">
        <f>D18*H18</f>
        <v>50465.12490000001</v>
      </c>
      <c r="K18" t="s">
        <v>954</v>
      </c>
      <c r="L18">
        <f>SMALL(D9:D17,2)</f>
        <v>0.99</v>
      </c>
      <c r="M18" t="s">
        <v>992</v>
      </c>
    </row>
    <row r="19" spans="2:13" x14ac:dyDescent="0.25">
      <c r="B19" s="25" t="s">
        <v>449</v>
      </c>
      <c r="C19" s="18" t="s">
        <v>114</v>
      </c>
      <c r="D19" s="306">
        <v>1.5</v>
      </c>
      <c r="E19" s="295">
        <v>450</v>
      </c>
      <c r="F19" s="295">
        <v>436</v>
      </c>
      <c r="G19" s="295"/>
      <c r="H19" s="291">
        <f>SUM(D19:G19)</f>
        <v>887.5</v>
      </c>
      <c r="I19" s="290">
        <f t="shared" si="1"/>
        <v>1331.25</v>
      </c>
    </row>
    <row r="20" spans="2:13" x14ac:dyDescent="0.25">
      <c r="B20" s="24"/>
      <c r="C20" s="18" t="s">
        <v>116</v>
      </c>
      <c r="D20" s="306">
        <v>1</v>
      </c>
      <c r="E20" s="295">
        <v>355</v>
      </c>
      <c r="F20" s="295">
        <v>305</v>
      </c>
      <c r="G20" s="295">
        <v>321</v>
      </c>
      <c r="H20" s="291">
        <f t="shared" ref="H20:H25" si="3">SUM(D20:G20)</f>
        <v>982</v>
      </c>
      <c r="I20" s="290">
        <f t="shared" si="1"/>
        <v>982</v>
      </c>
    </row>
    <row r="21" spans="2:13" ht="30" x14ac:dyDescent="0.25">
      <c r="B21" s="24"/>
      <c r="C21" s="226" t="s">
        <v>925</v>
      </c>
      <c r="D21" s="306">
        <v>0.69</v>
      </c>
      <c r="E21" s="295"/>
      <c r="F21" s="295">
        <v>76</v>
      </c>
      <c r="G21" s="295">
        <v>75</v>
      </c>
      <c r="H21" s="291">
        <f>SUM(D21:G21)</f>
        <v>151.69</v>
      </c>
      <c r="I21" s="290">
        <f t="shared" si="1"/>
        <v>104.66609999999999</v>
      </c>
    </row>
    <row r="22" spans="2:13" x14ac:dyDescent="0.25">
      <c r="B22" s="24"/>
      <c r="C22" s="18" t="s">
        <v>453</v>
      </c>
      <c r="D22" s="306">
        <v>1.89</v>
      </c>
      <c r="E22" s="295">
        <v>58</v>
      </c>
      <c r="F22" s="295">
        <v>63</v>
      </c>
      <c r="G22" s="295">
        <v>59</v>
      </c>
      <c r="H22" s="291">
        <f t="shared" si="3"/>
        <v>181.89</v>
      </c>
      <c r="I22" s="290">
        <f t="shared" si="1"/>
        <v>343.77209999999997</v>
      </c>
    </row>
    <row r="23" spans="2:13" x14ac:dyDescent="0.25">
      <c r="B23" s="24"/>
      <c r="C23" s="18" t="s">
        <v>455</v>
      </c>
      <c r="D23" s="306">
        <v>2.8</v>
      </c>
      <c r="E23" s="295">
        <v>123</v>
      </c>
      <c r="F23" s="295">
        <v>152</v>
      </c>
      <c r="G23" s="295">
        <v>139</v>
      </c>
      <c r="H23" s="291">
        <f t="shared" si="3"/>
        <v>416.8</v>
      </c>
      <c r="I23" s="290">
        <f t="shared" si="1"/>
        <v>1167.04</v>
      </c>
    </row>
    <row r="24" spans="2:13" x14ac:dyDescent="0.25">
      <c r="B24" s="24"/>
      <c r="C24" s="18" t="s">
        <v>450</v>
      </c>
      <c r="D24" s="306">
        <v>0.5</v>
      </c>
      <c r="E24" s="295">
        <v>86</v>
      </c>
      <c r="F24" s="295">
        <v>96</v>
      </c>
      <c r="G24" s="295">
        <v>95</v>
      </c>
      <c r="H24" s="291">
        <f t="shared" si="3"/>
        <v>277.5</v>
      </c>
      <c r="I24" s="290">
        <f t="shared" si="1"/>
        <v>138.75</v>
      </c>
    </row>
    <row r="25" spans="2:13" x14ac:dyDescent="0.25">
      <c r="B25" s="19"/>
      <c r="C25" s="18" t="s">
        <v>454</v>
      </c>
      <c r="D25" s="306">
        <v>1.3</v>
      </c>
      <c r="E25" s="295">
        <v>113</v>
      </c>
      <c r="F25" s="295">
        <v>105</v>
      </c>
      <c r="G25" s="295">
        <v>120</v>
      </c>
      <c r="H25" s="291">
        <f t="shared" si="3"/>
        <v>339.3</v>
      </c>
      <c r="I25" s="290">
        <f t="shared" si="1"/>
        <v>441.09000000000003</v>
      </c>
    </row>
    <row r="26" spans="2:13" ht="15.75" thickBot="1" x14ac:dyDescent="0.3">
      <c r="B26" s="230" t="s">
        <v>929</v>
      </c>
      <c r="C26" s="229"/>
      <c r="D26" s="308">
        <f>SUM(D19:D25)</f>
        <v>9.68</v>
      </c>
      <c r="E26" s="293">
        <f t="shared" ref="E26:G26" si="4">SUM(E19:E25)</f>
        <v>1185</v>
      </c>
      <c r="F26" s="293">
        <f t="shared" si="4"/>
        <v>1233</v>
      </c>
      <c r="G26" s="293">
        <f t="shared" si="4"/>
        <v>809</v>
      </c>
      <c r="H26" s="293">
        <f>SUM(H19:H25)</f>
        <v>3236.6800000000003</v>
      </c>
      <c r="I26" s="296">
        <f t="shared" si="1"/>
        <v>31331.062400000003</v>
      </c>
    </row>
    <row r="27" spans="2:13" ht="16.5" thickTop="1" thickBot="1" x14ac:dyDescent="0.3">
      <c r="B27" s="228" t="s">
        <v>732</v>
      </c>
      <c r="C27" s="227"/>
      <c r="D27" s="309">
        <f>SUM(D26,D18)</f>
        <v>25.61</v>
      </c>
      <c r="E27" s="294">
        <f t="shared" ref="E27:H27" si="5">SUM(E26,E18)</f>
        <v>2010</v>
      </c>
      <c r="F27" s="294">
        <f t="shared" si="5"/>
        <v>2159</v>
      </c>
      <c r="G27" s="294">
        <f t="shared" si="5"/>
        <v>2210</v>
      </c>
      <c r="H27" s="294">
        <f t="shared" si="5"/>
        <v>6404.6100000000006</v>
      </c>
      <c r="I27" s="297">
        <f t="shared" si="1"/>
        <v>164022.06210000001</v>
      </c>
    </row>
    <row r="29" spans="2:13" x14ac:dyDescent="0.25">
      <c r="B29" s="40" t="s">
        <v>928</v>
      </c>
    </row>
    <row r="30" spans="2:13" ht="15.75" thickBot="1" x14ac:dyDescent="0.3"/>
    <row r="31" spans="2:13" ht="15" customHeight="1" x14ac:dyDescent="0.25">
      <c r="C31" s="374" t="s">
        <v>18</v>
      </c>
      <c r="D31" s="376" t="s">
        <v>17</v>
      </c>
      <c r="E31" s="376" t="s">
        <v>927</v>
      </c>
      <c r="F31" s="376" t="s">
        <v>926</v>
      </c>
    </row>
    <row r="32" spans="2:13" x14ac:dyDescent="0.25">
      <c r="C32" s="375"/>
      <c r="D32" s="377"/>
      <c r="E32" s="377"/>
      <c r="F32" s="377"/>
    </row>
    <row r="33" spans="3:13" x14ac:dyDescent="0.25">
      <c r="C33" s="18" t="s">
        <v>11</v>
      </c>
      <c r="D33" s="17">
        <v>0.9</v>
      </c>
      <c r="E33" s="225">
        <v>0.15</v>
      </c>
      <c r="F33" s="277">
        <f>ROUND(D33+(D33*E33), 3)</f>
        <v>1.0349999999999999</v>
      </c>
      <c r="H33" t="s">
        <v>955</v>
      </c>
    </row>
    <row r="34" spans="3:13" x14ac:dyDescent="0.25">
      <c r="C34" s="18" t="s">
        <v>10</v>
      </c>
      <c r="D34" s="17">
        <v>1.2</v>
      </c>
      <c r="E34" s="225">
        <v>0.15</v>
      </c>
      <c r="F34" s="277">
        <f t="shared" ref="F34:F48" si="6">ROUND(D34+(D34*E34), 3)</f>
        <v>1.38</v>
      </c>
      <c r="H34" t="s">
        <v>956</v>
      </c>
      <c r="I34" t="s">
        <v>993</v>
      </c>
    </row>
    <row r="35" spans="3:13" x14ac:dyDescent="0.25">
      <c r="C35" s="18" t="s">
        <v>9</v>
      </c>
      <c r="D35" s="17">
        <v>1.5</v>
      </c>
      <c r="E35" s="225">
        <v>0.15</v>
      </c>
      <c r="F35" s="277">
        <f t="shared" si="6"/>
        <v>1.7250000000000001</v>
      </c>
      <c r="H35" t="s">
        <v>957</v>
      </c>
      <c r="I35" t="s">
        <v>994</v>
      </c>
      <c r="L35" t="s">
        <v>956</v>
      </c>
      <c r="M35" t="s">
        <v>957</v>
      </c>
    </row>
    <row r="36" spans="3:13" x14ac:dyDescent="0.25">
      <c r="C36" s="18" t="s">
        <v>409</v>
      </c>
      <c r="D36" s="17">
        <v>1.99</v>
      </c>
      <c r="E36" s="225">
        <v>0.15</v>
      </c>
      <c r="F36" s="277">
        <f t="shared" si="6"/>
        <v>2.2890000000000001</v>
      </c>
      <c r="L36" s="298">
        <f>ROUNDUP(F33,2)</f>
        <v>1.04</v>
      </c>
      <c r="M36" s="298">
        <f>ROUNDDOWN(F33,2)</f>
        <v>1.03</v>
      </c>
    </row>
    <row r="37" spans="3:13" x14ac:dyDescent="0.25">
      <c r="C37" s="18" t="s">
        <v>7</v>
      </c>
      <c r="D37" s="17">
        <v>0.99</v>
      </c>
      <c r="E37" s="225">
        <v>0.15</v>
      </c>
      <c r="F37" s="277">
        <f t="shared" si="6"/>
        <v>1.139</v>
      </c>
      <c r="L37" s="298">
        <f t="shared" ref="L37:L50" si="7">ROUNDUP(F34,2)</f>
        <v>1.38</v>
      </c>
      <c r="M37" s="298">
        <f t="shared" ref="M37:M51" si="8">ROUNDDOWN(F34,2)</f>
        <v>1.38</v>
      </c>
    </row>
    <row r="38" spans="3:13" x14ac:dyDescent="0.25">
      <c r="C38" s="18" t="s">
        <v>6</v>
      </c>
      <c r="D38" s="17">
        <v>1.55</v>
      </c>
      <c r="E38" s="225">
        <v>0.15</v>
      </c>
      <c r="F38" s="277">
        <f t="shared" si="6"/>
        <v>1.7829999999999999</v>
      </c>
      <c r="L38" s="298">
        <f t="shared" si="7"/>
        <v>1.73</v>
      </c>
      <c r="M38" s="298">
        <f t="shared" si="8"/>
        <v>1.72</v>
      </c>
    </row>
    <row r="39" spans="3:13" x14ac:dyDescent="0.25">
      <c r="C39" s="18" t="s">
        <v>5</v>
      </c>
      <c r="D39" s="17">
        <v>1.8</v>
      </c>
      <c r="E39" s="225">
        <v>0.15</v>
      </c>
      <c r="F39" s="277">
        <f t="shared" si="6"/>
        <v>2.0699999999999998</v>
      </c>
      <c r="L39" s="298">
        <f t="shared" si="7"/>
        <v>2.2899999999999996</v>
      </c>
      <c r="M39" s="298">
        <f t="shared" si="8"/>
        <v>2.2799999999999998</v>
      </c>
    </row>
    <row r="40" spans="3:13" x14ac:dyDescent="0.25">
      <c r="C40" s="18" t="s">
        <v>4</v>
      </c>
      <c r="D40" s="17">
        <v>2.5</v>
      </c>
      <c r="E40" s="225">
        <v>0.15</v>
      </c>
      <c r="F40" s="277">
        <f t="shared" si="6"/>
        <v>2.875</v>
      </c>
      <c r="L40" s="298">
        <f t="shared" si="7"/>
        <v>1.1399999999999999</v>
      </c>
      <c r="M40" s="298">
        <f t="shared" si="8"/>
        <v>1.1299999999999999</v>
      </c>
    </row>
    <row r="41" spans="3:13" x14ac:dyDescent="0.25">
      <c r="C41" s="18" t="s">
        <v>3</v>
      </c>
      <c r="D41" s="17">
        <v>3.5</v>
      </c>
      <c r="E41" s="225">
        <v>0.15</v>
      </c>
      <c r="F41" s="277">
        <f t="shared" si="6"/>
        <v>4.0250000000000004</v>
      </c>
      <c r="L41" s="298">
        <f t="shared" si="7"/>
        <v>1.79</v>
      </c>
      <c r="M41" s="298">
        <f t="shared" si="8"/>
        <v>1.78</v>
      </c>
    </row>
    <row r="42" spans="3:13" ht="15" customHeight="1" x14ac:dyDescent="0.25">
      <c r="C42" s="18" t="s">
        <v>114</v>
      </c>
      <c r="D42" s="17">
        <v>1.5</v>
      </c>
      <c r="E42" s="225">
        <v>0.15</v>
      </c>
      <c r="F42" s="277">
        <f t="shared" si="6"/>
        <v>1.7250000000000001</v>
      </c>
      <c r="G42" s="51"/>
      <c r="H42" s="51"/>
      <c r="I42" s="51"/>
      <c r="L42" s="298">
        <f t="shared" si="7"/>
        <v>2.0699999999999998</v>
      </c>
      <c r="M42" s="298">
        <f t="shared" si="8"/>
        <v>2.0699999999999998</v>
      </c>
    </row>
    <row r="43" spans="3:13" x14ac:dyDescent="0.25">
      <c r="C43" s="18" t="s">
        <v>116</v>
      </c>
      <c r="D43" s="17">
        <v>1</v>
      </c>
      <c r="E43" s="225">
        <v>0.15</v>
      </c>
      <c r="F43" s="277">
        <f t="shared" si="6"/>
        <v>1.1499999999999999</v>
      </c>
      <c r="L43" s="298">
        <f t="shared" si="7"/>
        <v>2.88</v>
      </c>
      <c r="M43" s="298">
        <f t="shared" si="8"/>
        <v>2.87</v>
      </c>
    </row>
    <row r="44" spans="3:13" ht="30" x14ac:dyDescent="0.25">
      <c r="C44" s="226" t="s">
        <v>925</v>
      </c>
      <c r="D44" s="17">
        <v>0.69</v>
      </c>
      <c r="E44" s="225">
        <v>0.15</v>
      </c>
      <c r="F44" s="277">
        <f t="shared" si="6"/>
        <v>0.79400000000000004</v>
      </c>
      <c r="L44" s="298">
        <f t="shared" si="7"/>
        <v>4.0299999999999994</v>
      </c>
      <c r="M44" s="298">
        <f t="shared" si="8"/>
        <v>4.0199999999999996</v>
      </c>
    </row>
    <row r="45" spans="3:13" x14ac:dyDescent="0.25">
      <c r="C45" s="18" t="s">
        <v>453</v>
      </c>
      <c r="D45" s="17">
        <v>1.89</v>
      </c>
      <c r="E45" s="225">
        <v>0.15</v>
      </c>
      <c r="F45" s="277">
        <f t="shared" si="6"/>
        <v>2.1739999999999999</v>
      </c>
      <c r="L45" s="298">
        <f t="shared" si="7"/>
        <v>1.73</v>
      </c>
      <c r="M45" s="298">
        <f t="shared" si="8"/>
        <v>1.72</v>
      </c>
    </row>
    <row r="46" spans="3:13" x14ac:dyDescent="0.25">
      <c r="C46" s="18" t="s">
        <v>455</v>
      </c>
      <c r="D46" s="17">
        <v>2.8</v>
      </c>
      <c r="E46" s="225">
        <v>0.15</v>
      </c>
      <c r="F46" s="277">
        <f t="shared" si="6"/>
        <v>3.22</v>
      </c>
      <c r="L46" s="298">
        <f t="shared" si="7"/>
        <v>1.1499999999999999</v>
      </c>
      <c r="M46" s="298">
        <f t="shared" si="8"/>
        <v>1.1499999999999999</v>
      </c>
    </row>
    <row r="47" spans="3:13" x14ac:dyDescent="0.25">
      <c r="C47" s="18" t="s">
        <v>450</v>
      </c>
      <c r="D47" s="17">
        <v>0.5</v>
      </c>
      <c r="E47" s="225">
        <v>0.15</v>
      </c>
      <c r="F47" s="277">
        <f t="shared" si="6"/>
        <v>0.57499999999999996</v>
      </c>
      <c r="L47" s="298">
        <f t="shared" si="7"/>
        <v>0.8</v>
      </c>
      <c r="M47" s="298">
        <f t="shared" si="8"/>
        <v>0.79</v>
      </c>
    </row>
    <row r="48" spans="3:13" x14ac:dyDescent="0.25">
      <c r="C48" s="18" t="s">
        <v>454</v>
      </c>
      <c r="D48" s="17">
        <v>1.3</v>
      </c>
      <c r="E48" s="225">
        <v>0.15</v>
      </c>
      <c r="F48" s="277">
        <f t="shared" si="6"/>
        <v>1.4950000000000001</v>
      </c>
      <c r="L48" s="298">
        <f>ROUNDUP(F45,2)</f>
        <v>2.1799999999999997</v>
      </c>
      <c r="M48" s="298">
        <f t="shared" si="8"/>
        <v>2.17</v>
      </c>
    </row>
    <row r="49" spans="12:13" x14ac:dyDescent="0.25">
      <c r="L49" s="298">
        <f t="shared" si="7"/>
        <v>3.22</v>
      </c>
      <c r="M49" s="298">
        <f t="shared" si="8"/>
        <v>3.22</v>
      </c>
    </row>
    <row r="50" spans="12:13" x14ac:dyDescent="0.25">
      <c r="L50" s="298">
        <f t="shared" si="7"/>
        <v>0.57999999999999996</v>
      </c>
      <c r="M50" s="298">
        <f t="shared" si="8"/>
        <v>0.56999999999999995</v>
      </c>
    </row>
    <row r="51" spans="12:13" x14ac:dyDescent="0.25">
      <c r="L51" s="298">
        <f>ROUNDUP(F48,2)</f>
        <v>1.5</v>
      </c>
      <c r="M51" s="298">
        <f t="shared" si="8"/>
        <v>1.49</v>
      </c>
    </row>
    <row r="52" spans="12:13" x14ac:dyDescent="0.25">
      <c r="L52" s="298"/>
      <c r="M52" s="298"/>
    </row>
    <row r="53" spans="12:13" x14ac:dyDescent="0.25">
      <c r="L53" s="298"/>
      <c r="M53" s="298"/>
    </row>
    <row r="54" spans="12:13" x14ac:dyDescent="0.25">
      <c r="L54" s="298"/>
      <c r="M54" s="298"/>
    </row>
  </sheetData>
  <mergeCells count="10">
    <mergeCell ref="I7:I8"/>
    <mergeCell ref="C31:C32"/>
    <mergeCell ref="D31:D32"/>
    <mergeCell ref="E31:E32"/>
    <mergeCell ref="F31:F32"/>
    <mergeCell ref="B7:B8"/>
    <mergeCell ref="C7:C8"/>
    <mergeCell ref="D7:D8"/>
    <mergeCell ref="E7:G7"/>
    <mergeCell ref="H7:H8"/>
  </mergeCells>
  <pageMargins left="0.7" right="0.7" top="0.75" bottom="0.75" header="0.3" footer="0.3"/>
  <pageSetup paperSize="9" orientation="portrait" verticalDpi="0" r:id="rId1"/>
  <ignoredErrors>
    <ignoredError sqref="H18" formula="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69"/>
  <sheetViews>
    <sheetView topLeftCell="A30" zoomScaleNormal="100" workbookViewId="0">
      <selection activeCell="D48" sqref="D48"/>
    </sheetView>
  </sheetViews>
  <sheetFormatPr defaultRowHeight="15" x14ac:dyDescent="0.25"/>
  <cols>
    <col min="1" max="1" width="2.85546875" customWidth="1"/>
    <col min="2" max="2" width="19.42578125" customWidth="1"/>
    <col min="3" max="3" width="13.42578125" customWidth="1"/>
    <col min="4" max="4" width="11.5703125" customWidth="1"/>
    <col min="5" max="5" width="9" customWidth="1"/>
    <col min="6" max="6" width="9.42578125" customWidth="1"/>
    <col min="7" max="7" width="12.140625" customWidth="1"/>
    <col min="8" max="8" width="10.42578125" customWidth="1"/>
    <col min="9" max="9" width="13.140625" customWidth="1"/>
    <col min="10" max="10" width="16" customWidth="1"/>
    <col min="11" max="11" width="15.42578125" customWidth="1"/>
    <col min="12" max="12" width="14.5703125" customWidth="1"/>
    <col min="13" max="15" width="11.140625" customWidth="1"/>
    <col min="18" max="18" width="9.42578125" bestFit="1" customWidth="1"/>
    <col min="20" max="20" width="20.42578125" bestFit="1" customWidth="1"/>
    <col min="21" max="21" width="12.5703125" bestFit="1" customWidth="1"/>
  </cols>
  <sheetData>
    <row r="1" spans="2:16" ht="23.25" x14ac:dyDescent="0.35">
      <c r="B1" s="257" t="s">
        <v>891</v>
      </c>
      <c r="C1" s="1" t="s">
        <v>28</v>
      </c>
      <c r="D1" s="39"/>
      <c r="E1" s="39"/>
      <c r="F1" s="39"/>
      <c r="G1" s="39"/>
      <c r="H1" s="39"/>
      <c r="I1" s="38"/>
      <c r="J1" s="38"/>
      <c r="K1" s="38"/>
      <c r="L1" s="38"/>
      <c r="M1" s="38"/>
      <c r="N1" s="38"/>
      <c r="O1" s="38"/>
      <c r="P1" s="38"/>
    </row>
    <row r="3" spans="2:16" x14ac:dyDescent="0.25">
      <c r="B3" s="6" t="s">
        <v>27</v>
      </c>
      <c r="C3" t="str">
        <f>("Nukopijuokite formules iš langelių H"&amp;ROW(H11)&amp;" ir I"&amp;ROW(I11)&amp;" žemyn visiems vaisiams ir uogoms. Išlaikykite buvusį langelių formatą")</f>
        <v>Nukopijuokite formules iš langelių H11 ir I11 žemyn visiems vaisiams ir uogoms. Išlaikykite buvusį langelių formatą</v>
      </c>
    </row>
    <row r="4" spans="2:16" x14ac:dyDescent="0.25">
      <c r="B4" s="6" t="s">
        <v>26</v>
      </c>
      <c r="C4" t="str">
        <f>("Užrašykite sumavimo funkciją (SUM) langelyje E"&amp;ROW(E20)&amp;" ir ją nukopijuokite visuose kituose lentelės stulpeliuose. Išlaikykite buvusį langelių formatą")</f>
        <v>Užrašykite sumavimo funkciją (SUM) langelyje E20 ir ją nukopijuokite visuose kituose lentelės stulpeliuose. Išlaikykite buvusį langelių formatą</v>
      </c>
    </row>
    <row r="5" spans="2:16" x14ac:dyDescent="0.25">
      <c r="B5" s="6" t="s">
        <v>25</v>
      </c>
      <c r="C5" t="str">
        <f>("Užrašykite sumavimo funkcijas langelių H"&amp;ROW(H20)&amp;" ir I"&amp;ROW(I20)&amp;" (SUM)")</f>
        <v>Užrašykite sumavimo funkcijas langelių H20 ir I20 (SUM)</v>
      </c>
    </row>
    <row r="6" spans="2:16" x14ac:dyDescent="0.25">
      <c r="B6" s="6" t="s">
        <v>24</v>
      </c>
      <c r="C6" t="str">
        <f>("Užrašykite sandaugų sumavimo funkciją SUMPRODUCT (daugindami kainų ir susumuotų kiekių stulpelius) langelyje I"&amp;ROW(I22)&amp;". Išlaikykite buvusį langelių formatą")</f>
        <v>Užrašykite sandaugų sumavimo funkciją SUMPRODUCT (daugindami kainų ir susumuotų kiekių stulpelius) langelyje I22. Išlaikykite buvusį langelių formatą</v>
      </c>
    </row>
    <row r="7" spans="2:16" x14ac:dyDescent="0.25">
      <c r="B7" s="6"/>
    </row>
    <row r="8" spans="2:16" x14ac:dyDescent="0.25">
      <c r="B8" s="378" t="s">
        <v>19</v>
      </c>
      <c r="C8" s="378" t="s">
        <v>18</v>
      </c>
      <c r="D8" s="378" t="s">
        <v>17</v>
      </c>
      <c r="E8" s="382" t="s">
        <v>682</v>
      </c>
      <c r="F8" s="383"/>
      <c r="G8" s="384"/>
      <c r="H8" s="378" t="s">
        <v>683</v>
      </c>
      <c r="I8" s="378" t="s">
        <v>16</v>
      </c>
    </row>
    <row r="9" spans="2:16" x14ac:dyDescent="0.25">
      <c r="B9" s="379"/>
      <c r="C9" s="379"/>
      <c r="D9" s="379"/>
      <c r="E9" s="385"/>
      <c r="F9" s="386"/>
      <c r="G9" s="387"/>
      <c r="H9" s="379"/>
      <c r="I9" s="379"/>
    </row>
    <row r="10" spans="2:16" x14ac:dyDescent="0.25">
      <c r="B10" s="369"/>
      <c r="C10" s="369"/>
      <c r="D10" s="369"/>
      <c r="E10" s="32" t="s">
        <v>15</v>
      </c>
      <c r="F10" s="32" t="s">
        <v>14</v>
      </c>
      <c r="G10" s="32" t="s">
        <v>13</v>
      </c>
      <c r="H10" s="369"/>
      <c r="I10" s="369"/>
    </row>
    <row r="11" spans="2:16" x14ac:dyDescent="0.25">
      <c r="B11" s="37" t="s">
        <v>12</v>
      </c>
      <c r="C11" s="18" t="s">
        <v>11</v>
      </c>
      <c r="D11" s="306">
        <v>0.9</v>
      </c>
      <c r="E11" s="362">
        <v>250</v>
      </c>
      <c r="F11" s="362">
        <v>350</v>
      </c>
      <c r="G11" s="362">
        <v>410</v>
      </c>
      <c r="H11" s="360">
        <f>SUM(D11:G11)</f>
        <v>1010.9</v>
      </c>
      <c r="I11" s="310">
        <f>D11*H11</f>
        <v>909.81</v>
      </c>
      <c r="J11">
        <v>1</v>
      </c>
    </row>
    <row r="12" spans="2:16" x14ac:dyDescent="0.25">
      <c r="B12" s="36"/>
      <c r="C12" s="23" t="s">
        <v>10</v>
      </c>
      <c r="D12" s="311">
        <v>1.2</v>
      </c>
      <c r="E12" s="363"/>
      <c r="F12" s="363"/>
      <c r="G12" s="363">
        <v>410</v>
      </c>
      <c r="H12" s="360">
        <f t="shared" ref="H12:H19" si="0">SUM(D12:G12)</f>
        <v>411.2</v>
      </c>
      <c r="I12" s="310">
        <f t="shared" ref="I12:I19" si="1">D12*H12</f>
        <v>493.43999999999994</v>
      </c>
      <c r="J12">
        <v>1</v>
      </c>
    </row>
    <row r="13" spans="2:16" x14ac:dyDescent="0.25">
      <c r="B13" s="36"/>
      <c r="C13" s="18" t="s">
        <v>9</v>
      </c>
      <c r="D13" s="306">
        <v>1.5</v>
      </c>
      <c r="E13" s="362">
        <v>180</v>
      </c>
      <c r="F13" s="362">
        <v>150</v>
      </c>
      <c r="G13" s="362">
        <v>165</v>
      </c>
      <c r="H13" s="360">
        <f t="shared" si="0"/>
        <v>496.5</v>
      </c>
      <c r="I13" s="310">
        <f t="shared" si="1"/>
        <v>744.75</v>
      </c>
      <c r="J13">
        <v>1</v>
      </c>
    </row>
    <row r="14" spans="2:16" x14ac:dyDescent="0.25">
      <c r="B14" s="36"/>
      <c r="C14" s="23" t="s">
        <v>8</v>
      </c>
      <c r="D14" s="311">
        <v>1.99</v>
      </c>
      <c r="E14" s="363">
        <v>50</v>
      </c>
      <c r="F14" s="363">
        <v>56</v>
      </c>
      <c r="G14" s="363">
        <v>52</v>
      </c>
      <c r="H14" s="360">
        <f t="shared" si="0"/>
        <v>159.99</v>
      </c>
      <c r="I14" s="310">
        <f t="shared" si="1"/>
        <v>318.38010000000003</v>
      </c>
      <c r="J14">
        <v>0</v>
      </c>
    </row>
    <row r="15" spans="2:16" x14ac:dyDescent="0.25">
      <c r="B15" s="36"/>
      <c r="C15" s="18" t="s">
        <v>7</v>
      </c>
      <c r="D15" s="306">
        <v>0.99</v>
      </c>
      <c r="E15" s="362">
        <v>150</v>
      </c>
      <c r="F15" s="362">
        <v>175</v>
      </c>
      <c r="G15" s="362">
        <v>164</v>
      </c>
      <c r="H15" s="360">
        <f t="shared" si="0"/>
        <v>489.99</v>
      </c>
      <c r="I15" s="310">
        <f t="shared" si="1"/>
        <v>485.09010000000001</v>
      </c>
      <c r="J15">
        <v>1</v>
      </c>
    </row>
    <row r="16" spans="2:16" x14ac:dyDescent="0.25">
      <c r="B16" s="36"/>
      <c r="C16" s="23" t="s">
        <v>6</v>
      </c>
      <c r="D16" s="311">
        <v>1.55</v>
      </c>
      <c r="E16" s="363">
        <v>30</v>
      </c>
      <c r="F16" s="363">
        <v>21</v>
      </c>
      <c r="G16" s="363">
        <v>27</v>
      </c>
      <c r="H16" s="360">
        <f t="shared" si="0"/>
        <v>79.55</v>
      </c>
      <c r="I16" s="310">
        <f t="shared" si="1"/>
        <v>123.30249999999999</v>
      </c>
      <c r="J16">
        <v>1</v>
      </c>
    </row>
    <row r="17" spans="2:16" x14ac:dyDescent="0.25">
      <c r="B17" s="36"/>
      <c r="C17" s="18" t="s">
        <v>5</v>
      </c>
      <c r="D17" s="306">
        <v>1.8</v>
      </c>
      <c r="E17" s="362">
        <v>120</v>
      </c>
      <c r="F17" s="362">
        <v>99</v>
      </c>
      <c r="G17" s="362">
        <v>110</v>
      </c>
      <c r="H17" s="360">
        <f t="shared" si="0"/>
        <v>330.8</v>
      </c>
      <c r="I17" s="310">
        <f t="shared" si="1"/>
        <v>595.44000000000005</v>
      </c>
      <c r="J17">
        <v>0</v>
      </c>
    </row>
    <row r="18" spans="2:16" x14ac:dyDescent="0.25">
      <c r="B18" s="36"/>
      <c r="C18" s="23" t="s">
        <v>4</v>
      </c>
      <c r="D18" s="311">
        <v>2.5</v>
      </c>
      <c r="E18" s="363"/>
      <c r="F18" s="363"/>
      <c r="G18" s="363"/>
      <c r="H18" s="360">
        <f t="shared" si="0"/>
        <v>2.5</v>
      </c>
      <c r="I18" s="310">
        <f t="shared" si="1"/>
        <v>6.25</v>
      </c>
      <c r="J18">
        <v>1</v>
      </c>
    </row>
    <row r="19" spans="2:16" x14ac:dyDescent="0.25">
      <c r="B19" s="35"/>
      <c r="C19" s="18" t="s">
        <v>3</v>
      </c>
      <c r="D19" s="306">
        <v>3.5</v>
      </c>
      <c r="E19" s="362">
        <v>45</v>
      </c>
      <c r="F19" s="362">
        <v>75</v>
      </c>
      <c r="G19" s="362">
        <v>63</v>
      </c>
      <c r="H19" s="360">
        <f t="shared" si="0"/>
        <v>186.5</v>
      </c>
      <c r="I19" s="310">
        <f t="shared" si="1"/>
        <v>652.75</v>
      </c>
      <c r="J19">
        <v>1</v>
      </c>
    </row>
    <row r="20" spans="2:16" x14ac:dyDescent="0.25">
      <c r="B20" s="14" t="s">
        <v>681</v>
      </c>
      <c r="C20" s="13"/>
      <c r="D20" s="12"/>
      <c r="E20" s="364">
        <f>SUM(E11:E19)</f>
        <v>825</v>
      </c>
      <c r="F20" s="364">
        <f t="shared" ref="F20:G20" si="2">SUM(F11:F19)</f>
        <v>926</v>
      </c>
      <c r="G20" s="364">
        <f t="shared" si="2"/>
        <v>1401</v>
      </c>
      <c r="H20" s="361">
        <f>SUM(E20:G20)</f>
        <v>3152</v>
      </c>
      <c r="I20" s="310">
        <f>SUM(I11:I19)</f>
        <v>4329.2127</v>
      </c>
    </row>
    <row r="21" spans="2:16" x14ac:dyDescent="0.25">
      <c r="B21" s="6"/>
      <c r="H21" s="33"/>
      <c r="I21" s="34"/>
    </row>
    <row r="22" spans="2:16" x14ac:dyDescent="0.25">
      <c r="G22" t="s">
        <v>23</v>
      </c>
      <c r="H22" s="33"/>
      <c r="I22" s="359">
        <f>SUMPRODUCT(D11:D19,H11:H19,J11:J19)</f>
        <v>3415.3925999999997</v>
      </c>
    </row>
    <row r="24" spans="2:16" x14ac:dyDescent="0.25">
      <c r="B24" s="6" t="s">
        <v>22</v>
      </c>
      <c r="C24" s="380" t="str">
        <f>("Įrašykite formulę į langelį J"&amp;ROW(J34)&amp;" ir nukopijuokite ją į dešinę per du langelius. Išlaikykite buvusį langelių formatą. Gausime neteisingas formulės kopijas. Jas pataisyti galėsime pakeitę nuorodos tipą (6 užd.)")</f>
        <v>Įrašykite formulę į langelį J34 ir nukopijuokite ją į dešinę per du langelius. Išlaikykite buvusį langelių formatą. Gausime neteisingas formulės kopijas. Jas pataisyti galėsime pakeitę nuorodos tipą (6 užd.)</v>
      </c>
      <c r="D24" s="380"/>
      <c r="E24" s="380"/>
      <c r="F24" s="380"/>
      <c r="G24" s="380"/>
      <c r="H24" s="380"/>
      <c r="I24" s="380"/>
      <c r="J24" s="380"/>
      <c r="K24" s="380"/>
      <c r="L24" s="380"/>
      <c r="M24" s="380"/>
      <c r="N24" s="380"/>
      <c r="O24" s="380"/>
      <c r="P24" s="380"/>
    </row>
    <row r="25" spans="2:16" x14ac:dyDescent="0.25">
      <c r="B25" s="6"/>
      <c r="C25" s="380"/>
      <c r="D25" s="380"/>
      <c r="E25" s="380"/>
      <c r="F25" s="380"/>
      <c r="G25" s="380"/>
      <c r="H25" s="380"/>
      <c r="I25" s="380"/>
      <c r="J25" s="380"/>
      <c r="K25" s="380"/>
      <c r="L25" s="380"/>
      <c r="M25" s="380"/>
      <c r="N25" s="380"/>
      <c r="O25" s="380"/>
      <c r="P25" s="380"/>
    </row>
    <row r="26" spans="2:16" x14ac:dyDescent="0.25">
      <c r="B26" s="6" t="s">
        <v>21</v>
      </c>
      <c r="C26" s="381" t="str">
        <f>("Pakoreguokite formulę langelyje J"&amp;ROW(J34)&amp;" užfiksuodami reikiamus nuorodų elementus $ ženklu ir nukopijuokite ją į likusius vaisių ir daržovių langelius. Išlaikykite buvusį langelių formatą")</f>
        <v>Pakoreguokite formulę langelyje J34 užfiksuodami reikiamus nuorodų elementus $ ženklu ir nukopijuokite ją į likusius vaisių ir daržovių langelius. Išlaikykite buvusį langelių formatą</v>
      </c>
      <c r="D26" s="381"/>
      <c r="E26" s="381"/>
      <c r="F26" s="381"/>
      <c r="G26" s="381"/>
      <c r="H26" s="381"/>
      <c r="I26" s="381"/>
      <c r="J26" s="381"/>
      <c r="K26" s="381"/>
      <c r="L26" s="381"/>
      <c r="M26" s="381"/>
      <c r="N26" s="381"/>
      <c r="O26" s="381"/>
      <c r="P26" s="381"/>
    </row>
    <row r="27" spans="2:16" x14ac:dyDescent="0.25">
      <c r="B27" s="6"/>
      <c r="C27" s="381"/>
      <c r="D27" s="381"/>
      <c r="E27" s="381"/>
      <c r="F27" s="381"/>
      <c r="G27" s="381"/>
      <c r="H27" s="381"/>
      <c r="I27" s="381"/>
      <c r="J27" s="381"/>
      <c r="K27" s="381"/>
      <c r="L27" s="381"/>
      <c r="M27" s="381"/>
      <c r="N27" s="381"/>
      <c r="O27" s="381"/>
      <c r="P27" s="381"/>
    </row>
    <row r="28" spans="2:16" x14ac:dyDescent="0.25">
      <c r="B28" s="6" t="s">
        <v>20</v>
      </c>
      <c r="C28" s="380" t="str">
        <f>("Parašykite formulę komisiniams skaičiuoti langelyje M"&amp;ROW(M34)&amp;", užfiksuokite reikiamus nuorodų elementus $ ženklu ir nukopijuokite ją į likusius vaisių ir daržovių langelius. Išlaikykite buvusį langelių formatą. Įrašykite likusias galutinių sumų formules. Išlaikykite buvusį langelių formatą")</f>
        <v>Parašykite formulę komisiniams skaičiuoti langelyje M34, užfiksuokite reikiamus nuorodų elementus $ ženklu ir nukopijuokite ją į likusius vaisių ir daržovių langelius. Išlaikykite buvusį langelių formatą. Įrašykite likusias galutinių sumų formules. Išlaikykite buvusį langelių formatą</v>
      </c>
      <c r="D28" s="380"/>
      <c r="E28" s="380"/>
      <c r="F28" s="380"/>
      <c r="G28" s="380"/>
      <c r="H28" s="380"/>
      <c r="I28" s="380"/>
      <c r="J28" s="380"/>
      <c r="K28" s="380"/>
      <c r="L28" s="380"/>
      <c r="M28" s="380"/>
      <c r="N28" s="380"/>
      <c r="O28" s="380"/>
      <c r="P28" s="380"/>
    </row>
    <row r="29" spans="2:16" x14ac:dyDescent="0.25">
      <c r="B29" s="6"/>
      <c r="C29" s="380"/>
      <c r="D29" s="380"/>
      <c r="E29" s="380"/>
      <c r="F29" s="380"/>
      <c r="G29" s="380"/>
      <c r="H29" s="380"/>
      <c r="I29" s="380"/>
      <c r="J29" s="380"/>
      <c r="K29" s="380"/>
      <c r="L29" s="380"/>
      <c r="M29" s="380"/>
      <c r="N29" s="380"/>
      <c r="O29" s="380"/>
      <c r="P29" s="380"/>
    </row>
    <row r="30" spans="2:16" ht="15.75" customHeight="1" thickBot="1" x14ac:dyDescent="0.3"/>
    <row r="31" spans="2:16" x14ac:dyDescent="0.25">
      <c r="B31" s="366" t="s">
        <v>19</v>
      </c>
      <c r="C31" s="368" t="s">
        <v>18</v>
      </c>
      <c r="D31" s="368" t="s">
        <v>17</v>
      </c>
      <c r="E31" s="389" t="s">
        <v>682</v>
      </c>
      <c r="F31" s="390"/>
      <c r="G31" s="391"/>
      <c r="H31" s="368" t="s">
        <v>683</v>
      </c>
      <c r="I31" s="392" t="s">
        <v>16</v>
      </c>
      <c r="J31" s="395" t="s">
        <v>16</v>
      </c>
      <c r="K31" s="396"/>
      <c r="L31" s="396"/>
      <c r="M31" s="399" t="s">
        <v>684</v>
      </c>
      <c r="N31" s="400"/>
      <c r="O31" s="401"/>
      <c r="P31" t="s">
        <v>995</v>
      </c>
    </row>
    <row r="32" spans="2:16" x14ac:dyDescent="0.25">
      <c r="B32" s="388"/>
      <c r="C32" s="379"/>
      <c r="D32" s="379"/>
      <c r="E32" s="385"/>
      <c r="F32" s="386"/>
      <c r="G32" s="387"/>
      <c r="H32" s="379"/>
      <c r="I32" s="393"/>
      <c r="J32" s="397"/>
      <c r="K32" s="398"/>
      <c r="L32" s="398"/>
      <c r="M32" s="402">
        <v>0.15</v>
      </c>
      <c r="N32" s="403"/>
      <c r="O32" s="404"/>
    </row>
    <row r="33" spans="2:15" x14ac:dyDescent="0.25">
      <c r="B33" s="367"/>
      <c r="C33" s="369"/>
      <c r="D33" s="369"/>
      <c r="E33" s="32" t="s">
        <v>15</v>
      </c>
      <c r="F33" s="32" t="s">
        <v>14</v>
      </c>
      <c r="G33" s="32" t="s">
        <v>13</v>
      </c>
      <c r="H33" s="369"/>
      <c r="I33" s="394"/>
      <c r="J33" s="31" t="s">
        <v>15</v>
      </c>
      <c r="K33" s="30" t="s">
        <v>14</v>
      </c>
      <c r="L33" s="29" t="s">
        <v>13</v>
      </c>
      <c r="M33" s="28" t="s">
        <v>15</v>
      </c>
      <c r="N33" s="27" t="s">
        <v>14</v>
      </c>
      <c r="O33" s="26" t="s">
        <v>13</v>
      </c>
    </row>
    <row r="34" spans="2:15" x14ac:dyDescent="0.25">
      <c r="B34" s="25" t="s">
        <v>12</v>
      </c>
      <c r="C34" s="18" t="s">
        <v>11</v>
      </c>
      <c r="D34" s="17">
        <v>0.9</v>
      </c>
      <c r="E34" s="16">
        <v>250</v>
      </c>
      <c r="F34" s="16">
        <v>350</v>
      </c>
      <c r="G34" s="16">
        <v>410</v>
      </c>
      <c r="H34" s="15">
        <f t="shared" ref="H34:H42" si="3">SUM(E34:G34)</f>
        <v>1010</v>
      </c>
      <c r="I34" s="310">
        <f t="shared" ref="I34:I42" si="4">+D34*H34</f>
        <v>909</v>
      </c>
      <c r="J34" s="312">
        <f>$D34*E34</f>
        <v>225</v>
      </c>
      <c r="K34" s="312">
        <f t="shared" ref="K34:L34" si="5">$D34*F34</f>
        <v>315</v>
      </c>
      <c r="L34" s="312">
        <f t="shared" si="5"/>
        <v>369</v>
      </c>
      <c r="M34" s="312">
        <f>$M$32*J34</f>
        <v>33.75</v>
      </c>
      <c r="N34" s="312">
        <f t="shared" ref="N34:O34" si="6">$M$32*K34</f>
        <v>47.25</v>
      </c>
      <c r="O34" s="312">
        <f t="shared" si="6"/>
        <v>55.35</v>
      </c>
    </row>
    <row r="35" spans="2:15" x14ac:dyDescent="0.25">
      <c r="B35" s="24"/>
      <c r="C35" s="23" t="s">
        <v>10</v>
      </c>
      <c r="D35" s="22">
        <v>1.2</v>
      </c>
      <c r="E35" s="21"/>
      <c r="F35" s="21"/>
      <c r="G35" s="21">
        <v>410</v>
      </c>
      <c r="H35" s="20">
        <f t="shared" si="3"/>
        <v>410</v>
      </c>
      <c r="I35" s="316">
        <f t="shared" si="4"/>
        <v>492</v>
      </c>
      <c r="J35" s="312">
        <f>$D35*E35</f>
        <v>0</v>
      </c>
      <c r="K35" s="312">
        <f t="shared" ref="K35:K42" si="7">$D35*F35</f>
        <v>0</v>
      </c>
      <c r="L35" s="312">
        <f t="shared" ref="L35:L42" si="8">$D35*G35</f>
        <v>492</v>
      </c>
      <c r="M35" s="312">
        <f t="shared" ref="M35:M42" si="9">$M$32*J35</f>
        <v>0</v>
      </c>
      <c r="N35" s="312">
        <f t="shared" ref="N35:N42" si="10">$M$32*K35</f>
        <v>0</v>
      </c>
      <c r="O35" s="312">
        <f t="shared" ref="O35:O41" si="11">$M$32*L35</f>
        <v>73.8</v>
      </c>
    </row>
    <row r="36" spans="2:15" x14ac:dyDescent="0.25">
      <c r="B36" s="24"/>
      <c r="C36" s="18" t="s">
        <v>9</v>
      </c>
      <c r="D36" s="17">
        <v>1.5</v>
      </c>
      <c r="E36" s="16">
        <v>180</v>
      </c>
      <c r="F36" s="16">
        <v>150</v>
      </c>
      <c r="G36" s="16">
        <v>165</v>
      </c>
      <c r="H36" s="15">
        <f t="shared" si="3"/>
        <v>495</v>
      </c>
      <c r="I36" s="310">
        <f t="shared" si="4"/>
        <v>742.5</v>
      </c>
      <c r="J36" s="312">
        <f t="shared" ref="J36:J42" si="12">$D36*E36</f>
        <v>270</v>
      </c>
      <c r="K36" s="312">
        <f t="shared" si="7"/>
        <v>225</v>
      </c>
      <c r="L36" s="312">
        <f t="shared" si="8"/>
        <v>247.5</v>
      </c>
      <c r="M36" s="312">
        <f t="shared" si="9"/>
        <v>40.5</v>
      </c>
      <c r="N36" s="312">
        <f t="shared" si="10"/>
        <v>33.75</v>
      </c>
      <c r="O36" s="312">
        <f t="shared" si="11"/>
        <v>37.125</v>
      </c>
    </row>
    <row r="37" spans="2:15" x14ac:dyDescent="0.25">
      <c r="B37" s="24"/>
      <c r="C37" s="23" t="s">
        <v>8</v>
      </c>
      <c r="D37" s="22">
        <v>1.99</v>
      </c>
      <c r="E37" s="21">
        <v>50</v>
      </c>
      <c r="F37" s="21">
        <v>56</v>
      </c>
      <c r="G37" s="21">
        <v>52</v>
      </c>
      <c r="H37" s="20">
        <f t="shared" si="3"/>
        <v>158</v>
      </c>
      <c r="I37" s="316">
        <f t="shared" si="4"/>
        <v>314.42</v>
      </c>
      <c r="J37" s="312">
        <f t="shared" si="12"/>
        <v>99.5</v>
      </c>
      <c r="K37" s="312">
        <f t="shared" si="7"/>
        <v>111.44</v>
      </c>
      <c r="L37" s="312">
        <f t="shared" si="8"/>
        <v>103.48</v>
      </c>
      <c r="M37" s="312">
        <f t="shared" si="9"/>
        <v>14.924999999999999</v>
      </c>
      <c r="N37" s="312">
        <f t="shared" si="10"/>
        <v>16.715999999999998</v>
      </c>
      <c r="O37" s="312">
        <f t="shared" si="11"/>
        <v>15.522</v>
      </c>
    </row>
    <row r="38" spans="2:15" x14ac:dyDescent="0.25">
      <c r="B38" s="24"/>
      <c r="C38" s="18" t="s">
        <v>7</v>
      </c>
      <c r="D38" s="17">
        <v>0.99</v>
      </c>
      <c r="E38" s="16">
        <v>150</v>
      </c>
      <c r="F38" s="16">
        <v>175</v>
      </c>
      <c r="G38" s="16">
        <v>164</v>
      </c>
      <c r="H38" s="15">
        <f t="shared" si="3"/>
        <v>489</v>
      </c>
      <c r="I38" s="310">
        <f t="shared" si="4"/>
        <v>484.11</v>
      </c>
      <c r="J38" s="312">
        <f t="shared" si="12"/>
        <v>148.5</v>
      </c>
      <c r="K38" s="312">
        <f t="shared" si="7"/>
        <v>173.25</v>
      </c>
      <c r="L38" s="312">
        <f t="shared" si="8"/>
        <v>162.35999999999999</v>
      </c>
      <c r="M38" s="312">
        <f t="shared" si="9"/>
        <v>22.274999999999999</v>
      </c>
      <c r="N38" s="312">
        <f t="shared" si="10"/>
        <v>25.987500000000001</v>
      </c>
      <c r="O38" s="312">
        <f t="shared" si="11"/>
        <v>24.353999999999996</v>
      </c>
    </row>
    <row r="39" spans="2:15" x14ac:dyDescent="0.25">
      <c r="B39" s="24"/>
      <c r="C39" s="23" t="s">
        <v>6</v>
      </c>
      <c r="D39" s="22">
        <v>1.55</v>
      </c>
      <c r="E39" s="21">
        <v>30</v>
      </c>
      <c r="F39" s="21">
        <v>21</v>
      </c>
      <c r="G39" s="21">
        <v>27</v>
      </c>
      <c r="H39" s="20">
        <f t="shared" si="3"/>
        <v>78</v>
      </c>
      <c r="I39" s="316">
        <f t="shared" si="4"/>
        <v>120.9</v>
      </c>
      <c r="J39" s="312">
        <f t="shared" si="12"/>
        <v>46.5</v>
      </c>
      <c r="K39" s="312">
        <f t="shared" si="7"/>
        <v>32.550000000000004</v>
      </c>
      <c r="L39" s="312">
        <f t="shared" si="8"/>
        <v>41.85</v>
      </c>
      <c r="M39" s="312">
        <f t="shared" si="9"/>
        <v>6.9749999999999996</v>
      </c>
      <c r="N39" s="312">
        <f t="shared" si="10"/>
        <v>4.8825000000000003</v>
      </c>
      <c r="O39" s="312">
        <f t="shared" si="11"/>
        <v>6.2774999999999999</v>
      </c>
    </row>
    <row r="40" spans="2:15" x14ac:dyDescent="0.25">
      <c r="B40" s="24"/>
      <c r="C40" s="18" t="s">
        <v>5</v>
      </c>
      <c r="D40" s="17">
        <v>1.8</v>
      </c>
      <c r="E40" s="16">
        <v>120</v>
      </c>
      <c r="F40" s="16">
        <v>99</v>
      </c>
      <c r="G40" s="16">
        <v>110</v>
      </c>
      <c r="H40" s="15">
        <f t="shared" si="3"/>
        <v>329</v>
      </c>
      <c r="I40" s="310">
        <f t="shared" si="4"/>
        <v>592.20000000000005</v>
      </c>
      <c r="J40" s="312">
        <f t="shared" si="12"/>
        <v>216</v>
      </c>
      <c r="K40" s="312">
        <f t="shared" si="7"/>
        <v>178.20000000000002</v>
      </c>
      <c r="L40" s="312">
        <f t="shared" si="8"/>
        <v>198</v>
      </c>
      <c r="M40" s="312">
        <f t="shared" si="9"/>
        <v>32.4</v>
      </c>
      <c r="N40" s="312">
        <f t="shared" si="10"/>
        <v>26.73</v>
      </c>
      <c r="O40" s="312">
        <f t="shared" si="11"/>
        <v>29.7</v>
      </c>
    </row>
    <row r="41" spans="2:15" x14ac:dyDescent="0.25">
      <c r="B41" s="24"/>
      <c r="C41" s="23" t="s">
        <v>4</v>
      </c>
      <c r="D41" s="22">
        <v>2.5</v>
      </c>
      <c r="E41" s="21"/>
      <c r="F41" s="21"/>
      <c r="G41" s="21"/>
      <c r="H41" s="20">
        <f t="shared" si="3"/>
        <v>0</v>
      </c>
      <c r="I41" s="316">
        <f t="shared" si="4"/>
        <v>0</v>
      </c>
      <c r="J41" s="312">
        <f t="shared" si="12"/>
        <v>0</v>
      </c>
      <c r="K41" s="312">
        <f t="shared" si="7"/>
        <v>0</v>
      </c>
      <c r="L41" s="312">
        <f t="shared" si="8"/>
        <v>0</v>
      </c>
      <c r="M41" s="312">
        <f t="shared" si="9"/>
        <v>0</v>
      </c>
      <c r="N41" s="312">
        <f t="shared" si="10"/>
        <v>0</v>
      </c>
      <c r="O41" s="312">
        <f t="shared" si="11"/>
        <v>0</v>
      </c>
    </row>
    <row r="42" spans="2:15" x14ac:dyDescent="0.25">
      <c r="B42" s="19"/>
      <c r="C42" s="18" t="s">
        <v>3</v>
      </c>
      <c r="D42" s="17">
        <v>3.5</v>
      </c>
      <c r="E42" s="16">
        <v>45</v>
      </c>
      <c r="F42" s="16">
        <v>75</v>
      </c>
      <c r="G42" s="16">
        <v>63</v>
      </c>
      <c r="H42" s="15">
        <f t="shared" si="3"/>
        <v>183</v>
      </c>
      <c r="I42" s="310">
        <f t="shared" si="4"/>
        <v>640.5</v>
      </c>
      <c r="J42" s="312">
        <f t="shared" si="12"/>
        <v>157.5</v>
      </c>
      <c r="K42" s="312">
        <f t="shared" si="7"/>
        <v>262.5</v>
      </c>
      <c r="L42" s="312">
        <f t="shared" si="8"/>
        <v>220.5</v>
      </c>
      <c r="M42" s="312">
        <f t="shared" si="9"/>
        <v>23.625</v>
      </c>
      <c r="N42" s="312">
        <f t="shared" si="10"/>
        <v>39.375</v>
      </c>
      <c r="O42" s="312">
        <f>$M$32*L42</f>
        <v>33.074999999999996</v>
      </c>
    </row>
    <row r="43" spans="2:15" x14ac:dyDescent="0.25">
      <c r="B43" s="14" t="s">
        <v>681</v>
      </c>
      <c r="C43" s="13"/>
      <c r="D43" s="12">
        <f>SUM(D34:D42)</f>
        <v>15.930000000000001</v>
      </c>
      <c r="E43" s="11">
        <f t="shared" ref="E43:I43" si="13">SUM(E34:E42)</f>
        <v>825</v>
      </c>
      <c r="F43" s="11">
        <f t="shared" si="13"/>
        <v>926</v>
      </c>
      <c r="G43" s="11">
        <f t="shared" si="13"/>
        <v>1401</v>
      </c>
      <c r="H43" s="10">
        <f t="shared" si="13"/>
        <v>3152</v>
      </c>
      <c r="I43" s="317">
        <f t="shared" si="13"/>
        <v>4295.63</v>
      </c>
      <c r="J43" s="313">
        <f t="shared" ref="J43:O43" si="14">SUM(J34:J42)</f>
        <v>1163</v>
      </c>
      <c r="K43" s="314">
        <f t="shared" si="14"/>
        <v>1297.94</v>
      </c>
      <c r="L43" s="315">
        <f t="shared" si="14"/>
        <v>1834.6899999999998</v>
      </c>
      <c r="M43" s="9">
        <f t="shared" si="14"/>
        <v>174.45</v>
      </c>
      <c r="N43" s="8">
        <f t="shared" si="14"/>
        <v>194.69099999999997</v>
      </c>
      <c r="O43" s="7">
        <f t="shared" si="14"/>
        <v>275.20349999999996</v>
      </c>
    </row>
    <row r="45" spans="2:15" x14ac:dyDescent="0.25">
      <c r="B45" s="6" t="s">
        <v>2</v>
      </c>
      <c r="C45" t="str">
        <f>("Langelyje D"&amp;ROW(D48)&amp;" įrašykite formulę su nuorodų fiksavimu taip, kad ją nukopijavę į likusius 99 langelius gautume daugybos lentelę ")</f>
        <v xml:space="preserve">Langelyje D48 įrašykite formulę su nuorodų fiksavimu taip, kad ją nukopijavę į likusius 99 langelius gautume daugybos lentelę </v>
      </c>
    </row>
    <row r="47" spans="2:15" x14ac:dyDescent="0.25">
      <c r="D47" s="5">
        <v>1</v>
      </c>
      <c r="E47" s="5">
        <v>2</v>
      </c>
      <c r="F47" s="5">
        <v>3</v>
      </c>
      <c r="G47" s="5">
        <v>4</v>
      </c>
      <c r="H47" s="5">
        <v>5</v>
      </c>
      <c r="I47" s="5">
        <v>6</v>
      </c>
      <c r="J47" s="5">
        <v>7</v>
      </c>
      <c r="K47" s="5">
        <v>8</v>
      </c>
      <c r="L47" s="5">
        <v>9</v>
      </c>
      <c r="M47" s="5">
        <v>10</v>
      </c>
    </row>
    <row r="48" spans="2:15" x14ac:dyDescent="0.25">
      <c r="C48" s="5">
        <v>1</v>
      </c>
      <c r="D48" s="4">
        <f>$C48*D$47</f>
        <v>1</v>
      </c>
      <c r="E48" s="4">
        <f t="shared" ref="E48:M57" si="15">$C48*E$47</f>
        <v>2</v>
      </c>
      <c r="F48" s="4">
        <f t="shared" si="15"/>
        <v>3</v>
      </c>
      <c r="G48" s="4">
        <f t="shared" si="15"/>
        <v>4</v>
      </c>
      <c r="H48" s="4">
        <f t="shared" si="15"/>
        <v>5</v>
      </c>
      <c r="I48" s="4">
        <f t="shared" si="15"/>
        <v>6</v>
      </c>
      <c r="J48" s="4">
        <f t="shared" si="15"/>
        <v>7</v>
      </c>
      <c r="K48" s="4">
        <f t="shared" si="15"/>
        <v>8</v>
      </c>
      <c r="L48" s="4">
        <f t="shared" si="15"/>
        <v>9</v>
      </c>
      <c r="M48" s="4">
        <f t="shared" si="15"/>
        <v>10</v>
      </c>
    </row>
    <row r="49" spans="3:13" x14ac:dyDescent="0.25">
      <c r="C49" s="5">
        <v>2</v>
      </c>
      <c r="D49" s="4">
        <f t="shared" ref="D49:D57" si="16">$C49*D$47</f>
        <v>2</v>
      </c>
      <c r="E49" s="4">
        <f t="shared" si="15"/>
        <v>4</v>
      </c>
      <c r="F49" s="4">
        <f t="shared" si="15"/>
        <v>6</v>
      </c>
      <c r="G49" s="4">
        <f t="shared" si="15"/>
        <v>8</v>
      </c>
      <c r="H49" s="4">
        <f t="shared" si="15"/>
        <v>10</v>
      </c>
      <c r="I49" s="4">
        <f t="shared" si="15"/>
        <v>12</v>
      </c>
      <c r="J49" s="4">
        <f t="shared" si="15"/>
        <v>14</v>
      </c>
      <c r="K49" s="4">
        <f t="shared" si="15"/>
        <v>16</v>
      </c>
      <c r="L49" s="4">
        <f t="shared" si="15"/>
        <v>18</v>
      </c>
      <c r="M49" s="4">
        <f t="shared" si="15"/>
        <v>20</v>
      </c>
    </row>
    <row r="50" spans="3:13" x14ac:dyDescent="0.25">
      <c r="C50" s="5">
        <v>3</v>
      </c>
      <c r="D50" s="4">
        <f t="shared" si="16"/>
        <v>3</v>
      </c>
      <c r="E50" s="4">
        <f t="shared" si="15"/>
        <v>6</v>
      </c>
      <c r="F50" s="4">
        <f t="shared" si="15"/>
        <v>9</v>
      </c>
      <c r="G50" s="4">
        <f t="shared" si="15"/>
        <v>12</v>
      </c>
      <c r="H50" s="4">
        <f t="shared" si="15"/>
        <v>15</v>
      </c>
      <c r="I50" s="4">
        <f t="shared" si="15"/>
        <v>18</v>
      </c>
      <c r="J50" s="4">
        <f t="shared" si="15"/>
        <v>21</v>
      </c>
      <c r="K50" s="4">
        <f t="shared" si="15"/>
        <v>24</v>
      </c>
      <c r="L50" s="4">
        <f t="shared" si="15"/>
        <v>27</v>
      </c>
      <c r="M50" s="4">
        <f t="shared" si="15"/>
        <v>30</v>
      </c>
    </row>
    <row r="51" spans="3:13" x14ac:dyDescent="0.25">
      <c r="C51" s="5">
        <v>4</v>
      </c>
      <c r="D51" s="4">
        <f t="shared" si="16"/>
        <v>4</v>
      </c>
      <c r="E51" s="4">
        <f t="shared" si="15"/>
        <v>8</v>
      </c>
      <c r="F51" s="4">
        <f t="shared" si="15"/>
        <v>12</v>
      </c>
      <c r="G51" s="4">
        <f t="shared" si="15"/>
        <v>16</v>
      </c>
      <c r="H51" s="4">
        <f t="shared" si="15"/>
        <v>20</v>
      </c>
      <c r="I51" s="4">
        <f t="shared" si="15"/>
        <v>24</v>
      </c>
      <c r="J51" s="4">
        <f t="shared" si="15"/>
        <v>28</v>
      </c>
      <c r="K51" s="4">
        <f t="shared" si="15"/>
        <v>32</v>
      </c>
      <c r="L51" s="4">
        <f t="shared" si="15"/>
        <v>36</v>
      </c>
      <c r="M51" s="4">
        <f t="shared" si="15"/>
        <v>40</v>
      </c>
    </row>
    <row r="52" spans="3:13" x14ac:dyDescent="0.25">
      <c r="C52" s="5">
        <v>5</v>
      </c>
      <c r="D52" s="4">
        <f t="shared" si="16"/>
        <v>5</v>
      </c>
      <c r="E52" s="4">
        <f t="shared" si="15"/>
        <v>10</v>
      </c>
      <c r="F52" s="4">
        <f t="shared" si="15"/>
        <v>15</v>
      </c>
      <c r="G52" s="4">
        <f t="shared" si="15"/>
        <v>20</v>
      </c>
      <c r="H52" s="4">
        <f t="shared" si="15"/>
        <v>25</v>
      </c>
      <c r="I52" s="4">
        <f t="shared" si="15"/>
        <v>30</v>
      </c>
      <c r="J52" s="4">
        <f t="shared" si="15"/>
        <v>35</v>
      </c>
      <c r="K52" s="4">
        <f t="shared" si="15"/>
        <v>40</v>
      </c>
      <c r="L52" s="4">
        <f t="shared" si="15"/>
        <v>45</v>
      </c>
      <c r="M52" s="4">
        <f t="shared" si="15"/>
        <v>50</v>
      </c>
    </row>
    <row r="53" spans="3:13" x14ac:dyDescent="0.25">
      <c r="C53" s="5">
        <v>6</v>
      </c>
      <c r="D53" s="4">
        <f t="shared" si="16"/>
        <v>6</v>
      </c>
      <c r="E53" s="4">
        <f t="shared" si="15"/>
        <v>12</v>
      </c>
      <c r="F53" s="4">
        <f t="shared" si="15"/>
        <v>18</v>
      </c>
      <c r="G53" s="4">
        <f t="shared" si="15"/>
        <v>24</v>
      </c>
      <c r="H53" s="4">
        <f t="shared" si="15"/>
        <v>30</v>
      </c>
      <c r="I53" s="4">
        <f t="shared" si="15"/>
        <v>36</v>
      </c>
      <c r="J53" s="4">
        <f t="shared" si="15"/>
        <v>42</v>
      </c>
      <c r="K53" s="4">
        <f t="shared" si="15"/>
        <v>48</v>
      </c>
      <c r="L53" s="4">
        <f t="shared" si="15"/>
        <v>54</v>
      </c>
      <c r="M53" s="4">
        <f t="shared" si="15"/>
        <v>60</v>
      </c>
    </row>
    <row r="54" spans="3:13" x14ac:dyDescent="0.25">
      <c r="C54" s="5">
        <v>7</v>
      </c>
      <c r="D54" s="4">
        <f t="shared" si="16"/>
        <v>7</v>
      </c>
      <c r="E54" s="4">
        <f t="shared" si="15"/>
        <v>14</v>
      </c>
      <c r="F54" s="4">
        <f t="shared" si="15"/>
        <v>21</v>
      </c>
      <c r="G54" s="4">
        <f t="shared" si="15"/>
        <v>28</v>
      </c>
      <c r="H54" s="4">
        <f t="shared" si="15"/>
        <v>35</v>
      </c>
      <c r="I54" s="4">
        <f t="shared" si="15"/>
        <v>42</v>
      </c>
      <c r="J54" s="4">
        <f t="shared" si="15"/>
        <v>49</v>
      </c>
      <c r="K54" s="4">
        <f t="shared" si="15"/>
        <v>56</v>
      </c>
      <c r="L54" s="4">
        <f t="shared" si="15"/>
        <v>63</v>
      </c>
      <c r="M54" s="4">
        <f t="shared" si="15"/>
        <v>70</v>
      </c>
    </row>
    <row r="55" spans="3:13" x14ac:dyDescent="0.25">
      <c r="C55" s="5">
        <v>8</v>
      </c>
      <c r="D55" s="4">
        <f t="shared" si="16"/>
        <v>8</v>
      </c>
      <c r="E55" s="4">
        <f t="shared" si="15"/>
        <v>16</v>
      </c>
      <c r="F55" s="4">
        <f t="shared" si="15"/>
        <v>24</v>
      </c>
      <c r="G55" s="4">
        <f t="shared" si="15"/>
        <v>32</v>
      </c>
      <c r="H55" s="4">
        <f t="shared" si="15"/>
        <v>40</v>
      </c>
      <c r="I55" s="4">
        <f t="shared" si="15"/>
        <v>48</v>
      </c>
      <c r="J55" s="4">
        <f t="shared" si="15"/>
        <v>56</v>
      </c>
      <c r="K55" s="4">
        <f t="shared" si="15"/>
        <v>64</v>
      </c>
      <c r="L55" s="4">
        <f t="shared" si="15"/>
        <v>72</v>
      </c>
      <c r="M55" s="4">
        <f t="shared" si="15"/>
        <v>80</v>
      </c>
    </row>
    <row r="56" spans="3:13" x14ac:dyDescent="0.25">
      <c r="C56" s="5">
        <v>9</v>
      </c>
      <c r="D56" s="4">
        <f t="shared" si="16"/>
        <v>9</v>
      </c>
      <c r="E56" s="4">
        <f t="shared" si="15"/>
        <v>18</v>
      </c>
      <c r="F56" s="4">
        <f t="shared" si="15"/>
        <v>27</v>
      </c>
      <c r="G56" s="4">
        <f t="shared" si="15"/>
        <v>36</v>
      </c>
      <c r="H56" s="4">
        <f t="shared" si="15"/>
        <v>45</v>
      </c>
      <c r="I56" s="4">
        <f t="shared" si="15"/>
        <v>54</v>
      </c>
      <c r="J56" s="4">
        <f t="shared" si="15"/>
        <v>63</v>
      </c>
      <c r="K56" s="4">
        <f t="shared" si="15"/>
        <v>72</v>
      </c>
      <c r="L56" s="4">
        <f t="shared" si="15"/>
        <v>81</v>
      </c>
      <c r="M56" s="4">
        <f t="shared" si="15"/>
        <v>90</v>
      </c>
    </row>
    <row r="57" spans="3:13" x14ac:dyDescent="0.25">
      <c r="C57" s="5">
        <v>10</v>
      </c>
      <c r="D57" s="4">
        <f t="shared" si="16"/>
        <v>10</v>
      </c>
      <c r="E57" s="4">
        <f t="shared" si="15"/>
        <v>20</v>
      </c>
      <c r="F57" s="4">
        <f t="shared" si="15"/>
        <v>30</v>
      </c>
      <c r="G57" s="4">
        <f t="shared" si="15"/>
        <v>40</v>
      </c>
      <c r="H57" s="4">
        <f t="shared" si="15"/>
        <v>50</v>
      </c>
      <c r="I57" s="4">
        <f t="shared" si="15"/>
        <v>60</v>
      </c>
      <c r="J57" s="4">
        <f t="shared" si="15"/>
        <v>70</v>
      </c>
      <c r="K57" s="4">
        <f t="shared" si="15"/>
        <v>80</v>
      </c>
      <c r="L57" s="4">
        <f t="shared" si="15"/>
        <v>90</v>
      </c>
      <c r="M57" s="4">
        <f t="shared" si="15"/>
        <v>100</v>
      </c>
    </row>
    <row r="58" spans="3:13" ht="15" customHeight="1" x14ac:dyDescent="0.25"/>
    <row r="69" ht="15" customHeight="1" x14ac:dyDescent="0.25"/>
  </sheetData>
  <mergeCells count="18">
    <mergeCell ref="C28:P29"/>
    <mergeCell ref="B31:B33"/>
    <mergeCell ref="C31:C33"/>
    <mergeCell ref="D31:D33"/>
    <mergeCell ref="E31:G32"/>
    <mergeCell ref="H31:H33"/>
    <mergeCell ref="I31:I33"/>
    <mergeCell ref="J31:L32"/>
    <mergeCell ref="M31:O31"/>
    <mergeCell ref="M32:O32"/>
    <mergeCell ref="I8:I10"/>
    <mergeCell ref="C24:P25"/>
    <mergeCell ref="C26:P27"/>
    <mergeCell ref="B8:B10"/>
    <mergeCell ref="C8:C10"/>
    <mergeCell ref="D8:D10"/>
    <mergeCell ref="E8:G9"/>
    <mergeCell ref="H8:H10"/>
  </mergeCells>
  <pageMargins left="0.7" right="0.7" top="0.75" bottom="0.75" header="0.3" footer="0.3"/>
  <pageSetup paperSize="9" orientation="portrait" r:id="rId1"/>
  <ignoredErrors>
    <ignoredError sqref="H34:H42"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X92"/>
  <sheetViews>
    <sheetView topLeftCell="A69" zoomScaleNormal="100" workbookViewId="0">
      <selection activeCell="J16" sqref="J16"/>
    </sheetView>
  </sheetViews>
  <sheetFormatPr defaultRowHeight="15" x14ac:dyDescent="0.25"/>
  <cols>
    <col min="1" max="1" width="6.42578125" customWidth="1"/>
    <col min="2" max="3" width="14.5703125" customWidth="1"/>
    <col min="4" max="4" width="28" customWidth="1"/>
    <col min="5" max="5" width="11.140625" customWidth="1"/>
    <col min="6" max="6" width="10" customWidth="1"/>
    <col min="7" max="7" width="15.42578125" customWidth="1"/>
    <col min="8" max="8" width="13.140625" customWidth="1"/>
    <col min="9" max="9" width="16.85546875" customWidth="1"/>
    <col min="10" max="10" width="10.42578125" customWidth="1"/>
    <col min="11" max="11" width="13.140625" customWidth="1"/>
    <col min="12" max="12" width="10.42578125" bestFit="1" customWidth="1"/>
    <col min="14" max="14" width="9.140625" customWidth="1"/>
    <col min="15" max="15" width="13.42578125" customWidth="1"/>
    <col min="22" max="22" width="20.42578125" bestFit="1" customWidth="1"/>
    <col min="23" max="23" width="12.5703125" bestFit="1" customWidth="1"/>
    <col min="24" max="24" width="12" customWidth="1"/>
  </cols>
  <sheetData>
    <row r="1" spans="2:18" ht="23.25" customHeight="1" x14ac:dyDescent="0.35">
      <c r="B1" s="257" t="s">
        <v>889</v>
      </c>
      <c r="C1" s="1" t="s">
        <v>29</v>
      </c>
      <c r="D1" s="1"/>
      <c r="E1" s="1"/>
      <c r="F1" s="39"/>
      <c r="G1" s="39"/>
      <c r="H1" s="39"/>
      <c r="I1" s="39"/>
      <c r="J1" s="39"/>
      <c r="K1" s="38"/>
      <c r="L1" s="38"/>
      <c r="M1" s="38"/>
      <c r="N1" s="38"/>
      <c r="O1" s="38"/>
      <c r="P1" s="38"/>
      <c r="Q1" s="38"/>
      <c r="R1" s="38"/>
    </row>
    <row r="3" spans="2:18" x14ac:dyDescent="0.25">
      <c r="B3" s="40" t="s">
        <v>30</v>
      </c>
    </row>
    <row r="4" spans="2:18" x14ac:dyDescent="0.25">
      <c r="B4" s="6" t="s">
        <v>27</v>
      </c>
      <c r="C4" s="41" t="s">
        <v>685</v>
      </c>
    </row>
    <row r="5" spans="2:18" x14ac:dyDescent="0.25">
      <c r="B5" s="6" t="s">
        <v>26</v>
      </c>
      <c r="C5" s="41" t="s">
        <v>686</v>
      </c>
    </row>
    <row r="6" spans="2:18" x14ac:dyDescent="0.25">
      <c r="B6" s="6" t="s">
        <v>25</v>
      </c>
      <c r="C6" s="41" t="s">
        <v>687</v>
      </c>
    </row>
    <row r="7" spans="2:18" x14ac:dyDescent="0.25">
      <c r="B7" s="6" t="s">
        <v>24</v>
      </c>
      <c r="C7" s="41" t="s">
        <v>31</v>
      </c>
    </row>
    <row r="8" spans="2:18" x14ac:dyDescent="0.25">
      <c r="B8" s="6" t="s">
        <v>22</v>
      </c>
      <c r="C8" s="41" t="s">
        <v>32</v>
      </c>
    </row>
    <row r="9" spans="2:18" x14ac:dyDescent="0.25">
      <c r="B9" s="6" t="s">
        <v>21</v>
      </c>
      <c r="C9" s="41" t="s">
        <v>688</v>
      </c>
    </row>
    <row r="10" spans="2:18" x14ac:dyDescent="0.25">
      <c r="B10" s="6" t="s">
        <v>20</v>
      </c>
      <c r="C10" s="41" t="s">
        <v>689</v>
      </c>
    </row>
    <row r="11" spans="2:18" x14ac:dyDescent="0.25">
      <c r="B11" s="6"/>
      <c r="C11" s="41"/>
      <c r="E11" t="s">
        <v>33</v>
      </c>
      <c r="F11">
        <v>100</v>
      </c>
    </row>
    <row r="12" spans="2:18" x14ac:dyDescent="0.25">
      <c r="B12" s="6"/>
      <c r="C12" s="41"/>
      <c r="E12" t="s">
        <v>34</v>
      </c>
      <c r="F12">
        <v>150</v>
      </c>
    </row>
    <row r="13" spans="2:18" x14ac:dyDescent="0.25">
      <c r="B13" s="6"/>
      <c r="C13" s="41"/>
      <c r="E13" t="s">
        <v>35</v>
      </c>
      <c r="F13" t="s">
        <v>894</v>
      </c>
    </row>
    <row r="14" spans="2:18" x14ac:dyDescent="0.25">
      <c r="B14" s="6"/>
      <c r="C14" s="6"/>
    </row>
    <row r="15" spans="2:18" x14ac:dyDescent="0.25">
      <c r="B15" s="43" t="s">
        <v>36</v>
      </c>
      <c r="C15" s="43" t="s">
        <v>37</v>
      </c>
      <c r="D15" s="43" t="s">
        <v>35</v>
      </c>
      <c r="E15" s="43" t="s">
        <v>38</v>
      </c>
      <c r="F15" s="43" t="s">
        <v>39</v>
      </c>
      <c r="G15" s="43" t="s">
        <v>40</v>
      </c>
      <c r="H15" s="43" t="s">
        <v>41</v>
      </c>
    </row>
    <row r="16" spans="2:18" x14ac:dyDescent="0.25">
      <c r="B16" s="44">
        <v>43587</v>
      </c>
      <c r="C16" s="45" t="s">
        <v>42</v>
      </c>
      <c r="D16" t="s">
        <v>43</v>
      </c>
      <c r="E16" t="s">
        <v>44</v>
      </c>
      <c r="F16">
        <v>310</v>
      </c>
      <c r="G16" s="42">
        <f>+B16+5</f>
        <v>43592</v>
      </c>
      <c r="H16" t="s">
        <v>45</v>
      </c>
    </row>
    <row r="17" spans="2:8" x14ac:dyDescent="0.25">
      <c r="B17" s="44">
        <v>43605</v>
      </c>
      <c r="C17" s="45" t="s">
        <v>46</v>
      </c>
      <c r="D17" t="s">
        <v>47</v>
      </c>
      <c r="E17" t="s">
        <v>48</v>
      </c>
      <c r="F17">
        <v>150</v>
      </c>
      <c r="G17" s="42">
        <f t="shared" ref="G17:G50" si="0">+B17+5</f>
        <v>43610</v>
      </c>
      <c r="H17" t="s">
        <v>45</v>
      </c>
    </row>
    <row r="18" spans="2:8" x14ac:dyDescent="0.25">
      <c r="B18" s="44">
        <v>43607</v>
      </c>
      <c r="C18" s="45" t="s">
        <v>49</v>
      </c>
      <c r="D18" t="s">
        <v>50</v>
      </c>
      <c r="E18" t="s">
        <v>48</v>
      </c>
      <c r="F18">
        <v>275</v>
      </c>
      <c r="G18" s="42">
        <f t="shared" si="0"/>
        <v>43612</v>
      </c>
    </row>
    <row r="19" spans="2:8" x14ac:dyDescent="0.25">
      <c r="B19" s="44">
        <v>43591</v>
      </c>
      <c r="C19" s="45" t="s">
        <v>51</v>
      </c>
      <c r="D19" t="s">
        <v>43</v>
      </c>
      <c r="E19" t="s">
        <v>48</v>
      </c>
      <c r="F19">
        <v>310</v>
      </c>
      <c r="G19" s="42">
        <f t="shared" si="0"/>
        <v>43596</v>
      </c>
      <c r="H19" t="s">
        <v>45</v>
      </c>
    </row>
    <row r="20" spans="2:8" x14ac:dyDescent="0.25">
      <c r="B20" s="44">
        <v>43613</v>
      </c>
      <c r="C20" s="45" t="s">
        <v>52</v>
      </c>
      <c r="D20" t="s">
        <v>50</v>
      </c>
      <c r="E20" t="s">
        <v>53</v>
      </c>
      <c r="F20">
        <v>275</v>
      </c>
      <c r="G20" s="42">
        <f t="shared" si="0"/>
        <v>43618</v>
      </c>
    </row>
    <row r="21" spans="2:8" x14ac:dyDescent="0.25">
      <c r="B21" s="44">
        <v>43601</v>
      </c>
      <c r="C21" s="45" t="s">
        <v>54</v>
      </c>
      <c r="D21" t="s">
        <v>55</v>
      </c>
      <c r="E21" t="s">
        <v>48</v>
      </c>
      <c r="F21">
        <v>260</v>
      </c>
      <c r="G21" s="42">
        <f t="shared" si="0"/>
        <v>43606</v>
      </c>
      <c r="H21" t="s">
        <v>45</v>
      </c>
    </row>
    <row r="22" spans="2:8" ht="15" customHeight="1" x14ac:dyDescent="0.25">
      <c r="B22" s="44">
        <v>43587</v>
      </c>
      <c r="C22" s="45" t="s">
        <v>56</v>
      </c>
      <c r="D22" t="s">
        <v>57</v>
      </c>
      <c r="E22" t="s">
        <v>53</v>
      </c>
      <c r="F22">
        <v>140</v>
      </c>
      <c r="G22" s="42">
        <f t="shared" si="0"/>
        <v>43592</v>
      </c>
      <c r="H22" t="s">
        <v>45</v>
      </c>
    </row>
    <row r="23" spans="2:8" x14ac:dyDescent="0.25">
      <c r="B23" s="44">
        <v>43608</v>
      </c>
      <c r="C23" s="45" t="s">
        <v>58</v>
      </c>
      <c r="D23" t="s">
        <v>59</v>
      </c>
      <c r="E23" t="s">
        <v>48</v>
      </c>
      <c r="F23">
        <v>33</v>
      </c>
      <c r="G23" s="42">
        <f t="shared" si="0"/>
        <v>43613</v>
      </c>
    </row>
    <row r="24" spans="2:8" x14ac:dyDescent="0.25">
      <c r="B24" s="44">
        <v>43608</v>
      </c>
      <c r="C24" s="45" t="s">
        <v>60</v>
      </c>
      <c r="D24" t="s">
        <v>61</v>
      </c>
      <c r="E24" t="s">
        <v>44</v>
      </c>
      <c r="F24">
        <v>150</v>
      </c>
      <c r="G24" s="42">
        <f t="shared" si="0"/>
        <v>43613</v>
      </c>
      <c r="H24" t="s">
        <v>45</v>
      </c>
    </row>
    <row r="25" spans="2:8" x14ac:dyDescent="0.25">
      <c r="B25" s="44">
        <v>43606</v>
      </c>
      <c r="C25" s="45" t="s">
        <v>62</v>
      </c>
      <c r="D25" t="s">
        <v>59</v>
      </c>
      <c r="E25" t="s">
        <v>48</v>
      </c>
      <c r="F25">
        <v>33</v>
      </c>
      <c r="G25" s="42">
        <f t="shared" si="0"/>
        <v>43611</v>
      </c>
    </row>
    <row r="26" spans="2:8" x14ac:dyDescent="0.25">
      <c r="B26" s="44">
        <v>43616</v>
      </c>
      <c r="C26" s="45" t="s">
        <v>63</v>
      </c>
      <c r="D26" t="s">
        <v>64</v>
      </c>
      <c r="E26" t="s">
        <v>53</v>
      </c>
      <c r="F26">
        <v>55</v>
      </c>
      <c r="G26" s="42">
        <f t="shared" si="0"/>
        <v>43621</v>
      </c>
    </row>
    <row r="27" spans="2:8" x14ac:dyDescent="0.25">
      <c r="B27" s="44">
        <v>43599</v>
      </c>
      <c r="C27" s="45" t="s">
        <v>65</v>
      </c>
      <c r="D27" t="s">
        <v>66</v>
      </c>
      <c r="E27" t="s">
        <v>48</v>
      </c>
      <c r="F27">
        <v>230</v>
      </c>
      <c r="G27" s="42">
        <f t="shared" si="0"/>
        <v>43604</v>
      </c>
      <c r="H27" t="s">
        <v>45</v>
      </c>
    </row>
    <row r="28" spans="2:8" x14ac:dyDescent="0.25">
      <c r="B28" s="44">
        <v>43612</v>
      </c>
      <c r="C28" s="45" t="s">
        <v>67</v>
      </c>
      <c r="D28" t="s">
        <v>55</v>
      </c>
      <c r="E28" t="s">
        <v>44</v>
      </c>
      <c r="F28">
        <v>260</v>
      </c>
      <c r="G28" s="42">
        <f t="shared" si="0"/>
        <v>43617</v>
      </c>
      <c r="H28" t="s">
        <v>45</v>
      </c>
    </row>
    <row r="29" spans="2:8" x14ac:dyDescent="0.25">
      <c r="B29" s="44">
        <v>43594</v>
      </c>
      <c r="C29" s="45" t="s">
        <v>68</v>
      </c>
      <c r="D29" t="s">
        <v>69</v>
      </c>
      <c r="E29" t="s">
        <v>48</v>
      </c>
      <c r="F29">
        <v>460</v>
      </c>
      <c r="G29" s="42">
        <f t="shared" si="0"/>
        <v>43599</v>
      </c>
      <c r="H29" t="s">
        <v>45</v>
      </c>
    </row>
    <row r="30" spans="2:8" x14ac:dyDescent="0.25">
      <c r="B30" s="44">
        <v>43588</v>
      </c>
      <c r="C30" s="45" t="s">
        <v>70</v>
      </c>
      <c r="D30" t="s">
        <v>71</v>
      </c>
      <c r="E30" t="s">
        <v>53</v>
      </c>
      <c r="F30">
        <v>235</v>
      </c>
      <c r="G30" s="42">
        <f t="shared" si="0"/>
        <v>43593</v>
      </c>
      <c r="H30" t="s">
        <v>45</v>
      </c>
    </row>
    <row r="31" spans="2:8" x14ac:dyDescent="0.25">
      <c r="B31" s="44">
        <v>43615</v>
      </c>
      <c r="C31" s="45" t="s">
        <v>72</v>
      </c>
      <c r="D31" t="s">
        <v>59</v>
      </c>
      <c r="E31" t="s">
        <v>44</v>
      </c>
      <c r="F31">
        <v>33</v>
      </c>
      <c r="G31" s="42">
        <f>+B31+5</f>
        <v>43620</v>
      </c>
    </row>
    <row r="32" spans="2:8" x14ac:dyDescent="0.25">
      <c r="B32" s="44">
        <v>43601</v>
      </c>
      <c r="C32" s="45" t="s">
        <v>73</v>
      </c>
      <c r="D32" t="s">
        <v>74</v>
      </c>
      <c r="E32" t="s">
        <v>44</v>
      </c>
      <c r="F32">
        <v>250</v>
      </c>
      <c r="G32" s="42">
        <f t="shared" si="0"/>
        <v>43606</v>
      </c>
      <c r="H32" t="s">
        <v>45</v>
      </c>
    </row>
    <row r="33" spans="2:8" x14ac:dyDescent="0.25">
      <c r="B33" s="44">
        <v>43594</v>
      </c>
      <c r="C33" s="45" t="s">
        <v>75</v>
      </c>
      <c r="D33" t="s">
        <v>57</v>
      </c>
      <c r="E33" t="s">
        <v>44</v>
      </c>
      <c r="F33">
        <v>140</v>
      </c>
      <c r="G33" s="42">
        <f t="shared" si="0"/>
        <v>43599</v>
      </c>
      <c r="H33" t="s">
        <v>45</v>
      </c>
    </row>
    <row r="34" spans="2:8" x14ac:dyDescent="0.25">
      <c r="B34" s="44">
        <v>43615</v>
      </c>
      <c r="C34" s="45" t="s">
        <v>76</v>
      </c>
      <c r="D34" t="s">
        <v>47</v>
      </c>
      <c r="E34" t="s">
        <v>44</v>
      </c>
      <c r="F34">
        <v>150</v>
      </c>
      <c r="G34" s="42">
        <f t="shared" si="0"/>
        <v>43620</v>
      </c>
    </row>
    <row r="35" spans="2:8" x14ac:dyDescent="0.25">
      <c r="B35" s="44">
        <v>43614</v>
      </c>
      <c r="C35" s="45" t="s">
        <v>77</v>
      </c>
      <c r="D35" t="s">
        <v>71</v>
      </c>
      <c r="E35" t="s">
        <v>44</v>
      </c>
      <c r="F35">
        <v>235</v>
      </c>
      <c r="G35" s="42">
        <f>+B35+5</f>
        <v>43619</v>
      </c>
      <c r="H35" t="s">
        <v>45</v>
      </c>
    </row>
    <row r="36" spans="2:8" x14ac:dyDescent="0.25">
      <c r="B36" s="44">
        <v>43588</v>
      </c>
      <c r="C36" s="45" t="s">
        <v>78</v>
      </c>
      <c r="D36" t="s">
        <v>59</v>
      </c>
      <c r="E36" t="s">
        <v>53</v>
      </c>
      <c r="F36">
        <v>33</v>
      </c>
      <c r="G36" s="42">
        <f t="shared" si="0"/>
        <v>43593</v>
      </c>
      <c r="H36" t="s">
        <v>45</v>
      </c>
    </row>
    <row r="37" spans="2:8" x14ac:dyDescent="0.25">
      <c r="B37" s="44">
        <v>43598</v>
      </c>
      <c r="C37" s="45" t="s">
        <v>79</v>
      </c>
      <c r="D37" t="s">
        <v>61</v>
      </c>
      <c r="E37" t="s">
        <v>53</v>
      </c>
      <c r="F37">
        <v>150</v>
      </c>
      <c r="G37" s="42">
        <f t="shared" si="0"/>
        <v>43603</v>
      </c>
      <c r="H37" t="s">
        <v>45</v>
      </c>
    </row>
    <row r="38" spans="2:8" x14ac:dyDescent="0.25">
      <c r="B38" s="44">
        <v>43612</v>
      </c>
      <c r="C38" s="45" t="s">
        <v>67</v>
      </c>
      <c r="D38" t="s">
        <v>55</v>
      </c>
      <c r="E38" t="s">
        <v>44</v>
      </c>
      <c r="F38">
        <v>260</v>
      </c>
      <c r="G38" s="42">
        <f t="shared" si="0"/>
        <v>43617</v>
      </c>
    </row>
    <row r="39" spans="2:8" x14ac:dyDescent="0.25">
      <c r="B39" s="44">
        <v>43594</v>
      </c>
      <c r="C39" s="45" t="s">
        <v>80</v>
      </c>
      <c r="D39" t="s">
        <v>81</v>
      </c>
      <c r="E39" t="s">
        <v>53</v>
      </c>
      <c r="F39">
        <v>1100</v>
      </c>
      <c r="G39" s="42">
        <f t="shared" si="0"/>
        <v>43599</v>
      </c>
      <c r="H39" t="s">
        <v>45</v>
      </c>
    </row>
    <row r="40" spans="2:8" x14ac:dyDescent="0.25">
      <c r="B40" s="44">
        <v>43612</v>
      </c>
      <c r="C40" s="45" t="s">
        <v>82</v>
      </c>
      <c r="D40" t="s">
        <v>71</v>
      </c>
      <c r="E40" t="s">
        <v>53</v>
      </c>
      <c r="F40">
        <v>235</v>
      </c>
      <c r="G40" s="42">
        <f t="shared" si="0"/>
        <v>43617</v>
      </c>
    </row>
    <row r="41" spans="2:8" x14ac:dyDescent="0.25">
      <c r="B41" s="44">
        <v>43609</v>
      </c>
      <c r="C41" s="45" t="s">
        <v>83</v>
      </c>
      <c r="D41" t="s">
        <v>61</v>
      </c>
      <c r="E41" t="s">
        <v>53</v>
      </c>
      <c r="F41">
        <v>150</v>
      </c>
      <c r="G41" s="42">
        <f t="shared" si="0"/>
        <v>43614</v>
      </c>
    </row>
    <row r="42" spans="2:8" x14ac:dyDescent="0.25">
      <c r="B42" s="44">
        <v>43598</v>
      </c>
      <c r="C42" s="45" t="s">
        <v>84</v>
      </c>
      <c r="D42" t="s">
        <v>85</v>
      </c>
      <c r="E42" t="s">
        <v>44</v>
      </c>
      <c r="F42">
        <v>190</v>
      </c>
      <c r="G42" s="42">
        <f t="shared" si="0"/>
        <v>43603</v>
      </c>
      <c r="H42" t="s">
        <v>45</v>
      </c>
    </row>
    <row r="43" spans="2:8" x14ac:dyDescent="0.25">
      <c r="B43" s="44">
        <v>43602</v>
      </c>
      <c r="C43" s="45" t="s">
        <v>86</v>
      </c>
      <c r="D43" t="s">
        <v>71</v>
      </c>
      <c r="E43" t="s">
        <v>44</v>
      </c>
      <c r="F43">
        <v>235</v>
      </c>
      <c r="G43" s="42">
        <f t="shared" si="0"/>
        <v>43607</v>
      </c>
      <c r="H43" t="s">
        <v>45</v>
      </c>
    </row>
    <row r="44" spans="2:8" x14ac:dyDescent="0.25">
      <c r="B44" s="44">
        <v>43608</v>
      </c>
      <c r="C44" s="45" t="s">
        <v>87</v>
      </c>
      <c r="D44" t="s">
        <v>50</v>
      </c>
      <c r="E44" t="s">
        <v>53</v>
      </c>
      <c r="F44">
        <v>275</v>
      </c>
      <c r="G44" s="42">
        <f t="shared" si="0"/>
        <v>43613</v>
      </c>
      <c r="H44" t="s">
        <v>45</v>
      </c>
    </row>
    <row r="45" spans="2:8" x14ac:dyDescent="0.25">
      <c r="B45" s="44">
        <v>43599</v>
      </c>
      <c r="C45" s="45" t="s">
        <v>88</v>
      </c>
      <c r="D45" t="s">
        <v>43</v>
      </c>
      <c r="E45" t="s">
        <v>44</v>
      </c>
      <c r="F45">
        <v>310</v>
      </c>
      <c r="G45" s="42">
        <f t="shared" si="0"/>
        <v>43604</v>
      </c>
      <c r="H45" t="s">
        <v>45</v>
      </c>
    </row>
    <row r="46" spans="2:8" x14ac:dyDescent="0.25">
      <c r="B46" s="44">
        <v>43606</v>
      </c>
      <c r="C46" s="45" t="s">
        <v>89</v>
      </c>
      <c r="D46" t="s">
        <v>64</v>
      </c>
      <c r="E46" t="s">
        <v>44</v>
      </c>
      <c r="F46">
        <v>55</v>
      </c>
      <c r="G46" s="42">
        <f t="shared" si="0"/>
        <v>43611</v>
      </c>
    </row>
    <row r="47" spans="2:8" x14ac:dyDescent="0.25">
      <c r="B47" s="44">
        <v>43588</v>
      </c>
      <c r="C47" s="45" t="s">
        <v>90</v>
      </c>
      <c r="D47" t="s">
        <v>74</v>
      </c>
      <c r="E47" t="s">
        <v>53</v>
      </c>
      <c r="F47">
        <v>250</v>
      </c>
      <c r="G47" s="42">
        <f t="shared" si="0"/>
        <v>43593</v>
      </c>
      <c r="H47" t="s">
        <v>45</v>
      </c>
    </row>
    <row r="48" spans="2:8" x14ac:dyDescent="0.25">
      <c r="B48" s="44">
        <v>43601</v>
      </c>
      <c r="C48" s="45" t="s">
        <v>91</v>
      </c>
      <c r="D48" t="s">
        <v>50</v>
      </c>
      <c r="E48" t="s">
        <v>44</v>
      </c>
      <c r="F48">
        <v>275</v>
      </c>
      <c r="G48" s="42">
        <f t="shared" si="0"/>
        <v>43606</v>
      </c>
    </row>
    <row r="49" spans="2:24" x14ac:dyDescent="0.25">
      <c r="B49" s="44">
        <v>43595</v>
      </c>
      <c r="C49" s="45" t="s">
        <v>92</v>
      </c>
      <c r="D49" t="s">
        <v>57</v>
      </c>
      <c r="E49" t="s">
        <v>48</v>
      </c>
      <c r="F49">
        <v>140</v>
      </c>
      <c r="G49" s="42">
        <f t="shared" si="0"/>
        <v>43600</v>
      </c>
      <c r="H49" t="s">
        <v>45</v>
      </c>
    </row>
    <row r="50" spans="2:24" x14ac:dyDescent="0.25">
      <c r="B50" s="44">
        <v>43592</v>
      </c>
      <c r="C50" s="45" t="s">
        <v>93</v>
      </c>
      <c r="D50" t="s">
        <v>69</v>
      </c>
      <c r="E50" t="s">
        <v>53</v>
      </c>
      <c r="F50">
        <v>460</v>
      </c>
      <c r="G50" s="42">
        <f t="shared" si="0"/>
        <v>43597</v>
      </c>
      <c r="H50" t="s">
        <v>45</v>
      </c>
    </row>
    <row r="52" spans="2:24" x14ac:dyDescent="0.25">
      <c r="B52" s="405" t="s">
        <v>94</v>
      </c>
      <c r="C52" s="405"/>
      <c r="D52" s="405"/>
      <c r="E52" s="405"/>
      <c r="F52" s="405"/>
      <c r="G52" s="405"/>
      <c r="H52" s="405"/>
      <c r="I52" s="405"/>
    </row>
    <row r="53" spans="2:24" x14ac:dyDescent="0.25">
      <c r="B53" s="6" t="s">
        <v>2</v>
      </c>
      <c r="C53" s="41" t="s">
        <v>688</v>
      </c>
    </row>
    <row r="54" spans="2:24" x14ac:dyDescent="0.25">
      <c r="B54" s="6"/>
      <c r="C54" s="41"/>
    </row>
    <row r="55" spans="2:24" x14ac:dyDescent="0.25">
      <c r="B55" s="6"/>
      <c r="C55" t="s">
        <v>95</v>
      </c>
      <c r="D55" s="46">
        <v>43617</v>
      </c>
      <c r="F55" t="s">
        <v>96</v>
      </c>
      <c r="G55" t="str">
        <f>+"$G"&amp;ROW(G58)&amp;"&lt;$D$"&amp;ROW(D55)</f>
        <v>$G58&lt;$D$55</v>
      </c>
    </row>
    <row r="56" spans="2:24" x14ac:dyDescent="0.25">
      <c r="B56" s="6"/>
      <c r="C56" s="41"/>
    </row>
    <row r="57" spans="2:24" x14ac:dyDescent="0.25">
      <c r="B57" s="43" t="s">
        <v>36</v>
      </c>
      <c r="C57" s="43" t="s">
        <v>37</v>
      </c>
      <c r="D57" s="43" t="s">
        <v>35</v>
      </c>
      <c r="E57" s="43" t="s">
        <v>38</v>
      </c>
      <c r="F57" s="43" t="s">
        <v>39</v>
      </c>
      <c r="G57" s="43" t="s">
        <v>40</v>
      </c>
      <c r="H57" s="43" t="s">
        <v>41</v>
      </c>
    </row>
    <row r="58" spans="2:24" x14ac:dyDescent="0.25">
      <c r="B58" s="44">
        <v>43587</v>
      </c>
      <c r="C58" s="45" t="s">
        <v>42</v>
      </c>
      <c r="D58" t="s">
        <v>43</v>
      </c>
      <c r="E58" t="s">
        <v>44</v>
      </c>
      <c r="F58">
        <v>310</v>
      </c>
      <c r="G58" s="42">
        <f t="shared" ref="G58:G92" si="1">+B58+5</f>
        <v>43592</v>
      </c>
      <c r="H58" t="s">
        <v>45</v>
      </c>
      <c r="X58" s="217">
        <f>+S58+5</f>
        <v>5</v>
      </c>
    </row>
    <row r="59" spans="2:24" x14ac:dyDescent="0.25">
      <c r="B59" s="44">
        <v>43605</v>
      </c>
      <c r="C59" s="45" t="s">
        <v>46</v>
      </c>
      <c r="D59" t="s">
        <v>47</v>
      </c>
      <c r="E59" t="s">
        <v>48</v>
      </c>
      <c r="F59">
        <v>150</v>
      </c>
      <c r="G59" s="42">
        <f t="shared" si="1"/>
        <v>43610</v>
      </c>
      <c r="H59" t="s">
        <v>45</v>
      </c>
    </row>
    <row r="60" spans="2:24" x14ac:dyDescent="0.25">
      <c r="B60" s="44">
        <v>43607</v>
      </c>
      <c r="C60" s="45" t="s">
        <v>49</v>
      </c>
      <c r="D60" t="s">
        <v>50</v>
      </c>
      <c r="E60" t="s">
        <v>48</v>
      </c>
      <c r="F60">
        <v>275</v>
      </c>
      <c r="G60" s="42">
        <f t="shared" si="1"/>
        <v>43612</v>
      </c>
      <c r="H60" t="s">
        <v>45</v>
      </c>
    </row>
    <row r="61" spans="2:24" x14ac:dyDescent="0.25">
      <c r="B61" s="44">
        <v>43591</v>
      </c>
      <c r="C61" s="45" t="s">
        <v>51</v>
      </c>
      <c r="D61" t="s">
        <v>43</v>
      </c>
      <c r="E61" t="s">
        <v>48</v>
      </c>
      <c r="F61">
        <v>310</v>
      </c>
      <c r="G61" s="42">
        <f t="shared" si="1"/>
        <v>43596</v>
      </c>
      <c r="H61" t="s">
        <v>45</v>
      </c>
    </row>
    <row r="62" spans="2:24" x14ac:dyDescent="0.25">
      <c r="B62" s="44">
        <v>43613</v>
      </c>
      <c r="C62" s="45" t="s">
        <v>52</v>
      </c>
      <c r="D62" t="s">
        <v>50</v>
      </c>
      <c r="E62" t="s">
        <v>53</v>
      </c>
      <c r="F62">
        <v>275</v>
      </c>
      <c r="G62" s="42">
        <f t="shared" si="1"/>
        <v>43618</v>
      </c>
    </row>
    <row r="63" spans="2:24" x14ac:dyDescent="0.25">
      <c r="B63" s="44">
        <v>43601</v>
      </c>
      <c r="C63" s="45" t="s">
        <v>54</v>
      </c>
      <c r="D63" t="s">
        <v>55</v>
      </c>
      <c r="E63" t="s">
        <v>48</v>
      </c>
      <c r="F63">
        <v>260</v>
      </c>
      <c r="G63" s="42">
        <f t="shared" si="1"/>
        <v>43606</v>
      </c>
      <c r="H63" t="s">
        <v>45</v>
      </c>
    </row>
    <row r="64" spans="2:24" x14ac:dyDescent="0.25">
      <c r="B64" s="44">
        <v>43587</v>
      </c>
      <c r="C64" s="45" t="s">
        <v>56</v>
      </c>
      <c r="D64" t="s">
        <v>57</v>
      </c>
      <c r="E64" t="s">
        <v>53</v>
      </c>
      <c r="F64">
        <v>140</v>
      </c>
      <c r="G64" s="42">
        <f t="shared" si="1"/>
        <v>43592</v>
      </c>
      <c r="H64" t="s">
        <v>45</v>
      </c>
    </row>
    <row r="65" spans="2:8" x14ac:dyDescent="0.25">
      <c r="B65" s="44">
        <v>43608</v>
      </c>
      <c r="C65" s="45" t="s">
        <v>58</v>
      </c>
      <c r="D65" t="s">
        <v>59</v>
      </c>
      <c r="E65" t="s">
        <v>48</v>
      </c>
      <c r="F65">
        <v>33</v>
      </c>
      <c r="G65" s="42">
        <f t="shared" si="1"/>
        <v>43613</v>
      </c>
    </row>
    <row r="66" spans="2:8" x14ac:dyDescent="0.25">
      <c r="B66" s="44">
        <v>43608</v>
      </c>
      <c r="C66" s="45" t="s">
        <v>60</v>
      </c>
      <c r="D66" t="s">
        <v>61</v>
      </c>
      <c r="E66" t="s">
        <v>44</v>
      </c>
      <c r="F66">
        <v>150</v>
      </c>
      <c r="G66" s="42">
        <f t="shared" si="1"/>
        <v>43613</v>
      </c>
      <c r="H66" t="s">
        <v>45</v>
      </c>
    </row>
    <row r="67" spans="2:8" x14ac:dyDescent="0.25">
      <c r="B67" s="44">
        <v>43606</v>
      </c>
      <c r="C67" s="45" t="s">
        <v>62</v>
      </c>
      <c r="D67" t="s">
        <v>59</v>
      </c>
      <c r="E67" t="s">
        <v>48</v>
      </c>
      <c r="F67">
        <v>33</v>
      </c>
      <c r="G67" s="42">
        <f t="shared" si="1"/>
        <v>43611</v>
      </c>
    </row>
    <row r="68" spans="2:8" x14ac:dyDescent="0.25">
      <c r="B68" s="44">
        <v>43616</v>
      </c>
      <c r="C68" s="45" t="s">
        <v>63</v>
      </c>
      <c r="D68" t="s">
        <v>64</v>
      </c>
      <c r="E68" t="s">
        <v>53</v>
      </c>
      <c r="F68">
        <v>55</v>
      </c>
      <c r="G68" s="42">
        <f t="shared" si="1"/>
        <v>43621</v>
      </c>
    </row>
    <row r="69" spans="2:8" x14ac:dyDescent="0.25">
      <c r="B69" s="44">
        <v>43599</v>
      </c>
      <c r="C69" s="45" t="s">
        <v>65</v>
      </c>
      <c r="D69" t="s">
        <v>66</v>
      </c>
      <c r="E69" t="s">
        <v>48</v>
      </c>
      <c r="F69">
        <v>230</v>
      </c>
      <c r="G69" s="42">
        <f t="shared" si="1"/>
        <v>43604</v>
      </c>
      <c r="H69" t="s">
        <v>45</v>
      </c>
    </row>
    <row r="70" spans="2:8" x14ac:dyDescent="0.25">
      <c r="B70" s="44">
        <v>43612</v>
      </c>
      <c r="C70" s="45" t="s">
        <v>67</v>
      </c>
      <c r="D70" t="s">
        <v>55</v>
      </c>
      <c r="E70" t="s">
        <v>44</v>
      </c>
      <c r="F70">
        <v>260</v>
      </c>
      <c r="G70" s="42">
        <f t="shared" si="1"/>
        <v>43617</v>
      </c>
      <c r="H70" t="s">
        <v>45</v>
      </c>
    </row>
    <row r="71" spans="2:8" x14ac:dyDescent="0.25">
      <c r="B71" s="44">
        <v>43594</v>
      </c>
      <c r="C71" s="45" t="s">
        <v>68</v>
      </c>
      <c r="D71" t="s">
        <v>69</v>
      </c>
      <c r="E71" t="s">
        <v>48</v>
      </c>
      <c r="F71">
        <v>460</v>
      </c>
      <c r="G71" s="42">
        <f t="shared" si="1"/>
        <v>43599</v>
      </c>
      <c r="H71" t="s">
        <v>45</v>
      </c>
    </row>
    <row r="72" spans="2:8" x14ac:dyDescent="0.25">
      <c r="B72" s="44">
        <v>43588</v>
      </c>
      <c r="C72" s="45" t="s">
        <v>70</v>
      </c>
      <c r="D72" t="s">
        <v>71</v>
      </c>
      <c r="E72" t="s">
        <v>53</v>
      </c>
      <c r="F72">
        <v>235</v>
      </c>
      <c r="G72" s="42">
        <f t="shared" si="1"/>
        <v>43593</v>
      </c>
      <c r="H72" t="s">
        <v>45</v>
      </c>
    </row>
    <row r="73" spans="2:8" x14ac:dyDescent="0.25">
      <c r="B73" s="44">
        <v>43615</v>
      </c>
      <c r="C73" s="45" t="s">
        <v>72</v>
      </c>
      <c r="D73" t="s">
        <v>59</v>
      </c>
      <c r="E73" t="s">
        <v>44</v>
      </c>
      <c r="F73">
        <v>33</v>
      </c>
      <c r="G73" s="42">
        <f t="shared" si="1"/>
        <v>43620</v>
      </c>
    </row>
    <row r="74" spans="2:8" x14ac:dyDescent="0.25">
      <c r="B74" s="44">
        <v>43601</v>
      </c>
      <c r="C74" s="45" t="s">
        <v>73</v>
      </c>
      <c r="D74" t="s">
        <v>74</v>
      </c>
      <c r="E74" t="s">
        <v>44</v>
      </c>
      <c r="F74">
        <v>250</v>
      </c>
      <c r="G74" s="42">
        <f t="shared" si="1"/>
        <v>43606</v>
      </c>
      <c r="H74" t="s">
        <v>45</v>
      </c>
    </row>
    <row r="75" spans="2:8" x14ac:dyDescent="0.25">
      <c r="B75" s="44">
        <v>43594</v>
      </c>
      <c r="C75" s="45" t="s">
        <v>75</v>
      </c>
      <c r="D75" t="s">
        <v>57</v>
      </c>
      <c r="E75" t="s">
        <v>44</v>
      </c>
      <c r="F75">
        <v>140</v>
      </c>
      <c r="G75" s="42">
        <f t="shared" si="1"/>
        <v>43599</v>
      </c>
      <c r="H75" t="s">
        <v>45</v>
      </c>
    </row>
    <row r="76" spans="2:8" x14ac:dyDescent="0.25">
      <c r="B76" s="44">
        <v>43615</v>
      </c>
      <c r="C76" s="45" t="s">
        <v>76</v>
      </c>
      <c r="D76" t="s">
        <v>47</v>
      </c>
      <c r="E76" t="s">
        <v>44</v>
      </c>
      <c r="F76">
        <v>150</v>
      </c>
      <c r="G76" s="42">
        <f t="shared" si="1"/>
        <v>43620</v>
      </c>
    </row>
    <row r="77" spans="2:8" x14ac:dyDescent="0.25">
      <c r="B77" s="44">
        <v>43614</v>
      </c>
      <c r="C77" s="45" t="s">
        <v>77</v>
      </c>
      <c r="D77" t="s">
        <v>71</v>
      </c>
      <c r="E77" t="s">
        <v>44</v>
      </c>
      <c r="F77">
        <v>235</v>
      </c>
      <c r="G77" s="42">
        <f t="shared" si="1"/>
        <v>43619</v>
      </c>
      <c r="H77" t="s">
        <v>45</v>
      </c>
    </row>
    <row r="78" spans="2:8" x14ac:dyDescent="0.25">
      <c r="B78" s="44">
        <v>43588</v>
      </c>
      <c r="C78" s="45" t="s">
        <v>78</v>
      </c>
      <c r="D78" t="s">
        <v>59</v>
      </c>
      <c r="E78" t="s">
        <v>53</v>
      </c>
      <c r="F78">
        <v>33</v>
      </c>
      <c r="G78" s="42">
        <f t="shared" si="1"/>
        <v>43593</v>
      </c>
      <c r="H78" t="s">
        <v>45</v>
      </c>
    </row>
    <row r="79" spans="2:8" x14ac:dyDescent="0.25">
      <c r="B79" s="44">
        <v>43598</v>
      </c>
      <c r="C79" s="45" t="s">
        <v>79</v>
      </c>
      <c r="D79" t="s">
        <v>61</v>
      </c>
      <c r="E79" t="s">
        <v>53</v>
      </c>
      <c r="F79">
        <v>150</v>
      </c>
      <c r="G79" s="42">
        <f t="shared" si="1"/>
        <v>43603</v>
      </c>
      <c r="H79" t="s">
        <v>45</v>
      </c>
    </row>
    <row r="80" spans="2:8" x14ac:dyDescent="0.25">
      <c r="B80" s="44">
        <v>43612</v>
      </c>
      <c r="C80" s="45" t="s">
        <v>67</v>
      </c>
      <c r="D80" t="s">
        <v>55</v>
      </c>
      <c r="E80" t="s">
        <v>44</v>
      </c>
      <c r="F80">
        <v>260</v>
      </c>
      <c r="G80" s="42">
        <f t="shared" si="1"/>
        <v>43617</v>
      </c>
    </row>
    <row r="81" spans="2:8" x14ac:dyDescent="0.25">
      <c r="B81" s="44">
        <v>43594</v>
      </c>
      <c r="C81" s="45" t="s">
        <v>80</v>
      </c>
      <c r="D81" t="s">
        <v>81</v>
      </c>
      <c r="E81" t="s">
        <v>53</v>
      </c>
      <c r="F81">
        <v>1100</v>
      </c>
      <c r="G81" s="42">
        <f t="shared" si="1"/>
        <v>43599</v>
      </c>
      <c r="H81" t="s">
        <v>45</v>
      </c>
    </row>
    <row r="82" spans="2:8" x14ac:dyDescent="0.25">
      <c r="B82" s="44">
        <v>43612</v>
      </c>
      <c r="C82" s="45" t="s">
        <v>82</v>
      </c>
      <c r="D82" t="s">
        <v>71</v>
      </c>
      <c r="E82" t="s">
        <v>53</v>
      </c>
      <c r="F82">
        <v>235</v>
      </c>
      <c r="G82" s="42">
        <f t="shared" si="1"/>
        <v>43617</v>
      </c>
    </row>
    <row r="83" spans="2:8" x14ac:dyDescent="0.25">
      <c r="B83" s="44">
        <v>43609</v>
      </c>
      <c r="C83" s="45" t="s">
        <v>83</v>
      </c>
      <c r="D83" t="s">
        <v>61</v>
      </c>
      <c r="E83" t="s">
        <v>53</v>
      </c>
      <c r="F83">
        <v>150</v>
      </c>
      <c r="G83" s="42">
        <f t="shared" si="1"/>
        <v>43614</v>
      </c>
    </row>
    <row r="84" spans="2:8" x14ac:dyDescent="0.25">
      <c r="B84" s="44">
        <v>43598</v>
      </c>
      <c r="C84" s="45" t="s">
        <v>84</v>
      </c>
      <c r="D84" t="s">
        <v>85</v>
      </c>
      <c r="E84" t="s">
        <v>44</v>
      </c>
      <c r="F84">
        <v>190</v>
      </c>
      <c r="G84" s="42">
        <f t="shared" si="1"/>
        <v>43603</v>
      </c>
      <c r="H84" t="s">
        <v>45</v>
      </c>
    </row>
    <row r="85" spans="2:8" x14ac:dyDescent="0.25">
      <c r="B85" s="44">
        <v>43602</v>
      </c>
      <c r="C85" s="45" t="s">
        <v>86</v>
      </c>
      <c r="D85" t="s">
        <v>71</v>
      </c>
      <c r="E85" t="s">
        <v>44</v>
      </c>
      <c r="F85">
        <v>235</v>
      </c>
      <c r="G85" s="42">
        <f t="shared" si="1"/>
        <v>43607</v>
      </c>
      <c r="H85" t="s">
        <v>45</v>
      </c>
    </row>
    <row r="86" spans="2:8" x14ac:dyDescent="0.25">
      <c r="B86" s="44">
        <v>43608</v>
      </c>
      <c r="C86" s="45" t="s">
        <v>87</v>
      </c>
      <c r="D86" t="s">
        <v>50</v>
      </c>
      <c r="E86" t="s">
        <v>53</v>
      </c>
      <c r="F86">
        <v>275</v>
      </c>
      <c r="G86" s="42">
        <f t="shared" si="1"/>
        <v>43613</v>
      </c>
      <c r="H86" t="s">
        <v>45</v>
      </c>
    </row>
    <row r="87" spans="2:8" x14ac:dyDescent="0.25">
      <c r="B87" s="44">
        <v>43599</v>
      </c>
      <c r="C87" s="45" t="s">
        <v>88</v>
      </c>
      <c r="D87" t="s">
        <v>43</v>
      </c>
      <c r="E87" t="s">
        <v>44</v>
      </c>
      <c r="F87">
        <v>310</v>
      </c>
      <c r="G87" s="42">
        <f t="shared" si="1"/>
        <v>43604</v>
      </c>
      <c r="H87" t="s">
        <v>45</v>
      </c>
    </row>
    <row r="88" spans="2:8" x14ac:dyDescent="0.25">
      <c r="B88" s="44">
        <v>43606</v>
      </c>
      <c r="C88" s="45" t="s">
        <v>89</v>
      </c>
      <c r="D88" t="s">
        <v>64</v>
      </c>
      <c r="E88" t="s">
        <v>44</v>
      </c>
      <c r="F88">
        <v>55</v>
      </c>
      <c r="G88" s="42">
        <f t="shared" si="1"/>
        <v>43611</v>
      </c>
    </row>
    <row r="89" spans="2:8" x14ac:dyDescent="0.25">
      <c r="B89" s="44">
        <v>43588</v>
      </c>
      <c r="C89" s="45" t="s">
        <v>90</v>
      </c>
      <c r="D89" t="s">
        <v>74</v>
      </c>
      <c r="E89" t="s">
        <v>53</v>
      </c>
      <c r="F89">
        <v>250</v>
      </c>
      <c r="G89" s="42">
        <f t="shared" si="1"/>
        <v>43593</v>
      </c>
      <c r="H89" t="s">
        <v>45</v>
      </c>
    </row>
    <row r="90" spans="2:8" x14ac:dyDescent="0.25">
      <c r="B90" s="44">
        <v>43601</v>
      </c>
      <c r="C90" s="45" t="s">
        <v>91</v>
      </c>
      <c r="D90" t="s">
        <v>50</v>
      </c>
      <c r="E90" t="s">
        <v>44</v>
      </c>
      <c r="F90">
        <v>275</v>
      </c>
      <c r="G90" s="42">
        <f t="shared" si="1"/>
        <v>43606</v>
      </c>
    </row>
    <row r="91" spans="2:8" x14ac:dyDescent="0.25">
      <c r="B91" s="44">
        <v>43595</v>
      </c>
      <c r="C91" s="45" t="s">
        <v>92</v>
      </c>
      <c r="D91" t="s">
        <v>57</v>
      </c>
      <c r="E91" t="s">
        <v>48</v>
      </c>
      <c r="F91">
        <v>140</v>
      </c>
      <c r="G91" s="42">
        <f t="shared" si="1"/>
        <v>43600</v>
      </c>
      <c r="H91" t="s">
        <v>45</v>
      </c>
    </row>
    <row r="92" spans="2:8" x14ac:dyDescent="0.25">
      <c r="B92" s="44">
        <v>43592</v>
      </c>
      <c r="C92" s="45" t="s">
        <v>93</v>
      </c>
      <c r="D92" t="s">
        <v>69</v>
      </c>
      <c r="E92" t="s">
        <v>53</v>
      </c>
      <c r="F92">
        <v>460</v>
      </c>
      <c r="G92" s="42">
        <f t="shared" si="1"/>
        <v>43597</v>
      </c>
      <c r="H92" t="s">
        <v>45</v>
      </c>
    </row>
  </sheetData>
  <mergeCells count="1">
    <mergeCell ref="B52:I52"/>
  </mergeCells>
  <conditionalFormatting sqref="B57:H92">
    <cfRule type="expression" dxfId="12" priority="1">
      <formula>"$H58=""Apmoketa"""</formula>
    </cfRule>
    <cfRule type="expression" dxfId="11" priority="2">
      <formula>"$H58=""Apmoketa"""</formula>
    </cfRule>
  </conditionalFormatting>
  <conditionalFormatting sqref="B58:H92">
    <cfRule type="expression" dxfId="10" priority="3">
      <formula>"$G58&lt;$D$55"</formula>
    </cfRule>
  </conditionalFormatting>
  <conditionalFormatting sqref="C17:C50">
    <cfRule type="duplicateValues" dxfId="9" priority="5"/>
  </conditionalFormatting>
  <conditionalFormatting sqref="F16:F50">
    <cfRule type="cellIs" dxfId="7" priority="8" operator="greaterThan">
      <formula>150</formula>
    </cfRule>
    <cfRule type="cellIs" dxfId="6" priority="9" operator="lessThan">
      <formula>100</formula>
    </cfRule>
  </conditionalFormatting>
  <pageMargins left="0.7" right="0.7" top="0.75" bottom="0.75" header="0.3" footer="0.3"/>
  <pageSetup paperSize="9" orientation="portrait" verticalDpi="0" r:id="rId1"/>
  <extLst>
    <ext xmlns:x14="http://schemas.microsoft.com/office/spreadsheetml/2009/9/main" uri="{78C0D931-6437-407d-A8EE-F0AAD7539E65}">
      <x14:conditionalFormattings>
        <x14:conditionalFormatting xmlns:xm="http://schemas.microsoft.com/office/excel/2006/main">
          <x14:cfRule type="containsText" priority="6" operator="containsText" id="{ABF11498-B53B-4F67-BD08-460A6B499D99}">
            <xm:f>NOT(ISERROR(SEARCH($F$13,D16)))</xm:f>
            <xm:f>$F$13</xm:f>
            <x14:dxf>
              <font>
                <color rgb="FF9C0006"/>
              </font>
              <fill>
                <patternFill>
                  <bgColor rgb="FFFFC7CE"/>
                </patternFill>
              </fill>
            </x14:dxf>
          </x14:cfRule>
          <xm:sqref>D16:D50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566BB-52F8-4064-8B2B-514D54C1B6D7}">
  <dimension ref="B1:AH34"/>
  <sheetViews>
    <sheetView zoomScaleNormal="100" workbookViewId="0">
      <selection activeCell="H24" sqref="H24"/>
    </sheetView>
  </sheetViews>
  <sheetFormatPr defaultColWidth="8.85546875" defaultRowHeight="15" x14ac:dyDescent="0.25"/>
  <cols>
    <col min="1" max="1" width="3" customWidth="1"/>
    <col min="2" max="2" width="30" customWidth="1"/>
    <col min="3" max="3" width="10.140625" customWidth="1"/>
    <col min="4" max="5" width="12.42578125" customWidth="1"/>
    <col min="6" max="34" width="3.42578125" customWidth="1"/>
  </cols>
  <sheetData>
    <row r="1" spans="2:34" ht="23.25" x14ac:dyDescent="0.35">
      <c r="B1" s="257" t="s">
        <v>888</v>
      </c>
      <c r="C1" s="1" t="s">
        <v>29</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3" spans="2:34" x14ac:dyDescent="0.25">
      <c r="B3" s="6" t="s">
        <v>2</v>
      </c>
      <c r="C3" s="41" t="s">
        <v>890</v>
      </c>
    </row>
    <row r="4" spans="2:34" ht="15.75" thickBot="1" x14ac:dyDescent="0.3"/>
    <row r="5" spans="2:34" x14ac:dyDescent="0.25">
      <c r="B5" s="406" t="s">
        <v>874</v>
      </c>
      <c r="C5" s="408" t="s">
        <v>875</v>
      </c>
      <c r="D5" s="408" t="s">
        <v>876</v>
      </c>
      <c r="E5" s="408" t="s">
        <v>877</v>
      </c>
      <c r="F5" s="410" t="s">
        <v>878</v>
      </c>
      <c r="G5" s="410"/>
      <c r="H5" s="410"/>
      <c r="I5" s="410"/>
      <c r="J5" s="410"/>
      <c r="K5" s="410"/>
      <c r="L5" s="410"/>
      <c r="M5" s="410"/>
      <c r="N5" s="410"/>
      <c r="O5" s="410"/>
      <c r="P5" s="410"/>
      <c r="Q5" s="410"/>
      <c r="R5" s="410"/>
      <c r="S5" s="410"/>
      <c r="T5" s="410"/>
      <c r="U5" s="410"/>
      <c r="V5" s="410"/>
      <c r="W5" s="410"/>
      <c r="X5" s="410"/>
      <c r="Y5" s="410"/>
      <c r="Z5" s="410"/>
      <c r="AA5" s="410"/>
      <c r="AB5" s="410"/>
      <c r="AC5" s="410"/>
      <c r="AD5" s="410"/>
      <c r="AE5" s="410"/>
      <c r="AF5" s="410"/>
      <c r="AG5" s="410"/>
      <c r="AH5" s="411"/>
    </row>
    <row r="6" spans="2:34" ht="34.5" customHeight="1" x14ac:dyDescent="0.25">
      <c r="B6" s="407"/>
      <c r="C6" s="409"/>
      <c r="D6" s="409"/>
      <c r="E6" s="409"/>
      <c r="F6" s="200">
        <f>+D7</f>
        <v>43467</v>
      </c>
      <c r="G6" s="200">
        <f>+F6+1</f>
        <v>43468</v>
      </c>
      <c r="H6" s="200">
        <f t="shared" ref="H6:AH6" si="0">+G6+1</f>
        <v>43469</v>
      </c>
      <c r="I6" s="200">
        <f t="shared" si="0"/>
        <v>43470</v>
      </c>
      <c r="J6" s="200">
        <f t="shared" si="0"/>
        <v>43471</v>
      </c>
      <c r="K6" s="200">
        <f t="shared" si="0"/>
        <v>43472</v>
      </c>
      <c r="L6" s="200">
        <f t="shared" si="0"/>
        <v>43473</v>
      </c>
      <c r="M6" s="200">
        <f t="shared" si="0"/>
        <v>43474</v>
      </c>
      <c r="N6" s="200">
        <f t="shared" si="0"/>
        <v>43475</v>
      </c>
      <c r="O6" s="200">
        <f t="shared" si="0"/>
        <v>43476</v>
      </c>
      <c r="P6" s="200">
        <f t="shared" si="0"/>
        <v>43477</v>
      </c>
      <c r="Q6" s="200">
        <f t="shared" si="0"/>
        <v>43478</v>
      </c>
      <c r="R6" s="200">
        <f t="shared" si="0"/>
        <v>43479</v>
      </c>
      <c r="S6" s="200">
        <f t="shared" si="0"/>
        <v>43480</v>
      </c>
      <c r="T6" s="200">
        <f t="shared" si="0"/>
        <v>43481</v>
      </c>
      <c r="U6" s="200">
        <f t="shared" si="0"/>
        <v>43482</v>
      </c>
      <c r="V6" s="200">
        <f t="shared" si="0"/>
        <v>43483</v>
      </c>
      <c r="W6" s="200">
        <f t="shared" si="0"/>
        <v>43484</v>
      </c>
      <c r="X6" s="200">
        <f t="shared" si="0"/>
        <v>43485</v>
      </c>
      <c r="Y6" s="200">
        <f t="shared" si="0"/>
        <v>43486</v>
      </c>
      <c r="Z6" s="200">
        <f t="shared" si="0"/>
        <v>43487</v>
      </c>
      <c r="AA6" s="200">
        <f t="shared" si="0"/>
        <v>43488</v>
      </c>
      <c r="AB6" s="200">
        <f t="shared" si="0"/>
        <v>43489</v>
      </c>
      <c r="AC6" s="200">
        <f t="shared" si="0"/>
        <v>43490</v>
      </c>
      <c r="AD6" s="200">
        <f t="shared" si="0"/>
        <v>43491</v>
      </c>
      <c r="AE6" s="200">
        <f t="shared" si="0"/>
        <v>43492</v>
      </c>
      <c r="AF6" s="200">
        <f t="shared" si="0"/>
        <v>43493</v>
      </c>
      <c r="AG6" s="200">
        <f t="shared" si="0"/>
        <v>43494</v>
      </c>
      <c r="AH6" s="201">
        <f t="shared" si="0"/>
        <v>43495</v>
      </c>
    </row>
    <row r="7" spans="2:34" x14ac:dyDescent="0.25">
      <c r="B7" s="202" t="s">
        <v>879</v>
      </c>
      <c r="C7" s="203">
        <v>3</v>
      </c>
      <c r="D7" s="204">
        <v>43467</v>
      </c>
      <c r="E7" s="205">
        <f>+D7+C7</f>
        <v>43470</v>
      </c>
      <c r="F7" s="73"/>
      <c r="G7" s="73"/>
      <c r="H7" s="73"/>
      <c r="I7" s="73"/>
      <c r="J7" s="73"/>
      <c r="K7" s="73"/>
      <c r="L7" s="73"/>
      <c r="M7" s="73"/>
      <c r="N7" s="73"/>
      <c r="O7" s="73"/>
      <c r="P7" s="73"/>
      <c r="Q7" s="73"/>
      <c r="R7" s="73"/>
      <c r="S7" s="73"/>
      <c r="T7" s="73"/>
      <c r="U7" s="73"/>
      <c r="V7" s="73"/>
      <c r="W7" s="73"/>
      <c r="X7" s="73"/>
      <c r="Y7" s="73"/>
      <c r="Z7" s="73"/>
      <c r="AA7" s="73"/>
      <c r="AB7" s="73"/>
      <c r="AC7" s="73"/>
      <c r="AD7" s="73"/>
      <c r="AE7" s="73"/>
      <c r="AF7" s="73"/>
      <c r="AG7" s="73"/>
      <c r="AH7" s="206"/>
    </row>
    <row r="8" spans="2:34" x14ac:dyDescent="0.25">
      <c r="B8" s="202" t="s">
        <v>880</v>
      </c>
      <c r="C8" s="203">
        <v>4</v>
      </c>
      <c r="D8" s="205">
        <f>+E7+1</f>
        <v>43471</v>
      </c>
      <c r="E8" s="205">
        <f>+D8+C8</f>
        <v>43475</v>
      </c>
      <c r="F8" s="73"/>
      <c r="G8" s="73"/>
      <c r="H8" s="73"/>
      <c r="I8" s="73"/>
      <c r="J8" s="73"/>
      <c r="K8" s="73"/>
      <c r="L8" s="73"/>
      <c r="M8" s="73"/>
      <c r="N8" s="73"/>
      <c r="O8" s="73"/>
      <c r="P8" s="73"/>
      <c r="Q8" s="73"/>
      <c r="R8" s="73"/>
      <c r="S8" s="73"/>
      <c r="T8" s="73"/>
      <c r="U8" s="73"/>
      <c r="V8" s="73"/>
      <c r="W8" s="73"/>
      <c r="X8" s="73"/>
      <c r="Y8" s="73"/>
      <c r="Z8" s="73"/>
      <c r="AA8" s="73"/>
      <c r="AB8" s="73"/>
      <c r="AC8" s="73"/>
      <c r="AD8" s="73"/>
      <c r="AE8" s="73"/>
      <c r="AF8" s="73"/>
      <c r="AG8" s="73"/>
      <c r="AH8" s="206"/>
    </row>
    <row r="9" spans="2:34" x14ac:dyDescent="0.25">
      <c r="B9" s="202" t="s">
        <v>881</v>
      </c>
      <c r="C9" s="203">
        <v>7</v>
      </c>
      <c r="D9" s="205">
        <f>+E8+1</f>
        <v>43476</v>
      </c>
      <c r="E9" s="205">
        <f>+D9+C9</f>
        <v>43483</v>
      </c>
      <c r="F9" s="73"/>
      <c r="G9" s="73"/>
      <c r="H9" s="73"/>
      <c r="I9" s="73"/>
      <c r="J9" s="73"/>
      <c r="K9" s="73"/>
      <c r="L9" s="73"/>
      <c r="M9" s="73"/>
      <c r="N9" s="73"/>
      <c r="O9" s="73"/>
      <c r="P9" s="73"/>
      <c r="Q9" s="73"/>
      <c r="R9" s="73"/>
      <c r="S9" s="73"/>
      <c r="T9" s="73"/>
      <c r="U9" s="73"/>
      <c r="V9" s="73"/>
      <c r="W9" s="73"/>
      <c r="X9" s="73"/>
      <c r="Y9" s="73"/>
      <c r="Z9" s="73"/>
      <c r="AA9" s="73"/>
      <c r="AB9" s="73"/>
      <c r="AC9" s="73"/>
      <c r="AD9" s="73"/>
      <c r="AE9" s="73"/>
      <c r="AF9" s="73"/>
      <c r="AG9" s="73"/>
      <c r="AH9" s="206"/>
    </row>
    <row r="10" spans="2:34" x14ac:dyDescent="0.25">
      <c r="B10" s="202" t="s">
        <v>882</v>
      </c>
      <c r="C10" s="203">
        <v>6</v>
      </c>
      <c r="D10" s="205">
        <f>+E9+1</f>
        <v>43484</v>
      </c>
      <c r="E10" s="205">
        <f>+D10+C10</f>
        <v>43490</v>
      </c>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206"/>
    </row>
    <row r="11" spans="2:34" ht="15.75" thickBot="1" x14ac:dyDescent="0.3">
      <c r="B11" s="207" t="s">
        <v>883</v>
      </c>
      <c r="C11" s="208">
        <v>2</v>
      </c>
      <c r="D11" s="209">
        <f>+E10+1</f>
        <v>43491</v>
      </c>
      <c r="E11" s="209">
        <f>+D11+C11</f>
        <v>43493</v>
      </c>
      <c r="F11" s="210"/>
      <c r="G11" s="210"/>
      <c r="H11" s="210"/>
      <c r="I11" s="210"/>
      <c r="J11" s="210"/>
      <c r="K11" s="210"/>
      <c r="L11" s="210"/>
      <c r="M11" s="210"/>
      <c r="N11" s="210"/>
      <c r="O11" s="210"/>
      <c r="P11" s="210"/>
      <c r="Q11" s="210"/>
      <c r="R11" s="210"/>
      <c r="S11" s="210"/>
      <c r="T11" s="210"/>
      <c r="U11" s="210"/>
      <c r="V11" s="210"/>
      <c r="W11" s="210"/>
      <c r="X11" s="210"/>
      <c r="Y11" s="210"/>
      <c r="Z11" s="210"/>
      <c r="AA11" s="210"/>
      <c r="AB11" s="210"/>
      <c r="AC11" s="210"/>
      <c r="AD11" s="210"/>
      <c r="AE11" s="210"/>
      <c r="AF11" s="210"/>
      <c r="AG11" s="210"/>
      <c r="AH11" s="211"/>
    </row>
    <row r="13" spans="2:34" x14ac:dyDescent="0.25">
      <c r="C13" s="212" t="s">
        <v>884</v>
      </c>
      <c r="D13" s="212"/>
      <c r="E13" s="212"/>
      <c r="F13" s="212"/>
      <c r="G13" s="212"/>
      <c r="H13" s="212"/>
      <c r="I13" s="212"/>
      <c r="J13" s="212"/>
      <c r="K13" s="212"/>
      <c r="L13" s="212"/>
    </row>
    <row r="14" spans="2:34" x14ac:dyDescent="0.25">
      <c r="C14" s="213" t="s">
        <v>885</v>
      </c>
      <c r="D14" s="214"/>
      <c r="E14" s="214"/>
      <c r="F14" s="214"/>
      <c r="G14" s="214"/>
      <c r="H14" s="214"/>
      <c r="I14" s="214"/>
      <c r="J14" s="214"/>
      <c r="K14" s="214"/>
      <c r="L14" s="214"/>
    </row>
    <row r="16" spans="2:34" x14ac:dyDescent="0.25">
      <c r="C16" t="s">
        <v>886</v>
      </c>
      <c r="D16" t="str">
        <f>+"AND(F$"&amp;ROW(F6)&amp;"&gt;=$D"&amp;ROW(D7)&amp;";F$"&amp;ROW(F6)&amp;"&lt;=$E"&amp;ROW(E7)&amp;")"</f>
        <v>AND(F$6&gt;=$D7;F$6&lt;=$E7)</v>
      </c>
    </row>
    <row r="18" ht="15" customHeight="1" x14ac:dyDescent="0.25"/>
    <row r="21" ht="15" customHeight="1" x14ac:dyDescent="0.25"/>
    <row r="27" ht="15" customHeight="1" x14ac:dyDescent="0.25"/>
    <row r="32" ht="15" customHeight="1" x14ac:dyDescent="0.25"/>
    <row r="34" spans="6:6" x14ac:dyDescent="0.25">
      <c r="F34" t="s">
        <v>887</v>
      </c>
    </row>
  </sheetData>
  <mergeCells count="5">
    <mergeCell ref="B5:B6"/>
    <mergeCell ref="C5:C6"/>
    <mergeCell ref="D5:D6"/>
    <mergeCell ref="E5:E6"/>
    <mergeCell ref="F5:AH5"/>
  </mergeCells>
  <conditionalFormatting sqref="D5:AH11">
    <cfRule type="expression" dxfId="5" priority="2">
      <formula>"AND(F$6&gt;=$D7,F$6&lt;=$E7)"</formula>
    </cfRule>
  </conditionalFormatting>
  <conditionalFormatting sqref="F6:AH11">
    <cfRule type="expression" dxfId="4" priority="1">
      <formula>"AND(F$6&gt;=$D7,F$6&lt;=$E7"</formula>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14"/>
  <sheetViews>
    <sheetView tabSelected="1" zoomScaleNormal="100" workbookViewId="0">
      <selection activeCell="F70" sqref="F70"/>
    </sheetView>
  </sheetViews>
  <sheetFormatPr defaultRowHeight="15" outlineLevelRow="2" x14ac:dyDescent="0.25"/>
  <cols>
    <col min="1" max="1" width="12.140625" customWidth="1"/>
    <col min="2" max="2" width="13.140625" customWidth="1"/>
    <col min="3" max="3" width="26.5703125" customWidth="1"/>
    <col min="4" max="4" width="18.42578125" customWidth="1"/>
    <col min="5" max="5" width="16.140625" customWidth="1"/>
    <col min="6" max="6" width="39.42578125" customWidth="1"/>
    <col min="7" max="7" width="19.5703125" customWidth="1"/>
  </cols>
  <sheetData>
    <row r="1" spans="1:10" ht="23.25" x14ac:dyDescent="0.35">
      <c r="A1" s="257" t="s">
        <v>872</v>
      </c>
      <c r="B1" s="1" t="s">
        <v>97</v>
      </c>
      <c r="C1" s="1"/>
      <c r="D1" s="1"/>
      <c r="E1" s="1"/>
      <c r="F1" s="1"/>
      <c r="G1" s="1"/>
      <c r="H1" s="1"/>
      <c r="I1" s="1"/>
      <c r="J1" s="1"/>
    </row>
    <row r="3" spans="1:10" ht="15.75" customHeight="1" x14ac:dyDescent="0.25">
      <c r="A3" s="6" t="s">
        <v>27</v>
      </c>
      <c r="B3" s="412" t="s">
        <v>690</v>
      </c>
      <c r="C3" s="413"/>
      <c r="D3" s="413"/>
      <c r="E3" s="413"/>
      <c r="F3" s="413"/>
      <c r="G3" s="413"/>
    </row>
    <row r="4" spans="1:10" ht="15.75" customHeight="1" x14ac:dyDescent="0.25">
      <c r="A4" s="6"/>
      <c r="B4" s="413"/>
      <c r="C4" s="413"/>
      <c r="D4" s="413"/>
      <c r="E4" s="413"/>
      <c r="F4" s="413"/>
      <c r="G4" s="413"/>
    </row>
    <row r="5" spans="1:10" ht="15.75" customHeight="1" x14ac:dyDescent="0.25">
      <c r="A5" s="6"/>
      <c r="B5" s="41"/>
    </row>
    <row r="6" spans="1:10" x14ac:dyDescent="0.25">
      <c r="B6" t="s">
        <v>98</v>
      </c>
    </row>
    <row r="7" spans="1:10" x14ac:dyDescent="0.25">
      <c r="B7" s="80">
        <v>10</v>
      </c>
      <c r="C7" s="80">
        <v>10</v>
      </c>
      <c r="D7" s="80">
        <v>10</v>
      </c>
      <c r="E7" s="80">
        <v>10</v>
      </c>
    </row>
    <row r="8" spans="1:10" x14ac:dyDescent="0.25">
      <c r="B8" s="80">
        <v>10</v>
      </c>
      <c r="C8" s="80">
        <v>10</v>
      </c>
      <c r="D8" s="80">
        <v>10</v>
      </c>
      <c r="E8" s="80">
        <v>10</v>
      </c>
    </row>
    <row r="9" spans="1:10" x14ac:dyDescent="0.25">
      <c r="B9" s="80">
        <v>10</v>
      </c>
      <c r="C9" s="80" t="s">
        <v>99</v>
      </c>
      <c r="D9" s="80" t="s">
        <v>99</v>
      </c>
      <c r="E9" s="80" t="s">
        <v>99</v>
      </c>
    </row>
    <row r="10" spans="1:10" x14ac:dyDescent="0.25">
      <c r="B10" s="80">
        <v>10</v>
      </c>
      <c r="C10" s="80" t="s">
        <v>35</v>
      </c>
      <c r="D10" s="80" t="s">
        <v>99</v>
      </c>
      <c r="E10" s="80" t="s">
        <v>99</v>
      </c>
    </row>
    <row r="11" spans="1:10" x14ac:dyDescent="0.25">
      <c r="B11" s="80">
        <v>10</v>
      </c>
      <c r="C11" s="80" t="s">
        <v>35</v>
      </c>
      <c r="D11" s="80" t="s">
        <v>99</v>
      </c>
      <c r="E11" s="80" t="s">
        <v>99</v>
      </c>
    </row>
    <row r="12" spans="1:10" x14ac:dyDescent="0.25">
      <c r="B12" s="80">
        <v>10</v>
      </c>
      <c r="C12" s="80" t="s">
        <v>35</v>
      </c>
      <c r="D12" s="80" t="s">
        <v>99</v>
      </c>
      <c r="E12" s="80" t="s">
        <v>99</v>
      </c>
    </row>
    <row r="13" spans="1:10" x14ac:dyDescent="0.25">
      <c r="B13" s="80">
        <v>10</v>
      </c>
      <c r="C13" s="80" t="s">
        <v>35</v>
      </c>
      <c r="D13" s="80" t="s">
        <v>100</v>
      </c>
      <c r="E13" s="80" t="s">
        <v>99</v>
      </c>
    </row>
    <row r="14" spans="1:10" x14ac:dyDescent="0.25">
      <c r="B14" s="80">
        <v>10</v>
      </c>
      <c r="C14" s="80" t="s">
        <v>35</v>
      </c>
      <c r="D14" s="80" t="s">
        <v>996</v>
      </c>
      <c r="E14" s="80" t="s">
        <v>99</v>
      </c>
    </row>
    <row r="15" spans="1:10" x14ac:dyDescent="0.25">
      <c r="B15" s="80">
        <v>10</v>
      </c>
      <c r="C15" s="80" t="s">
        <v>35</v>
      </c>
      <c r="D15" s="80" t="s">
        <v>997</v>
      </c>
      <c r="E15" s="80" t="s">
        <v>36</v>
      </c>
    </row>
    <row r="16" spans="1:10" x14ac:dyDescent="0.25">
      <c r="B16" s="80">
        <v>10</v>
      </c>
      <c r="C16" s="80" t="s">
        <v>35</v>
      </c>
      <c r="D16" s="80" t="s">
        <v>998</v>
      </c>
      <c r="E16" s="319">
        <v>43658</v>
      </c>
    </row>
    <row r="17" spans="1:5" x14ac:dyDescent="0.25">
      <c r="B17" s="80">
        <v>10</v>
      </c>
      <c r="C17" s="80" t="s">
        <v>35</v>
      </c>
      <c r="D17" s="80" t="s">
        <v>999</v>
      </c>
      <c r="E17" s="319">
        <v>43659</v>
      </c>
    </row>
    <row r="19" spans="1:5" x14ac:dyDescent="0.25">
      <c r="A19" s="6" t="s">
        <v>26</v>
      </c>
      <c r="B19" t="s">
        <v>101</v>
      </c>
    </row>
    <row r="21" spans="1:5" x14ac:dyDescent="0.25">
      <c r="B21">
        <v>10</v>
      </c>
      <c r="C21" s="42">
        <v>43466</v>
      </c>
      <c r="D21" s="42">
        <v>43466</v>
      </c>
      <c r="E21" s="42">
        <v>43466</v>
      </c>
    </row>
    <row r="22" spans="1:5" x14ac:dyDescent="0.25">
      <c r="B22">
        <v>8</v>
      </c>
      <c r="C22" s="42">
        <v>43475</v>
      </c>
      <c r="D22" s="42">
        <v>43497</v>
      </c>
      <c r="E22" s="42">
        <v>43831</v>
      </c>
    </row>
    <row r="29" spans="1:5" x14ac:dyDescent="0.25">
      <c r="A29" s="6" t="s">
        <v>25</v>
      </c>
      <c r="B29" t="s">
        <v>691</v>
      </c>
    </row>
    <row r="30" spans="1:5" x14ac:dyDescent="0.25">
      <c r="B30" s="42">
        <v>43647</v>
      </c>
      <c r="C30" s="42">
        <v>43831</v>
      </c>
    </row>
    <row r="31" spans="1:5" x14ac:dyDescent="0.25">
      <c r="B31" s="42">
        <v>43649</v>
      </c>
      <c r="C31" s="42">
        <v>43922</v>
      </c>
    </row>
    <row r="32" spans="1:5" x14ac:dyDescent="0.25">
      <c r="B32" s="42">
        <v>43651</v>
      </c>
      <c r="C32" s="42">
        <v>44013</v>
      </c>
    </row>
    <row r="33" spans="1:6" x14ac:dyDescent="0.25">
      <c r="B33" s="42">
        <v>43653</v>
      </c>
      <c r="C33" s="42">
        <v>44105</v>
      </c>
    </row>
    <row r="34" spans="1:6" x14ac:dyDescent="0.25">
      <c r="B34" s="42">
        <v>43655</v>
      </c>
      <c r="C34" s="42">
        <v>44197</v>
      </c>
    </row>
    <row r="35" spans="1:6" x14ac:dyDescent="0.25">
      <c r="B35" s="42">
        <v>43657</v>
      </c>
      <c r="C35" s="42">
        <v>44287</v>
      </c>
    </row>
    <row r="36" spans="1:6" x14ac:dyDescent="0.25">
      <c r="B36" s="42">
        <v>43659</v>
      </c>
      <c r="C36" s="42">
        <v>44378</v>
      </c>
    </row>
    <row r="37" spans="1:6" x14ac:dyDescent="0.25">
      <c r="B37" s="42">
        <v>43661</v>
      </c>
      <c r="C37" s="42">
        <v>44470</v>
      </c>
    </row>
    <row r="38" spans="1:6" x14ac:dyDescent="0.25">
      <c r="B38" s="42">
        <v>43663</v>
      </c>
      <c r="C38" s="42">
        <v>44562</v>
      </c>
    </row>
    <row r="39" spans="1:6" x14ac:dyDescent="0.25">
      <c r="B39" s="42">
        <v>43665</v>
      </c>
      <c r="C39" s="42">
        <v>44652</v>
      </c>
    </row>
    <row r="40" spans="1:6" x14ac:dyDescent="0.25">
      <c r="B40" s="42">
        <v>43667</v>
      </c>
    </row>
    <row r="41" spans="1:6" x14ac:dyDescent="0.25">
      <c r="B41" s="42">
        <v>43669</v>
      </c>
    </row>
    <row r="42" spans="1:6" x14ac:dyDescent="0.25">
      <c r="B42" s="42">
        <v>43671</v>
      </c>
    </row>
    <row r="43" spans="1:6" x14ac:dyDescent="0.25">
      <c r="A43" s="6" t="s">
        <v>24</v>
      </c>
      <c r="B43" t="s">
        <v>102</v>
      </c>
      <c r="F43" s="119" t="s">
        <v>1012</v>
      </c>
    </row>
    <row r="44" spans="1:6" x14ac:dyDescent="0.25">
      <c r="B44" s="42" t="s">
        <v>103</v>
      </c>
      <c r="C44" s="42" t="s">
        <v>1000</v>
      </c>
      <c r="D44" s="42" t="s">
        <v>1004</v>
      </c>
      <c r="E44" s="42" t="s">
        <v>1008</v>
      </c>
      <c r="F44" s="42" t="s">
        <v>1013</v>
      </c>
    </row>
    <row r="45" spans="1:6" x14ac:dyDescent="0.25">
      <c r="B45" s="42" t="s">
        <v>104</v>
      </c>
      <c r="C45" s="42" t="s">
        <v>1001</v>
      </c>
      <c r="D45" s="42" t="s">
        <v>1005</v>
      </c>
      <c r="E45" s="42" t="s">
        <v>1009</v>
      </c>
    </row>
    <row r="46" spans="1:6" x14ac:dyDescent="0.25">
      <c r="B46" t="s">
        <v>105</v>
      </c>
      <c r="C46" t="s">
        <v>1002</v>
      </c>
      <c r="D46" t="s">
        <v>1006</v>
      </c>
      <c r="E46" t="s">
        <v>1010</v>
      </c>
    </row>
    <row r="47" spans="1:6" x14ac:dyDescent="0.25">
      <c r="B47" s="42" t="s">
        <v>106</v>
      </c>
      <c r="C47" s="42" t="s">
        <v>1003</v>
      </c>
      <c r="D47" s="42" t="s">
        <v>1007</v>
      </c>
      <c r="E47" s="42" t="s">
        <v>1011</v>
      </c>
    </row>
    <row r="48" spans="1:6" x14ac:dyDescent="0.25">
      <c r="B48" s="42" t="s">
        <v>107</v>
      </c>
      <c r="C48" s="42" t="s">
        <v>107</v>
      </c>
      <c r="D48" s="42" t="s">
        <v>107</v>
      </c>
      <c r="E48" s="42" t="s">
        <v>107</v>
      </c>
    </row>
    <row r="49" spans="1:6" x14ac:dyDescent="0.25">
      <c r="B49" s="42" t="s">
        <v>108</v>
      </c>
      <c r="C49" s="42" t="s">
        <v>108</v>
      </c>
      <c r="D49" s="42" t="s">
        <v>108</v>
      </c>
      <c r="E49" s="42" t="s">
        <v>108</v>
      </c>
    </row>
    <row r="50" spans="1:6" x14ac:dyDescent="0.25">
      <c r="B50" s="42" t="s">
        <v>109</v>
      </c>
      <c r="C50" s="42" t="s">
        <v>109</v>
      </c>
      <c r="D50" s="42" t="s">
        <v>109</v>
      </c>
      <c r="E50" s="42" t="s">
        <v>109</v>
      </c>
    </row>
    <row r="51" spans="1:6" x14ac:dyDescent="0.25">
      <c r="B51" s="42"/>
    </row>
    <row r="52" spans="1:6" x14ac:dyDescent="0.25">
      <c r="A52" s="6" t="s">
        <v>22</v>
      </c>
      <c r="B52" t="s">
        <v>110</v>
      </c>
    </row>
    <row r="54" spans="1:6" x14ac:dyDescent="0.25">
      <c r="C54" s="48" t="s">
        <v>111</v>
      </c>
      <c r="D54" s="48" t="s">
        <v>35</v>
      </c>
      <c r="E54" s="48" t="s">
        <v>112</v>
      </c>
    </row>
    <row r="55" spans="1:6" outlineLevel="2" x14ac:dyDescent="0.25">
      <c r="C55" t="s">
        <v>113</v>
      </c>
      <c r="D55" t="s">
        <v>114</v>
      </c>
      <c r="E55" s="49">
        <v>7.2</v>
      </c>
      <c r="F55" s="119" t="s">
        <v>1018</v>
      </c>
    </row>
    <row r="56" spans="1:6" outlineLevel="2" x14ac:dyDescent="0.25">
      <c r="C56" t="s">
        <v>113</v>
      </c>
      <c r="D56" t="s">
        <v>114</v>
      </c>
      <c r="E56" s="49">
        <v>2.5</v>
      </c>
      <c r="F56" s="119" t="s">
        <v>1019</v>
      </c>
    </row>
    <row r="57" spans="1:6" outlineLevel="1" x14ac:dyDescent="0.25">
      <c r="C57" s="318" t="s">
        <v>1014</v>
      </c>
      <c r="E57" s="49">
        <f>SUBTOTAL(9,E55:E56)</f>
        <v>9.6999999999999993</v>
      </c>
    </row>
    <row r="58" spans="1:6" outlineLevel="2" x14ac:dyDescent="0.25">
      <c r="C58" t="s">
        <v>117</v>
      </c>
      <c r="D58" t="s">
        <v>114</v>
      </c>
      <c r="E58" s="49">
        <v>1.6</v>
      </c>
    </row>
    <row r="59" spans="1:6" outlineLevel="2" x14ac:dyDescent="0.25">
      <c r="C59" t="s">
        <v>117</v>
      </c>
      <c r="D59" t="s">
        <v>114</v>
      </c>
      <c r="E59" s="49">
        <v>5.2</v>
      </c>
    </row>
    <row r="60" spans="1:6" outlineLevel="1" x14ac:dyDescent="0.25">
      <c r="C60" s="318" t="s">
        <v>1015</v>
      </c>
      <c r="E60" s="49">
        <f>SUBTOTAL(9,E58:E59)</f>
        <v>6.8000000000000007</v>
      </c>
    </row>
    <row r="61" spans="1:6" outlineLevel="2" x14ac:dyDescent="0.25">
      <c r="C61" t="s">
        <v>113</v>
      </c>
      <c r="D61" t="s">
        <v>118</v>
      </c>
      <c r="E61" s="49">
        <v>6.2</v>
      </c>
    </row>
    <row r="62" spans="1:6" outlineLevel="1" x14ac:dyDescent="0.25">
      <c r="C62" s="318" t="s">
        <v>1014</v>
      </c>
      <c r="E62" s="49">
        <f>SUBTOTAL(9,E61:E61)</f>
        <v>6.2</v>
      </c>
    </row>
    <row r="63" spans="1:6" outlineLevel="2" x14ac:dyDescent="0.25">
      <c r="C63" t="s">
        <v>117</v>
      </c>
      <c r="D63" t="s">
        <v>118</v>
      </c>
      <c r="E63" s="49">
        <v>0.5</v>
      </c>
    </row>
    <row r="64" spans="1:6" outlineLevel="1" x14ac:dyDescent="0.25">
      <c r="C64" s="318" t="s">
        <v>1015</v>
      </c>
      <c r="E64" s="49">
        <f>SUBTOTAL(9,E63:E63)</f>
        <v>0.5</v>
      </c>
    </row>
    <row r="65" spans="1:5" outlineLevel="2" x14ac:dyDescent="0.25">
      <c r="C65" t="s">
        <v>115</v>
      </c>
      <c r="D65" t="s">
        <v>118</v>
      </c>
      <c r="E65" s="49">
        <v>1.5</v>
      </c>
    </row>
    <row r="66" spans="1:5" outlineLevel="1" x14ac:dyDescent="0.25">
      <c r="C66" s="318" t="s">
        <v>1016</v>
      </c>
      <c r="E66" s="49">
        <f>SUBTOTAL(9,E65:E65)</f>
        <v>1.5</v>
      </c>
    </row>
    <row r="67" spans="1:5" outlineLevel="2" x14ac:dyDescent="0.25">
      <c r="C67" t="s">
        <v>113</v>
      </c>
      <c r="D67" t="s">
        <v>116</v>
      </c>
      <c r="E67" s="49">
        <v>2.4</v>
      </c>
    </row>
    <row r="68" spans="1:5" outlineLevel="1" x14ac:dyDescent="0.25">
      <c r="C68" s="318" t="s">
        <v>1014</v>
      </c>
      <c r="E68" s="49">
        <f>SUBTOTAL(9,E67:E67)</f>
        <v>2.4</v>
      </c>
    </row>
    <row r="69" spans="1:5" outlineLevel="2" x14ac:dyDescent="0.25">
      <c r="C69" t="s">
        <v>117</v>
      </c>
      <c r="D69" t="s">
        <v>116</v>
      </c>
      <c r="E69" s="49">
        <v>5</v>
      </c>
    </row>
    <row r="70" spans="1:5" outlineLevel="1" x14ac:dyDescent="0.25">
      <c r="C70" s="318" t="s">
        <v>1015</v>
      </c>
      <c r="E70" s="49">
        <f>SUBTOTAL(9,E69:E69)</f>
        <v>5</v>
      </c>
    </row>
    <row r="71" spans="1:5" outlineLevel="2" x14ac:dyDescent="0.25">
      <c r="C71" t="s">
        <v>115</v>
      </c>
      <c r="D71" t="s">
        <v>116</v>
      </c>
      <c r="E71" s="49">
        <v>1.7</v>
      </c>
    </row>
    <row r="72" spans="1:5" outlineLevel="2" x14ac:dyDescent="0.25">
      <c r="C72" t="s">
        <v>115</v>
      </c>
      <c r="D72" t="s">
        <v>116</v>
      </c>
      <c r="E72" s="49">
        <v>2.8</v>
      </c>
    </row>
    <row r="73" spans="1:5" outlineLevel="1" x14ac:dyDescent="0.25">
      <c r="C73" s="318" t="s">
        <v>1016</v>
      </c>
      <c r="E73" s="49">
        <f>SUBTOTAL(9,E71:E72)</f>
        <v>4.5</v>
      </c>
    </row>
    <row r="74" spans="1:5" outlineLevel="2" x14ac:dyDescent="0.25">
      <c r="C74" t="s">
        <v>117</v>
      </c>
      <c r="D74" t="s">
        <v>118</v>
      </c>
    </row>
    <row r="75" spans="1:5" outlineLevel="1" x14ac:dyDescent="0.25">
      <c r="C75" s="318" t="s">
        <v>1015</v>
      </c>
      <c r="E75">
        <f>SUBTOTAL(9,E74:E74)</f>
        <v>0</v>
      </c>
    </row>
    <row r="76" spans="1:5" x14ac:dyDescent="0.25">
      <c r="C76" s="318" t="s">
        <v>1017</v>
      </c>
      <c r="E76">
        <f>SUBTOTAL(9,E55:E74)</f>
        <v>36.599999999999994</v>
      </c>
    </row>
    <row r="80" spans="1:5" x14ac:dyDescent="0.25">
      <c r="A80" s="6" t="s">
        <v>21</v>
      </c>
      <c r="B80" t="s">
        <v>692</v>
      </c>
    </row>
    <row r="82" spans="1:21" x14ac:dyDescent="0.25">
      <c r="A82" s="6" t="s">
        <v>20</v>
      </c>
      <c r="B82" t="s">
        <v>693</v>
      </c>
    </row>
    <row r="84" spans="1:21" x14ac:dyDescent="0.25">
      <c r="A84" s="6" t="s">
        <v>2</v>
      </c>
      <c r="B84" s="380" t="s">
        <v>959</v>
      </c>
      <c r="C84" s="380"/>
      <c r="D84" s="380"/>
      <c r="E84" s="380"/>
      <c r="F84" s="380"/>
      <c r="G84" s="380"/>
      <c r="H84" s="380"/>
      <c r="I84" s="380"/>
      <c r="J84" s="380"/>
    </row>
    <row r="85" spans="1:21" x14ac:dyDescent="0.25">
      <c r="A85" s="6"/>
      <c r="B85" s="380"/>
      <c r="C85" s="380"/>
      <c r="D85" s="380"/>
      <c r="E85" s="380"/>
      <c r="F85" s="380"/>
      <c r="G85" s="380"/>
      <c r="H85" s="380"/>
      <c r="I85" s="380"/>
      <c r="J85" s="380"/>
    </row>
    <row r="87" spans="1:21" x14ac:dyDescent="0.25">
      <c r="C87" s="48" t="s">
        <v>111</v>
      </c>
      <c r="D87" s="48" t="s">
        <v>35</v>
      </c>
      <c r="E87" s="48" t="s">
        <v>112</v>
      </c>
      <c r="G87" s="321" t="s">
        <v>1020</v>
      </c>
      <c r="S87" s="48" t="s">
        <v>111</v>
      </c>
      <c r="T87" s="48" t="s">
        <v>35</v>
      </c>
      <c r="U87" s="48" t="s">
        <v>112</v>
      </c>
    </row>
    <row r="88" spans="1:21" x14ac:dyDescent="0.25">
      <c r="C88" t="s">
        <v>113</v>
      </c>
      <c r="D88" t="s">
        <v>114</v>
      </c>
      <c r="E88" s="49">
        <v>5.6</v>
      </c>
      <c r="S88" t="s">
        <v>113</v>
      </c>
      <c r="T88" t="s">
        <v>114</v>
      </c>
      <c r="U88" s="49">
        <v>5.6</v>
      </c>
    </row>
    <row r="89" spans="1:21" x14ac:dyDescent="0.25">
      <c r="C89" t="s">
        <v>113</v>
      </c>
      <c r="D89" t="s">
        <v>114</v>
      </c>
      <c r="E89" s="49">
        <v>7.6</v>
      </c>
      <c r="S89" t="s">
        <v>115</v>
      </c>
      <c r="T89" t="s">
        <v>118</v>
      </c>
      <c r="U89" s="49">
        <v>9.5</v>
      </c>
    </row>
    <row r="90" spans="1:21" x14ac:dyDescent="0.25">
      <c r="C90" t="s">
        <v>113</v>
      </c>
      <c r="D90" t="s">
        <v>114</v>
      </c>
      <c r="E90" s="49">
        <v>15</v>
      </c>
      <c r="S90" t="s">
        <v>115</v>
      </c>
      <c r="T90" t="s">
        <v>114</v>
      </c>
      <c r="U90" s="49">
        <v>14.7</v>
      </c>
    </row>
    <row r="91" spans="1:21" x14ac:dyDescent="0.25">
      <c r="C91" t="s">
        <v>113</v>
      </c>
      <c r="D91" t="s">
        <v>118</v>
      </c>
      <c r="E91" s="49">
        <v>8.5</v>
      </c>
      <c r="S91" t="s">
        <v>115</v>
      </c>
      <c r="T91" t="s">
        <v>114</v>
      </c>
      <c r="U91" s="49">
        <v>6.6</v>
      </c>
    </row>
    <row r="92" spans="1:21" x14ac:dyDescent="0.25">
      <c r="C92" t="s">
        <v>113</v>
      </c>
      <c r="D92" t="s">
        <v>118</v>
      </c>
      <c r="E92" s="49">
        <v>8.6</v>
      </c>
      <c r="S92" t="s">
        <v>117</v>
      </c>
      <c r="T92" t="s">
        <v>118</v>
      </c>
      <c r="U92" s="49">
        <v>16.5</v>
      </c>
    </row>
    <row r="93" spans="1:21" x14ac:dyDescent="0.25">
      <c r="C93" t="s">
        <v>113</v>
      </c>
      <c r="D93" t="s">
        <v>118</v>
      </c>
      <c r="E93" s="49">
        <v>9.3000000000000007</v>
      </c>
      <c r="S93" t="s">
        <v>113</v>
      </c>
      <c r="T93" t="s">
        <v>114</v>
      </c>
      <c r="U93" s="49">
        <v>15</v>
      </c>
    </row>
    <row r="94" spans="1:21" x14ac:dyDescent="0.25">
      <c r="C94" t="s">
        <v>113</v>
      </c>
      <c r="D94" t="s">
        <v>116</v>
      </c>
      <c r="E94" s="49">
        <v>6.1</v>
      </c>
      <c r="S94" t="s">
        <v>117</v>
      </c>
      <c r="T94" t="s">
        <v>118</v>
      </c>
      <c r="U94" s="49">
        <v>6.9</v>
      </c>
    </row>
    <row r="95" spans="1:21" x14ac:dyDescent="0.25">
      <c r="C95" t="s">
        <v>113</v>
      </c>
      <c r="D95" t="s">
        <v>116</v>
      </c>
      <c r="E95" s="49">
        <v>17.8</v>
      </c>
      <c r="S95" t="s">
        <v>115</v>
      </c>
      <c r="T95" t="s">
        <v>116</v>
      </c>
      <c r="U95" s="49">
        <v>16.7</v>
      </c>
    </row>
    <row r="96" spans="1:21" x14ac:dyDescent="0.25">
      <c r="C96" t="s">
        <v>113</v>
      </c>
      <c r="D96" t="s">
        <v>116</v>
      </c>
      <c r="E96" s="49">
        <v>19</v>
      </c>
      <c r="S96" t="s">
        <v>113</v>
      </c>
      <c r="T96" t="s">
        <v>116</v>
      </c>
      <c r="U96" s="49">
        <v>6.1</v>
      </c>
    </row>
    <row r="97" spans="3:21" x14ac:dyDescent="0.25">
      <c r="C97" t="s">
        <v>117</v>
      </c>
      <c r="D97" t="s">
        <v>114</v>
      </c>
      <c r="E97" s="49">
        <v>7.6</v>
      </c>
      <c r="S97" t="s">
        <v>115</v>
      </c>
      <c r="T97" t="s">
        <v>118</v>
      </c>
      <c r="U97" s="49">
        <v>5.5</v>
      </c>
    </row>
    <row r="98" spans="3:21" x14ac:dyDescent="0.25">
      <c r="C98" t="s">
        <v>117</v>
      </c>
      <c r="D98" t="s">
        <v>114</v>
      </c>
      <c r="E98" s="49">
        <v>11.3</v>
      </c>
      <c r="S98" t="s">
        <v>117</v>
      </c>
      <c r="T98" t="s">
        <v>116</v>
      </c>
      <c r="U98" s="49">
        <v>12.8</v>
      </c>
    </row>
    <row r="99" spans="3:21" x14ac:dyDescent="0.25">
      <c r="C99" t="s">
        <v>117</v>
      </c>
      <c r="D99" t="s">
        <v>114</v>
      </c>
      <c r="E99" s="49">
        <v>13.6</v>
      </c>
      <c r="S99" t="s">
        <v>113</v>
      </c>
      <c r="T99" t="s">
        <v>116</v>
      </c>
      <c r="U99" s="49">
        <v>17.8</v>
      </c>
    </row>
    <row r="100" spans="3:21" x14ac:dyDescent="0.25">
      <c r="C100" t="s">
        <v>117</v>
      </c>
      <c r="D100" t="s">
        <v>118</v>
      </c>
      <c r="E100" s="49">
        <v>6.9</v>
      </c>
      <c r="S100" t="s">
        <v>115</v>
      </c>
      <c r="T100" t="s">
        <v>114</v>
      </c>
      <c r="U100" s="49">
        <v>19</v>
      </c>
    </row>
    <row r="101" spans="3:21" x14ac:dyDescent="0.25">
      <c r="C101" t="s">
        <v>117</v>
      </c>
      <c r="D101" t="s">
        <v>118</v>
      </c>
      <c r="E101" s="49">
        <v>14.9</v>
      </c>
      <c r="S101" t="s">
        <v>115</v>
      </c>
      <c r="T101" t="s">
        <v>116</v>
      </c>
      <c r="U101" s="49">
        <v>15.2</v>
      </c>
    </row>
    <row r="102" spans="3:21" x14ac:dyDescent="0.25">
      <c r="C102" t="s">
        <v>117</v>
      </c>
      <c r="D102" t="s">
        <v>118</v>
      </c>
      <c r="E102" s="49">
        <v>16.5</v>
      </c>
      <c r="S102" t="s">
        <v>117</v>
      </c>
      <c r="T102" t="s">
        <v>116</v>
      </c>
      <c r="U102" s="49">
        <v>9.9</v>
      </c>
    </row>
    <row r="103" spans="3:21" x14ac:dyDescent="0.25">
      <c r="C103" t="s">
        <v>117</v>
      </c>
      <c r="D103" t="s">
        <v>116</v>
      </c>
      <c r="E103" s="49">
        <v>9.9</v>
      </c>
      <c r="S103" t="s">
        <v>117</v>
      </c>
      <c r="T103" t="s">
        <v>114</v>
      </c>
      <c r="U103" s="49">
        <v>11.3</v>
      </c>
    </row>
    <row r="104" spans="3:21" x14ac:dyDescent="0.25">
      <c r="C104" t="s">
        <v>117</v>
      </c>
      <c r="D104" t="s">
        <v>116</v>
      </c>
      <c r="E104" s="49">
        <v>12</v>
      </c>
      <c r="S104" t="s">
        <v>113</v>
      </c>
      <c r="T104" t="s">
        <v>118</v>
      </c>
      <c r="U104" s="49">
        <v>9.3000000000000007</v>
      </c>
    </row>
    <row r="105" spans="3:21" x14ac:dyDescent="0.25">
      <c r="C105" t="s">
        <v>117</v>
      </c>
      <c r="D105" t="s">
        <v>116</v>
      </c>
      <c r="E105" s="49">
        <v>12.8</v>
      </c>
      <c r="S105" t="s">
        <v>113</v>
      </c>
      <c r="T105" t="s">
        <v>116</v>
      </c>
      <c r="U105" s="49">
        <v>19</v>
      </c>
    </row>
    <row r="106" spans="3:21" x14ac:dyDescent="0.25">
      <c r="C106" t="s">
        <v>115</v>
      </c>
      <c r="D106" t="s">
        <v>114</v>
      </c>
      <c r="E106" s="49">
        <v>6.6</v>
      </c>
      <c r="S106" t="s">
        <v>113</v>
      </c>
      <c r="T106" t="s">
        <v>118</v>
      </c>
      <c r="U106" s="49">
        <v>8.5</v>
      </c>
    </row>
    <row r="107" spans="3:21" x14ac:dyDescent="0.25">
      <c r="C107" t="s">
        <v>115</v>
      </c>
      <c r="D107" t="s">
        <v>114</v>
      </c>
      <c r="E107" s="49">
        <v>14.7</v>
      </c>
      <c r="S107" t="s">
        <v>113</v>
      </c>
      <c r="T107" t="s">
        <v>114</v>
      </c>
      <c r="U107" s="49">
        <v>7.6</v>
      </c>
    </row>
    <row r="108" spans="3:21" x14ac:dyDescent="0.25">
      <c r="C108" t="s">
        <v>115</v>
      </c>
      <c r="D108" t="s">
        <v>114</v>
      </c>
      <c r="E108" s="49">
        <v>19</v>
      </c>
      <c r="S108" t="s">
        <v>113</v>
      </c>
      <c r="T108" t="s">
        <v>118</v>
      </c>
      <c r="U108" s="49">
        <v>8.6</v>
      </c>
    </row>
    <row r="109" spans="3:21" x14ac:dyDescent="0.25">
      <c r="C109" t="s">
        <v>115</v>
      </c>
      <c r="D109" t="s">
        <v>118</v>
      </c>
      <c r="E109" s="49">
        <v>5.5</v>
      </c>
      <c r="S109" t="s">
        <v>117</v>
      </c>
      <c r="T109" t="s">
        <v>118</v>
      </c>
      <c r="U109" s="49">
        <v>14.9</v>
      </c>
    </row>
    <row r="110" spans="3:21" x14ac:dyDescent="0.25">
      <c r="C110" t="s">
        <v>115</v>
      </c>
      <c r="D110" t="s">
        <v>118</v>
      </c>
      <c r="E110" s="49">
        <v>9.5</v>
      </c>
      <c r="S110" t="s">
        <v>117</v>
      </c>
      <c r="T110" t="s">
        <v>116</v>
      </c>
      <c r="U110" s="49">
        <v>12</v>
      </c>
    </row>
    <row r="111" spans="3:21" x14ac:dyDescent="0.25">
      <c r="C111" t="s">
        <v>115</v>
      </c>
      <c r="D111" t="s">
        <v>118</v>
      </c>
      <c r="E111" s="49">
        <v>18</v>
      </c>
      <c r="S111" t="s">
        <v>117</v>
      </c>
      <c r="T111" t="s">
        <v>114</v>
      </c>
      <c r="U111" s="49">
        <v>7.6</v>
      </c>
    </row>
    <row r="112" spans="3:21" x14ac:dyDescent="0.25">
      <c r="C112" t="s">
        <v>115</v>
      </c>
      <c r="D112" t="s">
        <v>116</v>
      </c>
      <c r="E112" s="49">
        <v>8.3000000000000007</v>
      </c>
      <c r="S112" t="s">
        <v>117</v>
      </c>
      <c r="T112" t="s">
        <v>114</v>
      </c>
      <c r="U112" s="49">
        <v>13.6</v>
      </c>
    </row>
    <row r="113" spans="3:21" x14ac:dyDescent="0.25">
      <c r="C113" t="s">
        <v>115</v>
      </c>
      <c r="D113" t="s">
        <v>116</v>
      </c>
      <c r="E113" s="49">
        <v>15.2</v>
      </c>
      <c r="S113" t="s">
        <v>115</v>
      </c>
      <c r="T113" t="s">
        <v>116</v>
      </c>
      <c r="U113" s="49">
        <v>8.3000000000000007</v>
      </c>
    </row>
    <row r="114" spans="3:21" x14ac:dyDescent="0.25">
      <c r="C114" t="s">
        <v>115</v>
      </c>
      <c r="D114" t="s">
        <v>116</v>
      </c>
      <c r="E114" s="49">
        <v>16.7</v>
      </c>
      <c r="S114" t="s">
        <v>115</v>
      </c>
      <c r="T114" t="s">
        <v>118</v>
      </c>
      <c r="U114" s="49">
        <v>18</v>
      </c>
    </row>
  </sheetData>
  <autoFilter ref="C54:E74" xr:uid="{00000000-0001-0000-0200-000000000000}"/>
  <sortState xmlns:xlrd2="http://schemas.microsoft.com/office/spreadsheetml/2017/richdata2" ref="C88:F114">
    <sortCondition ref="C88:C114"/>
    <sortCondition ref="D88:D114"/>
    <sortCondition ref="E88:E114"/>
  </sortState>
  <mergeCells count="2">
    <mergeCell ref="B3:G4"/>
    <mergeCell ref="B84:J85"/>
  </mergeCells>
  <phoneticPr fontId="22" type="noConversion"/>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V702"/>
  <sheetViews>
    <sheetView topLeftCell="B9" zoomScaleNormal="100" workbookViewId="0">
      <selection activeCell="K23" sqref="K23"/>
    </sheetView>
  </sheetViews>
  <sheetFormatPr defaultRowHeight="15" outlineLevelRow="1" x14ac:dyDescent="0.25"/>
  <cols>
    <col min="1" max="1" width="3" customWidth="1"/>
    <col min="2" max="2" width="13.42578125" customWidth="1"/>
    <col min="3" max="3" width="13.140625" customWidth="1"/>
    <col min="4" max="4" width="30.5703125" customWidth="1"/>
    <col min="5" max="5" width="16.42578125" customWidth="1"/>
    <col min="6" max="6" width="10.42578125" customWidth="1"/>
    <col min="7" max="7" width="10" customWidth="1"/>
    <col min="8" max="8" width="10.42578125" customWidth="1"/>
    <col min="9" max="10" width="11" bestFit="1" customWidth="1"/>
    <col min="11" max="11" width="17" customWidth="1"/>
    <col min="12" max="12" width="10.42578125" bestFit="1" customWidth="1"/>
  </cols>
  <sheetData>
    <row r="1" spans="2:13" ht="23.25" x14ac:dyDescent="0.35">
      <c r="B1" s="257" t="s">
        <v>873</v>
      </c>
      <c r="C1" s="1" t="s">
        <v>97</v>
      </c>
      <c r="D1" s="1"/>
      <c r="E1" s="1"/>
      <c r="F1" s="1"/>
      <c r="G1" s="1"/>
      <c r="H1" s="1"/>
      <c r="I1" s="1"/>
      <c r="J1" s="1"/>
      <c r="K1" s="1"/>
      <c r="L1" s="1"/>
    </row>
    <row r="3" spans="2:13" ht="15.75" customHeight="1" x14ac:dyDescent="0.25">
      <c r="B3" s="6" t="s">
        <v>119</v>
      </c>
      <c r="C3" s="50" t="s">
        <v>694</v>
      </c>
      <c r="D3" s="51"/>
      <c r="E3" s="51"/>
      <c r="F3" s="51"/>
      <c r="G3" s="51"/>
      <c r="H3" s="51"/>
      <c r="I3" s="51"/>
      <c r="J3" s="51"/>
      <c r="K3" s="51"/>
      <c r="L3" s="51"/>
    </row>
    <row r="4" spans="2:13" ht="15.75" customHeight="1" x14ac:dyDescent="0.25">
      <c r="B4" s="6" t="s">
        <v>120</v>
      </c>
      <c r="C4" s="50" t="s">
        <v>695</v>
      </c>
      <c r="D4" s="51"/>
      <c r="E4" s="51"/>
      <c r="F4" s="51"/>
      <c r="G4" s="51"/>
      <c r="H4" s="51"/>
      <c r="I4" s="51"/>
      <c r="J4" s="51"/>
      <c r="K4" s="51"/>
      <c r="L4" s="51"/>
    </row>
    <row r="5" spans="2:13" ht="15.75" customHeight="1" x14ac:dyDescent="0.25">
      <c r="B5" s="6" t="s">
        <v>121</v>
      </c>
      <c r="C5" s="50" t="s">
        <v>745</v>
      </c>
      <c r="D5" s="51"/>
      <c r="E5" s="51"/>
      <c r="F5" s="51"/>
      <c r="G5" s="51"/>
      <c r="H5" s="51"/>
      <c r="I5" s="51"/>
      <c r="J5" s="51"/>
      <c r="K5" s="51"/>
      <c r="L5" s="51"/>
    </row>
    <row r="6" spans="2:13" x14ac:dyDescent="0.25">
      <c r="B6" s="6" t="s">
        <v>122</v>
      </c>
      <c r="C6" s="50" t="s">
        <v>696</v>
      </c>
    </row>
    <row r="7" spans="2:13" x14ac:dyDescent="0.25">
      <c r="F7" t="s">
        <v>16</v>
      </c>
      <c r="H7" t="s">
        <v>16</v>
      </c>
    </row>
    <row r="8" spans="2:13" x14ac:dyDescent="0.25">
      <c r="E8" t="s">
        <v>123</v>
      </c>
      <c r="F8" s="52">
        <f>SUM(H289:H312)</f>
        <v>551.87000000000012</v>
      </c>
      <c r="H8" s="52">
        <f>SUBTOTAL(9,H289:H312)</f>
        <v>551.87000000000012</v>
      </c>
      <c r="J8" t="s">
        <v>124</v>
      </c>
      <c r="M8" t="s">
        <v>1201</v>
      </c>
    </row>
    <row r="9" spans="2:13" x14ac:dyDescent="0.25">
      <c r="E9" t="s">
        <v>125</v>
      </c>
      <c r="F9" s="52">
        <f>AVERAGE(H289:H312)</f>
        <v>22.994583333333338</v>
      </c>
      <c r="H9" s="52">
        <f>SUBTOTAL(1,H289:H312)</f>
        <v>22.994583333333338</v>
      </c>
      <c r="J9" t="s">
        <v>126</v>
      </c>
    </row>
    <row r="10" spans="2:13" x14ac:dyDescent="0.25">
      <c r="E10" t="s">
        <v>127</v>
      </c>
      <c r="F10" s="52">
        <f>MIN(H289:H312)</f>
        <v>9.81</v>
      </c>
      <c r="H10" s="52">
        <f>SUBTOTAL(5,H289:H312)</f>
        <v>9.81</v>
      </c>
      <c r="J10" t="s">
        <v>128</v>
      </c>
    </row>
    <row r="11" spans="2:13" x14ac:dyDescent="0.25">
      <c r="E11" t="s">
        <v>129</v>
      </c>
      <c r="F11" s="52">
        <f>MAX(H289:H312)</f>
        <v>53</v>
      </c>
      <c r="H11" s="52">
        <f>SUBTOTAL(4,H289:H312)</f>
        <v>53</v>
      </c>
      <c r="J11" t="s">
        <v>130</v>
      </c>
    </row>
    <row r="12" spans="2:13" x14ac:dyDescent="0.25">
      <c r="E12" t="s">
        <v>131</v>
      </c>
      <c r="F12" s="52">
        <f>COUNT(H289:H312)</f>
        <v>24</v>
      </c>
      <c r="H12" s="52">
        <f>SUBTOTAL(2,H289:H312)</f>
        <v>24</v>
      </c>
      <c r="J12" t="s">
        <v>132</v>
      </c>
    </row>
    <row r="13" spans="2:13" x14ac:dyDescent="0.25">
      <c r="B13" s="6" t="s">
        <v>133</v>
      </c>
      <c r="C13" t="s">
        <v>134</v>
      </c>
    </row>
    <row r="14" spans="2:13" outlineLevel="1" x14ac:dyDescent="0.25"/>
    <row r="15" spans="2:13" outlineLevel="1" x14ac:dyDescent="0.25">
      <c r="C15" s="50" t="s">
        <v>135</v>
      </c>
      <c r="G15" t="s">
        <v>1203</v>
      </c>
      <c r="I15" t="s">
        <v>1204</v>
      </c>
    </row>
    <row r="16" spans="2:13" outlineLevel="1" x14ac:dyDescent="0.25">
      <c r="B16" s="6"/>
      <c r="C16" s="50" t="s">
        <v>136</v>
      </c>
    </row>
    <row r="17" spans="2:22" outlineLevel="1" x14ac:dyDescent="0.25">
      <c r="B17" s="6"/>
      <c r="C17" s="50" t="s">
        <v>137</v>
      </c>
    </row>
    <row r="18" spans="2:22" outlineLevel="1" x14ac:dyDescent="0.25">
      <c r="B18" s="6"/>
      <c r="C18" s="50"/>
    </row>
    <row r="19" spans="2:22" outlineLevel="1" x14ac:dyDescent="0.25">
      <c r="B19" s="6"/>
      <c r="C19" s="50"/>
    </row>
    <row r="20" spans="2:22" outlineLevel="1" x14ac:dyDescent="0.25">
      <c r="C20" s="53" t="s">
        <v>36</v>
      </c>
      <c r="D20" s="332" t="s">
        <v>138</v>
      </c>
      <c r="E20" s="332" t="s">
        <v>139</v>
      </c>
      <c r="F20" s="332" t="s">
        <v>140</v>
      </c>
      <c r="G20" s="53" t="s">
        <v>141</v>
      </c>
      <c r="H20" s="53" t="s">
        <v>16</v>
      </c>
      <c r="I20" s="53" t="s">
        <v>142</v>
      </c>
      <c r="J20" s="53" t="s">
        <v>143</v>
      </c>
      <c r="K20" s="53" t="s">
        <v>144</v>
      </c>
      <c r="L20" s="53" t="s">
        <v>145</v>
      </c>
    </row>
    <row r="21" spans="2:22" outlineLevel="1" x14ac:dyDescent="0.25">
      <c r="D21" s="333" t="s">
        <v>149</v>
      </c>
      <c r="E21" s="334"/>
      <c r="F21" s="334" t="s">
        <v>1202</v>
      </c>
      <c r="L21" t="b">
        <f>+IF(ISBLANK(J29),FALSE(),J29&gt;I29)</f>
        <v>0</v>
      </c>
    </row>
    <row r="22" spans="2:22" outlineLevel="1" x14ac:dyDescent="0.25"/>
    <row r="23" spans="2:22" outlineLevel="1" x14ac:dyDescent="0.25"/>
    <row r="24" spans="2:22" outlineLevel="1" x14ac:dyDescent="0.25"/>
    <row r="25" spans="2:22" outlineLevel="1" x14ac:dyDescent="0.25"/>
    <row r="26" spans="2:22" outlineLevel="1" x14ac:dyDescent="0.25"/>
    <row r="27" spans="2:22" x14ac:dyDescent="0.25">
      <c r="N27" s="48" t="s">
        <v>36</v>
      </c>
      <c r="O27" s="48" t="s">
        <v>138</v>
      </c>
      <c r="P27" s="48" t="s">
        <v>139</v>
      </c>
      <c r="Q27" s="48" t="s">
        <v>140</v>
      </c>
      <c r="R27" s="48" t="s">
        <v>141</v>
      </c>
      <c r="S27" s="48" t="s">
        <v>16</v>
      </c>
      <c r="T27" s="48" t="s">
        <v>142</v>
      </c>
      <c r="U27" s="48" t="s">
        <v>143</v>
      </c>
      <c r="V27" s="48" t="s">
        <v>144</v>
      </c>
    </row>
    <row r="28" spans="2:22" x14ac:dyDescent="0.25">
      <c r="C28" s="48" t="s">
        <v>36</v>
      </c>
      <c r="D28" s="48" t="s">
        <v>138</v>
      </c>
      <c r="E28" s="48" t="s">
        <v>139</v>
      </c>
      <c r="F28" s="48" t="s">
        <v>140</v>
      </c>
      <c r="G28" s="48" t="s">
        <v>141</v>
      </c>
      <c r="H28" s="48" t="s">
        <v>16</v>
      </c>
      <c r="I28" s="48" t="s">
        <v>142</v>
      </c>
      <c r="J28" s="48" t="s">
        <v>143</v>
      </c>
      <c r="K28" s="48" t="s">
        <v>144</v>
      </c>
      <c r="N28" s="54">
        <v>42737</v>
      </c>
      <c r="O28" s="55" t="s">
        <v>149</v>
      </c>
      <c r="P28" s="168" t="s">
        <v>150</v>
      </c>
      <c r="Q28" s="169">
        <v>20</v>
      </c>
      <c r="R28" s="57">
        <v>2.12</v>
      </c>
      <c r="S28" s="57">
        <v>42.400000000000006</v>
      </c>
      <c r="T28" s="54">
        <v>42762</v>
      </c>
      <c r="U28" s="54">
        <v>42761</v>
      </c>
      <c r="V28" s="54" t="s">
        <v>148</v>
      </c>
    </row>
    <row r="29" spans="2:22" x14ac:dyDescent="0.25">
      <c r="C29" s="54">
        <v>42736</v>
      </c>
      <c r="D29" s="55" t="s">
        <v>146</v>
      </c>
      <c r="E29" s="55" t="s">
        <v>147</v>
      </c>
      <c r="F29" s="169">
        <v>20</v>
      </c>
      <c r="G29" s="57">
        <v>1.55</v>
      </c>
      <c r="H29" s="57">
        <f t="shared" ref="H29:H92" si="0">F29*G29</f>
        <v>31</v>
      </c>
      <c r="I29" s="54">
        <f>+C29+25</f>
        <v>42761</v>
      </c>
      <c r="J29" s="54">
        <v>42758</v>
      </c>
      <c r="K29" s="54" t="s">
        <v>148</v>
      </c>
      <c r="N29" s="54">
        <v>42742</v>
      </c>
      <c r="O29" s="55" t="s">
        <v>149</v>
      </c>
      <c r="P29" s="168" t="s">
        <v>150</v>
      </c>
      <c r="Q29" s="169">
        <v>15</v>
      </c>
      <c r="R29" s="57">
        <v>2.12</v>
      </c>
      <c r="S29" s="57">
        <v>31.8</v>
      </c>
      <c r="T29" s="54">
        <v>42767</v>
      </c>
      <c r="U29" s="54">
        <v>42765</v>
      </c>
      <c r="V29" s="54" t="s">
        <v>148</v>
      </c>
    </row>
    <row r="30" spans="2:22" x14ac:dyDescent="0.25">
      <c r="C30" s="54">
        <v>42737</v>
      </c>
      <c r="D30" s="55" t="s">
        <v>149</v>
      </c>
      <c r="E30" s="168" t="s">
        <v>150</v>
      </c>
      <c r="F30" s="169">
        <v>20</v>
      </c>
      <c r="G30" s="57">
        <v>2.12</v>
      </c>
      <c r="H30" s="57">
        <f t="shared" si="0"/>
        <v>42.400000000000006</v>
      </c>
      <c r="I30" s="54">
        <f t="shared" ref="I30:I93" si="1">+C30+25</f>
        <v>42762</v>
      </c>
      <c r="J30" s="54">
        <v>42761</v>
      </c>
      <c r="K30" s="54" t="s">
        <v>148</v>
      </c>
      <c r="N30" s="54">
        <v>42743</v>
      </c>
      <c r="O30" s="55" t="s">
        <v>149</v>
      </c>
      <c r="P30" s="168" t="s">
        <v>150</v>
      </c>
      <c r="Q30" s="169">
        <v>21</v>
      </c>
      <c r="R30" s="57">
        <v>2.12</v>
      </c>
      <c r="S30" s="57">
        <v>44.52</v>
      </c>
      <c r="T30" s="54">
        <v>42768</v>
      </c>
      <c r="U30" s="54">
        <v>42768</v>
      </c>
      <c r="V30" s="54" t="s">
        <v>148</v>
      </c>
    </row>
    <row r="31" spans="2:22" x14ac:dyDescent="0.25">
      <c r="C31" s="54">
        <v>42738</v>
      </c>
      <c r="D31" s="55" t="s">
        <v>151</v>
      </c>
      <c r="E31" s="168" t="s">
        <v>150</v>
      </c>
      <c r="F31" s="169">
        <v>9</v>
      </c>
      <c r="G31" s="57">
        <v>2.02</v>
      </c>
      <c r="H31" s="57">
        <f t="shared" si="0"/>
        <v>18.18</v>
      </c>
      <c r="I31" s="54">
        <f t="shared" si="1"/>
        <v>42763</v>
      </c>
      <c r="J31" s="54">
        <v>42762</v>
      </c>
      <c r="K31" s="54" t="s">
        <v>148</v>
      </c>
      <c r="N31" s="54">
        <v>42767</v>
      </c>
      <c r="O31" s="55" t="s">
        <v>149</v>
      </c>
      <c r="P31" s="55" t="s">
        <v>150</v>
      </c>
      <c r="Q31" s="56">
        <v>22</v>
      </c>
      <c r="R31" s="57">
        <v>2.12</v>
      </c>
      <c r="S31" s="57">
        <v>46.64</v>
      </c>
      <c r="T31" s="54">
        <v>42792</v>
      </c>
      <c r="U31" s="54">
        <v>42792</v>
      </c>
      <c r="V31" s="54" t="s">
        <v>148</v>
      </c>
    </row>
    <row r="32" spans="2:22" x14ac:dyDescent="0.25">
      <c r="C32" s="54">
        <v>42739</v>
      </c>
      <c r="D32" s="55" t="s">
        <v>146</v>
      </c>
      <c r="E32" s="168" t="s">
        <v>147</v>
      </c>
      <c r="F32" s="169">
        <v>24</v>
      </c>
      <c r="G32" s="57">
        <v>1.55</v>
      </c>
      <c r="H32" s="57">
        <f t="shared" si="0"/>
        <v>37.200000000000003</v>
      </c>
      <c r="I32" s="54">
        <f t="shared" si="1"/>
        <v>42764</v>
      </c>
      <c r="J32" s="54">
        <v>42763</v>
      </c>
      <c r="K32" s="54" t="s">
        <v>148</v>
      </c>
      <c r="N32" s="54">
        <v>42771</v>
      </c>
      <c r="O32" s="55" t="s">
        <v>149</v>
      </c>
      <c r="P32" s="55" t="s">
        <v>150</v>
      </c>
      <c r="Q32" s="56">
        <v>20</v>
      </c>
      <c r="R32" s="57">
        <v>2.12</v>
      </c>
      <c r="S32" s="57">
        <v>42.400000000000006</v>
      </c>
      <c r="T32" s="54">
        <v>42796</v>
      </c>
      <c r="U32" s="54">
        <v>42794</v>
      </c>
      <c r="V32" s="54" t="s">
        <v>148</v>
      </c>
    </row>
    <row r="33" spans="3:22" x14ac:dyDescent="0.25">
      <c r="C33" s="54">
        <v>42742</v>
      </c>
      <c r="D33" s="55" t="s">
        <v>149</v>
      </c>
      <c r="E33" s="168" t="s">
        <v>150</v>
      </c>
      <c r="F33" s="169">
        <v>15</v>
      </c>
      <c r="G33" s="57">
        <v>2.12</v>
      </c>
      <c r="H33" s="57">
        <f t="shared" si="0"/>
        <v>31.8</v>
      </c>
      <c r="I33" s="54">
        <f t="shared" si="1"/>
        <v>42767</v>
      </c>
      <c r="J33" s="54">
        <v>42765</v>
      </c>
      <c r="K33" s="54" t="s">
        <v>148</v>
      </c>
      <c r="N33" s="54">
        <v>42788</v>
      </c>
      <c r="O33" s="55" t="s">
        <v>149</v>
      </c>
      <c r="P33" s="55" t="s">
        <v>150</v>
      </c>
      <c r="Q33" s="56">
        <v>17</v>
      </c>
      <c r="R33" s="57">
        <v>2.12</v>
      </c>
      <c r="S33" s="57">
        <v>36.04</v>
      </c>
      <c r="T33" s="54">
        <v>42813</v>
      </c>
      <c r="U33" s="54">
        <v>42813</v>
      </c>
      <c r="V33" s="54" t="s">
        <v>148</v>
      </c>
    </row>
    <row r="34" spans="3:22" x14ac:dyDescent="0.25">
      <c r="C34" s="54">
        <v>42743</v>
      </c>
      <c r="D34" s="55" t="s">
        <v>149</v>
      </c>
      <c r="E34" s="168" t="s">
        <v>150</v>
      </c>
      <c r="F34" s="169">
        <v>21</v>
      </c>
      <c r="G34" s="57">
        <v>2.12</v>
      </c>
      <c r="H34" s="57">
        <f t="shared" si="0"/>
        <v>44.52</v>
      </c>
      <c r="I34" s="54">
        <f t="shared" si="1"/>
        <v>42768</v>
      </c>
      <c r="J34" s="54">
        <v>42768</v>
      </c>
      <c r="K34" s="54" t="s">
        <v>148</v>
      </c>
      <c r="N34" s="54">
        <v>42791</v>
      </c>
      <c r="O34" s="55" t="s">
        <v>149</v>
      </c>
      <c r="P34" s="55" t="s">
        <v>150</v>
      </c>
      <c r="Q34" s="56">
        <v>22</v>
      </c>
      <c r="R34" s="57">
        <v>2.12</v>
      </c>
      <c r="S34" s="57">
        <v>46.64</v>
      </c>
      <c r="T34" s="54">
        <v>42816</v>
      </c>
      <c r="U34" s="54">
        <v>42815</v>
      </c>
      <c r="V34" s="54" t="s">
        <v>148</v>
      </c>
    </row>
    <row r="35" spans="3:22" x14ac:dyDescent="0.25">
      <c r="C35" s="54">
        <v>42744</v>
      </c>
      <c r="D35" s="55" t="s">
        <v>149</v>
      </c>
      <c r="E35" s="168" t="s">
        <v>150</v>
      </c>
      <c r="F35" s="169">
        <v>8</v>
      </c>
      <c r="G35" s="57">
        <v>2.12</v>
      </c>
      <c r="H35" s="57">
        <f t="shared" si="0"/>
        <v>16.96</v>
      </c>
      <c r="I35" s="54">
        <f t="shared" si="1"/>
        <v>42769</v>
      </c>
      <c r="J35" s="54">
        <v>42770</v>
      </c>
      <c r="K35" s="54" t="s">
        <v>148</v>
      </c>
      <c r="N35" s="54">
        <v>42795</v>
      </c>
      <c r="O35" s="55" t="s">
        <v>149</v>
      </c>
      <c r="P35" s="55" t="s">
        <v>150</v>
      </c>
      <c r="Q35" s="56">
        <v>16</v>
      </c>
      <c r="R35" s="57">
        <v>2.12</v>
      </c>
      <c r="S35" s="57">
        <v>33.92</v>
      </c>
      <c r="T35" s="54">
        <v>42820</v>
      </c>
      <c r="U35" s="54">
        <v>42819</v>
      </c>
      <c r="V35" s="54" t="s">
        <v>148</v>
      </c>
    </row>
    <row r="36" spans="3:22" x14ac:dyDescent="0.25">
      <c r="C36" s="54">
        <v>42745</v>
      </c>
      <c r="D36" s="55" t="s">
        <v>149</v>
      </c>
      <c r="E36" s="55" t="s">
        <v>150</v>
      </c>
      <c r="F36" s="169">
        <v>10</v>
      </c>
      <c r="G36" s="57">
        <v>2.12</v>
      </c>
      <c r="H36" s="57">
        <f t="shared" si="0"/>
        <v>21.200000000000003</v>
      </c>
      <c r="I36" s="54">
        <f t="shared" si="1"/>
        <v>42770</v>
      </c>
      <c r="J36" s="54">
        <v>42770</v>
      </c>
      <c r="K36" s="54" t="s">
        <v>148</v>
      </c>
      <c r="N36" s="54">
        <v>42798</v>
      </c>
      <c r="O36" s="55" t="s">
        <v>149</v>
      </c>
      <c r="P36" s="55" t="s">
        <v>150</v>
      </c>
      <c r="Q36" s="56">
        <v>15</v>
      </c>
      <c r="R36" s="57">
        <v>2.12</v>
      </c>
      <c r="S36" s="57">
        <v>31.8</v>
      </c>
      <c r="T36" s="54">
        <v>42823</v>
      </c>
      <c r="U36" s="54">
        <v>42822</v>
      </c>
      <c r="V36" s="54" t="s">
        <v>148</v>
      </c>
    </row>
    <row r="37" spans="3:22" x14ac:dyDescent="0.25">
      <c r="C37" s="54">
        <v>42746</v>
      </c>
      <c r="D37" s="55" t="s">
        <v>152</v>
      </c>
      <c r="E37" s="55" t="s">
        <v>147</v>
      </c>
      <c r="F37" s="169">
        <v>15</v>
      </c>
      <c r="G37" s="57">
        <v>1.4</v>
      </c>
      <c r="H37" s="57">
        <f t="shared" si="0"/>
        <v>21</v>
      </c>
      <c r="I37" s="54">
        <f t="shared" si="1"/>
        <v>42771</v>
      </c>
      <c r="J37" s="54">
        <v>42770</v>
      </c>
      <c r="K37" s="54" t="s">
        <v>148</v>
      </c>
      <c r="N37" s="54">
        <v>42821</v>
      </c>
      <c r="O37" s="55" t="s">
        <v>149</v>
      </c>
      <c r="P37" s="55" t="s">
        <v>150</v>
      </c>
      <c r="Q37" s="56">
        <v>25</v>
      </c>
      <c r="R37" s="57">
        <v>2.12</v>
      </c>
      <c r="S37" s="57">
        <v>53</v>
      </c>
      <c r="T37" s="54">
        <v>42846</v>
      </c>
      <c r="U37" s="54">
        <v>42846</v>
      </c>
      <c r="V37" s="54" t="s">
        <v>148</v>
      </c>
    </row>
    <row r="38" spans="3:22" x14ac:dyDescent="0.25">
      <c r="C38" s="54">
        <v>42749</v>
      </c>
      <c r="D38" s="55" t="s">
        <v>153</v>
      </c>
      <c r="E38" s="55" t="s">
        <v>147</v>
      </c>
      <c r="F38" s="169">
        <v>9</v>
      </c>
      <c r="G38" s="57">
        <v>1.0900000000000001</v>
      </c>
      <c r="H38" s="57">
        <f t="shared" si="0"/>
        <v>9.81</v>
      </c>
      <c r="I38" s="54">
        <f t="shared" si="1"/>
        <v>42774</v>
      </c>
      <c r="J38" s="54">
        <v>42772</v>
      </c>
      <c r="K38" s="54" t="s">
        <v>148</v>
      </c>
      <c r="N38" s="54">
        <v>42836</v>
      </c>
      <c r="O38" s="55" t="s">
        <v>149</v>
      </c>
      <c r="P38" s="55" t="s">
        <v>150</v>
      </c>
      <c r="Q38" s="56">
        <v>23</v>
      </c>
      <c r="R38" s="57">
        <v>2.12</v>
      </c>
      <c r="S38" s="57">
        <v>48.760000000000005</v>
      </c>
      <c r="T38" s="54">
        <v>42861</v>
      </c>
      <c r="U38" s="54">
        <v>42861</v>
      </c>
      <c r="V38" s="54" t="s">
        <v>148</v>
      </c>
    </row>
    <row r="39" spans="3:22" x14ac:dyDescent="0.25">
      <c r="C39" s="54">
        <v>42750</v>
      </c>
      <c r="D39" s="55" t="s">
        <v>146</v>
      </c>
      <c r="E39" s="55" t="s">
        <v>147</v>
      </c>
      <c r="F39" s="169">
        <v>23</v>
      </c>
      <c r="G39" s="57">
        <v>1.55</v>
      </c>
      <c r="H39" s="57">
        <f t="shared" si="0"/>
        <v>35.65</v>
      </c>
      <c r="I39" s="54">
        <f t="shared" si="1"/>
        <v>42775</v>
      </c>
      <c r="J39" s="54">
        <v>42773</v>
      </c>
      <c r="K39" s="54" t="s">
        <v>148</v>
      </c>
      <c r="N39" s="54">
        <v>42842</v>
      </c>
      <c r="O39" s="55" t="s">
        <v>149</v>
      </c>
      <c r="P39" s="55" t="s">
        <v>150</v>
      </c>
      <c r="Q39" s="56">
        <v>17</v>
      </c>
      <c r="R39" s="57">
        <v>2.12</v>
      </c>
      <c r="S39" s="57">
        <v>36.04</v>
      </c>
      <c r="T39" s="54">
        <v>42867</v>
      </c>
      <c r="U39" s="54">
        <v>42865</v>
      </c>
      <c r="V39" s="54" t="s">
        <v>148</v>
      </c>
    </row>
    <row r="40" spans="3:22" x14ac:dyDescent="0.25">
      <c r="C40" s="54">
        <v>42751</v>
      </c>
      <c r="D40" s="55" t="s">
        <v>151</v>
      </c>
      <c r="E40" s="55" t="s">
        <v>150</v>
      </c>
      <c r="F40" s="169">
        <v>15</v>
      </c>
      <c r="G40" s="57">
        <v>2.02</v>
      </c>
      <c r="H40" s="57">
        <f t="shared" si="0"/>
        <v>30.3</v>
      </c>
      <c r="I40" s="54">
        <f t="shared" si="1"/>
        <v>42776</v>
      </c>
      <c r="J40" s="54">
        <v>42776</v>
      </c>
      <c r="K40" s="54" t="s">
        <v>148</v>
      </c>
      <c r="N40" s="54">
        <v>42862</v>
      </c>
      <c r="O40" s="55" t="s">
        <v>149</v>
      </c>
      <c r="P40" s="55" t="s">
        <v>150</v>
      </c>
      <c r="Q40" s="56">
        <v>21</v>
      </c>
      <c r="R40" s="57">
        <v>2.12</v>
      </c>
      <c r="S40" s="57">
        <v>44.52</v>
      </c>
      <c r="T40" s="54">
        <v>42887</v>
      </c>
      <c r="U40" s="54">
        <v>42887</v>
      </c>
      <c r="V40" s="54" t="s">
        <v>148</v>
      </c>
    </row>
    <row r="41" spans="3:22" x14ac:dyDescent="0.25">
      <c r="C41" s="54">
        <v>42752</v>
      </c>
      <c r="D41" s="55" t="s">
        <v>146</v>
      </c>
      <c r="E41" s="55" t="s">
        <v>147</v>
      </c>
      <c r="F41" s="169">
        <v>19</v>
      </c>
      <c r="G41" s="57">
        <v>1.55</v>
      </c>
      <c r="H41" s="57">
        <f t="shared" si="0"/>
        <v>29.45</v>
      </c>
      <c r="I41" s="54">
        <f t="shared" si="1"/>
        <v>42777</v>
      </c>
      <c r="J41" s="54">
        <v>42776</v>
      </c>
      <c r="K41" s="54" t="s">
        <v>148</v>
      </c>
      <c r="N41" s="54">
        <v>42882</v>
      </c>
      <c r="O41" s="55" t="s">
        <v>149</v>
      </c>
      <c r="P41" s="55" t="s">
        <v>150</v>
      </c>
      <c r="Q41" s="56">
        <v>17</v>
      </c>
      <c r="R41" s="57">
        <v>2.12</v>
      </c>
      <c r="S41" s="57">
        <v>36.04</v>
      </c>
      <c r="T41" s="54">
        <v>42907</v>
      </c>
      <c r="U41" s="54">
        <v>42906</v>
      </c>
      <c r="V41" s="54" t="s">
        <v>148</v>
      </c>
    </row>
    <row r="42" spans="3:22" x14ac:dyDescent="0.25">
      <c r="C42" s="54">
        <v>42753</v>
      </c>
      <c r="D42" s="55" t="s">
        <v>146</v>
      </c>
      <c r="E42" s="55" t="s">
        <v>147</v>
      </c>
      <c r="F42" s="169">
        <v>24</v>
      </c>
      <c r="G42" s="57">
        <v>1.55</v>
      </c>
      <c r="H42" s="57">
        <f t="shared" si="0"/>
        <v>37.200000000000003</v>
      </c>
      <c r="I42" s="54">
        <f t="shared" si="1"/>
        <v>42778</v>
      </c>
      <c r="J42" s="54">
        <v>42777</v>
      </c>
      <c r="K42" s="54" t="s">
        <v>148</v>
      </c>
      <c r="N42" s="54">
        <v>42886</v>
      </c>
      <c r="O42" s="55" t="s">
        <v>149</v>
      </c>
      <c r="P42" s="55" t="s">
        <v>150</v>
      </c>
      <c r="Q42" s="56">
        <v>21</v>
      </c>
      <c r="R42" s="57">
        <v>2.12</v>
      </c>
      <c r="S42" s="57">
        <v>44.52</v>
      </c>
      <c r="T42" s="54">
        <v>42911</v>
      </c>
      <c r="U42" s="54">
        <v>42909</v>
      </c>
      <c r="V42" s="54" t="s">
        <v>148</v>
      </c>
    </row>
    <row r="43" spans="3:22" x14ac:dyDescent="0.25">
      <c r="C43" s="54">
        <v>42756</v>
      </c>
      <c r="D43" s="55" t="s">
        <v>151</v>
      </c>
      <c r="E43" s="55" t="s">
        <v>150</v>
      </c>
      <c r="F43" s="169">
        <v>6</v>
      </c>
      <c r="G43" s="57">
        <v>2.02</v>
      </c>
      <c r="H43" s="57">
        <f t="shared" si="0"/>
        <v>12.120000000000001</v>
      </c>
      <c r="I43" s="54">
        <f t="shared" si="1"/>
        <v>42781</v>
      </c>
      <c r="J43" s="54">
        <v>42779</v>
      </c>
      <c r="K43" s="54" t="s">
        <v>148</v>
      </c>
      <c r="N43" s="54">
        <v>42890</v>
      </c>
      <c r="O43" s="55" t="s">
        <v>149</v>
      </c>
      <c r="P43" s="55" t="s">
        <v>150</v>
      </c>
      <c r="Q43" s="56">
        <v>19</v>
      </c>
      <c r="R43" s="57">
        <v>2.12</v>
      </c>
      <c r="S43" s="57">
        <v>40.28</v>
      </c>
      <c r="T43" s="54">
        <v>42915</v>
      </c>
      <c r="U43" s="54">
        <v>42914</v>
      </c>
      <c r="V43" s="54" t="s">
        <v>148</v>
      </c>
    </row>
    <row r="44" spans="3:22" x14ac:dyDescent="0.25">
      <c r="C44" s="54">
        <v>42757</v>
      </c>
      <c r="D44" s="55" t="s">
        <v>153</v>
      </c>
      <c r="E44" s="55" t="s">
        <v>147</v>
      </c>
      <c r="F44" s="56">
        <v>14</v>
      </c>
      <c r="G44" s="57">
        <v>1.0900000000000001</v>
      </c>
      <c r="H44" s="57">
        <f t="shared" si="0"/>
        <v>15.260000000000002</v>
      </c>
      <c r="I44" s="54">
        <f t="shared" si="1"/>
        <v>42782</v>
      </c>
      <c r="J44" s="54">
        <v>42782</v>
      </c>
      <c r="K44" s="54" t="s">
        <v>148</v>
      </c>
      <c r="N44" s="54">
        <v>42905</v>
      </c>
      <c r="O44" s="55" t="s">
        <v>149</v>
      </c>
      <c r="P44" s="55" t="s">
        <v>150</v>
      </c>
      <c r="Q44" s="56">
        <v>20</v>
      </c>
      <c r="R44" s="57">
        <v>2.12</v>
      </c>
      <c r="S44" s="57">
        <v>42.400000000000006</v>
      </c>
      <c r="T44" s="54">
        <v>42930</v>
      </c>
      <c r="U44" s="54">
        <v>42930</v>
      </c>
      <c r="V44" s="54" t="s">
        <v>148</v>
      </c>
    </row>
    <row r="45" spans="3:22" x14ac:dyDescent="0.25">
      <c r="C45" s="54">
        <v>42758</v>
      </c>
      <c r="D45" s="55" t="s">
        <v>146</v>
      </c>
      <c r="E45" s="55" t="s">
        <v>147</v>
      </c>
      <c r="F45" s="56">
        <v>22</v>
      </c>
      <c r="G45" s="57">
        <v>1.55</v>
      </c>
      <c r="H45" s="57">
        <f t="shared" si="0"/>
        <v>34.1</v>
      </c>
      <c r="I45" s="54">
        <f t="shared" si="1"/>
        <v>42783</v>
      </c>
      <c r="J45" s="54">
        <v>42781</v>
      </c>
      <c r="K45" s="54" t="s">
        <v>148</v>
      </c>
      <c r="N45" s="54">
        <v>42906</v>
      </c>
      <c r="O45" s="55" t="s">
        <v>149</v>
      </c>
      <c r="P45" s="55" t="s">
        <v>150</v>
      </c>
      <c r="Q45" s="56">
        <v>15</v>
      </c>
      <c r="R45" s="57">
        <v>2.12</v>
      </c>
      <c r="S45" s="57">
        <v>31.8</v>
      </c>
      <c r="T45" s="54">
        <v>42931</v>
      </c>
      <c r="U45" s="54">
        <v>42931</v>
      </c>
      <c r="V45" s="54" t="s">
        <v>148</v>
      </c>
    </row>
    <row r="46" spans="3:22" x14ac:dyDescent="0.25">
      <c r="C46" s="54">
        <v>42759</v>
      </c>
      <c r="D46" s="55" t="s">
        <v>146</v>
      </c>
      <c r="E46" s="55" t="s">
        <v>147</v>
      </c>
      <c r="F46" s="56">
        <v>11</v>
      </c>
      <c r="G46" s="57">
        <v>1.55</v>
      </c>
      <c r="H46" s="57">
        <f t="shared" si="0"/>
        <v>17.05</v>
      </c>
      <c r="I46" s="54">
        <f t="shared" si="1"/>
        <v>42784</v>
      </c>
      <c r="J46" s="54">
        <v>42784</v>
      </c>
      <c r="K46" s="54" t="s">
        <v>148</v>
      </c>
      <c r="N46" s="54">
        <v>42914</v>
      </c>
      <c r="O46" s="55" t="s">
        <v>149</v>
      </c>
      <c r="P46" s="55" t="s">
        <v>150</v>
      </c>
      <c r="Q46" s="56">
        <v>15</v>
      </c>
      <c r="R46" s="57">
        <v>2.12</v>
      </c>
      <c r="S46" s="57">
        <v>31.8</v>
      </c>
      <c r="T46" s="54">
        <v>42939</v>
      </c>
      <c r="U46" s="54">
        <v>42939</v>
      </c>
      <c r="V46" s="54" t="s">
        <v>148</v>
      </c>
    </row>
    <row r="47" spans="3:22" x14ac:dyDescent="0.25">
      <c r="C47" s="54">
        <v>42760</v>
      </c>
      <c r="D47" s="55" t="s">
        <v>146</v>
      </c>
      <c r="E47" s="55" t="s">
        <v>147</v>
      </c>
      <c r="F47" s="56">
        <v>12</v>
      </c>
      <c r="G47" s="57">
        <v>1.55</v>
      </c>
      <c r="H47" s="57">
        <f t="shared" si="0"/>
        <v>18.600000000000001</v>
      </c>
      <c r="I47" s="54">
        <f t="shared" si="1"/>
        <v>42785</v>
      </c>
      <c r="J47" s="54">
        <v>42784</v>
      </c>
      <c r="K47" s="54" t="s">
        <v>148</v>
      </c>
      <c r="N47" s="54">
        <v>42933</v>
      </c>
      <c r="O47" s="55" t="s">
        <v>149</v>
      </c>
      <c r="P47" s="55" t="s">
        <v>150</v>
      </c>
      <c r="Q47" s="56">
        <v>24</v>
      </c>
      <c r="R47" s="57">
        <v>2.12</v>
      </c>
      <c r="S47" s="57">
        <v>50.88</v>
      </c>
      <c r="T47" s="54">
        <v>42958</v>
      </c>
      <c r="U47" s="54">
        <v>42957</v>
      </c>
      <c r="V47" s="54" t="s">
        <v>148</v>
      </c>
    </row>
    <row r="48" spans="3:22" x14ac:dyDescent="0.25">
      <c r="C48" s="54">
        <v>42763</v>
      </c>
      <c r="D48" s="55" t="s">
        <v>146</v>
      </c>
      <c r="E48" s="55" t="s">
        <v>147</v>
      </c>
      <c r="F48" s="56">
        <v>20</v>
      </c>
      <c r="G48" s="57">
        <v>1.55</v>
      </c>
      <c r="H48" s="57">
        <f t="shared" si="0"/>
        <v>31</v>
      </c>
      <c r="I48" s="54">
        <f t="shared" si="1"/>
        <v>42788</v>
      </c>
      <c r="J48" s="54">
        <v>42786</v>
      </c>
      <c r="K48" s="54" t="s">
        <v>148</v>
      </c>
      <c r="N48" s="54">
        <v>42938</v>
      </c>
      <c r="O48" s="55" t="s">
        <v>149</v>
      </c>
      <c r="P48" s="55" t="s">
        <v>150</v>
      </c>
      <c r="Q48" s="56">
        <v>23</v>
      </c>
      <c r="R48" s="57">
        <v>2.12</v>
      </c>
      <c r="S48" s="57">
        <v>48.760000000000005</v>
      </c>
      <c r="T48" s="54">
        <v>42963</v>
      </c>
      <c r="U48" s="54">
        <v>42961</v>
      </c>
      <c r="V48" s="54" t="s">
        <v>148</v>
      </c>
    </row>
    <row r="49" spans="3:22" x14ac:dyDescent="0.25">
      <c r="C49" s="54">
        <v>42764</v>
      </c>
      <c r="D49" s="55" t="s">
        <v>149</v>
      </c>
      <c r="E49" s="55" t="s">
        <v>150</v>
      </c>
      <c r="F49" s="56">
        <v>8</v>
      </c>
      <c r="G49" s="57">
        <v>2.12</v>
      </c>
      <c r="H49" s="57">
        <f t="shared" si="0"/>
        <v>16.96</v>
      </c>
      <c r="I49" s="54">
        <f t="shared" si="1"/>
        <v>42789</v>
      </c>
      <c r="J49" s="54">
        <v>42787</v>
      </c>
      <c r="K49" s="54" t="s">
        <v>148</v>
      </c>
      <c r="N49" s="54">
        <v>42939</v>
      </c>
      <c r="O49" s="55" t="s">
        <v>149</v>
      </c>
      <c r="P49" s="55" t="s">
        <v>150</v>
      </c>
      <c r="Q49" s="56">
        <v>19</v>
      </c>
      <c r="R49" s="57">
        <v>2.12</v>
      </c>
      <c r="S49" s="57">
        <v>40.28</v>
      </c>
      <c r="T49" s="54">
        <v>42964</v>
      </c>
      <c r="U49" s="54">
        <v>42964</v>
      </c>
      <c r="V49" s="54" t="s">
        <v>148</v>
      </c>
    </row>
    <row r="50" spans="3:22" x14ac:dyDescent="0.25">
      <c r="C50" s="54">
        <v>42765</v>
      </c>
      <c r="D50" s="55" t="s">
        <v>153</v>
      </c>
      <c r="E50" s="55" t="s">
        <v>147</v>
      </c>
      <c r="F50" s="56">
        <v>17</v>
      </c>
      <c r="G50" s="57">
        <v>1.0900000000000001</v>
      </c>
      <c r="H50" s="57">
        <f t="shared" si="0"/>
        <v>18.53</v>
      </c>
      <c r="I50" s="54">
        <f t="shared" si="1"/>
        <v>42790</v>
      </c>
      <c r="J50" s="54">
        <v>42790</v>
      </c>
      <c r="K50" s="54" t="s">
        <v>148</v>
      </c>
      <c r="N50" s="54">
        <v>42941</v>
      </c>
      <c r="O50" s="55" t="s">
        <v>149</v>
      </c>
      <c r="P50" s="55" t="s">
        <v>150</v>
      </c>
      <c r="Q50" s="56">
        <v>18</v>
      </c>
      <c r="R50" s="57">
        <v>2.12</v>
      </c>
      <c r="S50" s="57">
        <v>38.160000000000004</v>
      </c>
      <c r="T50" s="54">
        <v>42966</v>
      </c>
      <c r="U50" s="54">
        <v>42964</v>
      </c>
      <c r="V50" s="54" t="s">
        <v>148</v>
      </c>
    </row>
    <row r="51" spans="3:22" x14ac:dyDescent="0.25">
      <c r="C51" s="54">
        <v>42766</v>
      </c>
      <c r="D51" s="55" t="s">
        <v>146</v>
      </c>
      <c r="E51" s="55" t="s">
        <v>147</v>
      </c>
      <c r="F51" s="56">
        <v>7</v>
      </c>
      <c r="G51" s="57">
        <v>1.55</v>
      </c>
      <c r="H51" s="57">
        <f t="shared" si="0"/>
        <v>10.85</v>
      </c>
      <c r="I51" s="54">
        <f t="shared" si="1"/>
        <v>42791</v>
      </c>
      <c r="J51" s="54">
        <v>42790</v>
      </c>
      <c r="K51" s="54" t="s">
        <v>148</v>
      </c>
      <c r="N51" s="54">
        <v>42955</v>
      </c>
      <c r="O51" s="55" t="s">
        <v>149</v>
      </c>
      <c r="P51" s="55" t="s">
        <v>150</v>
      </c>
      <c r="Q51" s="56">
        <v>22</v>
      </c>
      <c r="R51" s="57">
        <v>2.12</v>
      </c>
      <c r="S51" s="57">
        <v>46.64</v>
      </c>
      <c r="T51" s="54">
        <v>42980</v>
      </c>
      <c r="U51" s="54">
        <v>42979</v>
      </c>
      <c r="V51" s="54" t="s">
        <v>148</v>
      </c>
    </row>
    <row r="52" spans="3:22" x14ac:dyDescent="0.25">
      <c r="C52" s="54">
        <v>42767</v>
      </c>
      <c r="D52" s="55" t="s">
        <v>149</v>
      </c>
      <c r="E52" s="55" t="s">
        <v>150</v>
      </c>
      <c r="F52" s="56">
        <v>22</v>
      </c>
      <c r="G52" s="57">
        <v>2.12</v>
      </c>
      <c r="H52" s="57">
        <f t="shared" si="0"/>
        <v>46.64</v>
      </c>
      <c r="I52" s="54">
        <f t="shared" si="1"/>
        <v>42792</v>
      </c>
      <c r="J52" s="54">
        <v>42792</v>
      </c>
      <c r="K52" s="54" t="s">
        <v>148</v>
      </c>
      <c r="N52" s="54">
        <v>42960</v>
      </c>
      <c r="O52" s="55" t="s">
        <v>149</v>
      </c>
      <c r="P52" s="55" t="s">
        <v>150</v>
      </c>
      <c r="Q52" s="56">
        <v>19</v>
      </c>
      <c r="R52" s="57">
        <v>2.12</v>
      </c>
      <c r="S52" s="57">
        <v>40.28</v>
      </c>
      <c r="T52" s="54">
        <v>42985</v>
      </c>
      <c r="U52" s="54">
        <v>42983</v>
      </c>
      <c r="V52" s="54" t="s">
        <v>148</v>
      </c>
    </row>
    <row r="53" spans="3:22" x14ac:dyDescent="0.25">
      <c r="C53" s="54">
        <v>42770</v>
      </c>
      <c r="D53" s="55" t="s">
        <v>146</v>
      </c>
      <c r="E53" s="55" t="s">
        <v>147</v>
      </c>
      <c r="F53" s="56">
        <v>26</v>
      </c>
      <c r="G53" s="57">
        <v>1.55</v>
      </c>
      <c r="H53" s="57">
        <f t="shared" si="0"/>
        <v>40.300000000000004</v>
      </c>
      <c r="I53" s="54">
        <f t="shared" si="1"/>
        <v>42795</v>
      </c>
      <c r="J53" s="54">
        <v>42794</v>
      </c>
      <c r="K53" s="54" t="s">
        <v>148</v>
      </c>
      <c r="N53" s="54">
        <v>42966</v>
      </c>
      <c r="O53" s="55" t="s">
        <v>149</v>
      </c>
      <c r="P53" s="55" t="s">
        <v>150</v>
      </c>
      <c r="Q53" s="56">
        <v>17</v>
      </c>
      <c r="R53" s="57">
        <v>2.12</v>
      </c>
      <c r="S53" s="57">
        <v>36.04</v>
      </c>
      <c r="T53" s="54">
        <v>42991</v>
      </c>
      <c r="U53" s="54">
        <v>42991</v>
      </c>
      <c r="V53" s="54" t="s">
        <v>148</v>
      </c>
    </row>
    <row r="54" spans="3:22" x14ac:dyDescent="0.25">
      <c r="C54" s="54">
        <v>42771</v>
      </c>
      <c r="D54" s="55" t="s">
        <v>149</v>
      </c>
      <c r="E54" s="55" t="s">
        <v>150</v>
      </c>
      <c r="F54" s="56">
        <v>20</v>
      </c>
      <c r="G54" s="57">
        <v>2.12</v>
      </c>
      <c r="H54" s="57">
        <f t="shared" si="0"/>
        <v>42.400000000000006</v>
      </c>
      <c r="I54" s="54">
        <f t="shared" si="1"/>
        <v>42796</v>
      </c>
      <c r="J54" s="54">
        <v>42794</v>
      </c>
      <c r="K54" s="54" t="s">
        <v>148</v>
      </c>
      <c r="N54" s="54">
        <v>42968</v>
      </c>
      <c r="O54" s="55" t="s">
        <v>149</v>
      </c>
      <c r="P54" s="55" t="s">
        <v>150</v>
      </c>
      <c r="Q54" s="56">
        <v>21</v>
      </c>
      <c r="R54" s="57">
        <v>2.12</v>
      </c>
      <c r="S54" s="57">
        <v>44.52</v>
      </c>
      <c r="T54" s="54">
        <v>42993</v>
      </c>
      <c r="U54" s="54">
        <v>42993</v>
      </c>
      <c r="V54" s="54" t="s">
        <v>148</v>
      </c>
    </row>
    <row r="55" spans="3:22" x14ac:dyDescent="0.25">
      <c r="C55" s="54">
        <v>42772</v>
      </c>
      <c r="D55" s="55" t="s">
        <v>146</v>
      </c>
      <c r="E55" s="55" t="s">
        <v>147</v>
      </c>
      <c r="F55" s="56">
        <v>8</v>
      </c>
      <c r="G55" s="57">
        <v>1.55</v>
      </c>
      <c r="H55" s="57">
        <f t="shared" si="0"/>
        <v>12.4</v>
      </c>
      <c r="I55" s="54">
        <f t="shared" si="1"/>
        <v>42797</v>
      </c>
      <c r="J55" s="54">
        <v>42796</v>
      </c>
      <c r="K55" s="54" t="s">
        <v>148</v>
      </c>
      <c r="N55" s="54">
        <v>42988</v>
      </c>
      <c r="O55" s="55" t="s">
        <v>149</v>
      </c>
      <c r="P55" s="55" t="s">
        <v>150</v>
      </c>
      <c r="Q55" s="56">
        <v>26</v>
      </c>
      <c r="R55" s="57">
        <v>2.12</v>
      </c>
      <c r="S55" s="57">
        <v>55.120000000000005</v>
      </c>
      <c r="T55" s="54">
        <v>43013</v>
      </c>
      <c r="U55" s="54">
        <v>43012</v>
      </c>
      <c r="V55" s="54" t="s">
        <v>148</v>
      </c>
    </row>
    <row r="56" spans="3:22" x14ac:dyDescent="0.25">
      <c r="C56" s="54">
        <v>42773</v>
      </c>
      <c r="D56" s="55" t="s">
        <v>146</v>
      </c>
      <c r="E56" s="55" t="s">
        <v>147</v>
      </c>
      <c r="F56" s="56">
        <v>12</v>
      </c>
      <c r="G56" s="57">
        <v>1.55</v>
      </c>
      <c r="H56" s="57">
        <f t="shared" si="0"/>
        <v>18.600000000000001</v>
      </c>
      <c r="I56" s="54">
        <f t="shared" si="1"/>
        <v>42798</v>
      </c>
      <c r="J56" s="54">
        <v>42800</v>
      </c>
      <c r="K56" s="54" t="s">
        <v>148</v>
      </c>
      <c r="N56" s="54">
        <v>43025</v>
      </c>
      <c r="O56" s="55" t="s">
        <v>149</v>
      </c>
      <c r="P56" s="55" t="s">
        <v>150</v>
      </c>
      <c r="Q56" s="56">
        <v>26</v>
      </c>
      <c r="R56" s="57">
        <v>2.12</v>
      </c>
      <c r="S56" s="57">
        <v>55.120000000000005</v>
      </c>
      <c r="T56" s="54">
        <v>43050</v>
      </c>
      <c r="U56" s="54">
        <v>43050</v>
      </c>
      <c r="V56" s="54" t="s">
        <v>148</v>
      </c>
    </row>
    <row r="57" spans="3:22" x14ac:dyDescent="0.25">
      <c r="C57" s="54">
        <v>42774</v>
      </c>
      <c r="D57" s="55" t="s">
        <v>153</v>
      </c>
      <c r="E57" s="55" t="s">
        <v>147</v>
      </c>
      <c r="F57" s="56">
        <v>9</v>
      </c>
      <c r="G57" s="57">
        <v>1.0900000000000001</v>
      </c>
      <c r="H57" s="57">
        <f t="shared" si="0"/>
        <v>9.81</v>
      </c>
      <c r="I57" s="54">
        <f t="shared" si="1"/>
        <v>42799</v>
      </c>
      <c r="J57" s="54">
        <v>42798</v>
      </c>
      <c r="K57" s="54" t="s">
        <v>148</v>
      </c>
      <c r="N57" s="54">
        <v>43033</v>
      </c>
      <c r="O57" s="55" t="s">
        <v>149</v>
      </c>
      <c r="P57" s="55" t="s">
        <v>150</v>
      </c>
      <c r="Q57" s="56">
        <v>19</v>
      </c>
      <c r="R57" s="57">
        <v>2.12</v>
      </c>
      <c r="S57" s="57">
        <v>40.28</v>
      </c>
      <c r="T57" s="54">
        <v>43058</v>
      </c>
      <c r="U57" s="54">
        <v>43058</v>
      </c>
      <c r="V57" s="54" t="s">
        <v>148</v>
      </c>
    </row>
    <row r="58" spans="3:22" x14ac:dyDescent="0.25">
      <c r="C58" s="54">
        <v>42777</v>
      </c>
      <c r="D58" s="55" t="s">
        <v>154</v>
      </c>
      <c r="E58" s="55" t="s">
        <v>150</v>
      </c>
      <c r="F58" s="56">
        <v>23</v>
      </c>
      <c r="G58" s="57">
        <v>1.37</v>
      </c>
      <c r="H58" s="57">
        <f t="shared" si="0"/>
        <v>31.51</v>
      </c>
      <c r="I58" s="54">
        <f t="shared" si="1"/>
        <v>42802</v>
      </c>
      <c r="J58" s="54">
        <v>42801</v>
      </c>
      <c r="K58" s="54" t="s">
        <v>148</v>
      </c>
      <c r="N58" s="54">
        <v>43041</v>
      </c>
      <c r="O58" s="55" t="s">
        <v>149</v>
      </c>
      <c r="P58" s="55" t="s">
        <v>150</v>
      </c>
      <c r="Q58" s="56">
        <v>18</v>
      </c>
      <c r="R58" s="57">
        <v>2.12</v>
      </c>
      <c r="S58" s="57">
        <v>38.160000000000004</v>
      </c>
      <c r="T58" s="54">
        <v>43066</v>
      </c>
      <c r="U58" s="54">
        <v>43065</v>
      </c>
      <c r="V58" s="54" t="s">
        <v>148</v>
      </c>
    </row>
    <row r="59" spans="3:22" x14ac:dyDescent="0.25">
      <c r="C59" s="54">
        <v>42778</v>
      </c>
      <c r="D59" s="55" t="s">
        <v>152</v>
      </c>
      <c r="E59" s="55" t="s">
        <v>147</v>
      </c>
      <c r="F59" s="56">
        <v>23</v>
      </c>
      <c r="G59" s="57">
        <v>1.4</v>
      </c>
      <c r="H59" s="57">
        <f t="shared" si="0"/>
        <v>32.199999999999996</v>
      </c>
      <c r="I59" s="54">
        <f t="shared" si="1"/>
        <v>42803</v>
      </c>
      <c r="J59" s="54">
        <v>42801</v>
      </c>
      <c r="K59" s="54" t="s">
        <v>148</v>
      </c>
      <c r="N59" s="54">
        <v>43044</v>
      </c>
      <c r="O59" s="55" t="s">
        <v>149</v>
      </c>
      <c r="P59" s="55" t="s">
        <v>150</v>
      </c>
      <c r="Q59" s="56">
        <v>16</v>
      </c>
      <c r="R59" s="57">
        <v>2.12</v>
      </c>
      <c r="S59" s="57">
        <v>33.92</v>
      </c>
      <c r="T59" s="54">
        <v>43069</v>
      </c>
      <c r="U59" s="54">
        <v>43067</v>
      </c>
      <c r="V59" s="54" t="s">
        <v>148</v>
      </c>
    </row>
    <row r="60" spans="3:22" x14ac:dyDescent="0.25">
      <c r="C60" s="54">
        <v>42779</v>
      </c>
      <c r="D60" s="55" t="s">
        <v>151</v>
      </c>
      <c r="E60" s="55" t="s">
        <v>150</v>
      </c>
      <c r="F60" s="56">
        <v>12</v>
      </c>
      <c r="G60" s="57">
        <v>2.02</v>
      </c>
      <c r="H60" s="57">
        <f t="shared" si="0"/>
        <v>24.240000000000002</v>
      </c>
      <c r="I60" s="54">
        <f t="shared" si="1"/>
        <v>42804</v>
      </c>
      <c r="J60" s="54">
        <v>42804</v>
      </c>
      <c r="K60" s="54" t="s">
        <v>148</v>
      </c>
      <c r="N60" s="54">
        <v>43062</v>
      </c>
      <c r="O60" s="55" t="s">
        <v>149</v>
      </c>
      <c r="P60" s="55" t="s">
        <v>150</v>
      </c>
      <c r="Q60" s="56">
        <v>26</v>
      </c>
      <c r="R60" s="57">
        <v>2.12</v>
      </c>
      <c r="S60" s="57">
        <v>55.120000000000005</v>
      </c>
      <c r="T60" s="54">
        <v>43087</v>
      </c>
      <c r="U60" s="54">
        <v>43086</v>
      </c>
      <c r="V60" s="54" t="s">
        <v>148</v>
      </c>
    </row>
    <row r="61" spans="3:22" x14ac:dyDescent="0.25">
      <c r="C61" s="54">
        <v>42780</v>
      </c>
      <c r="D61" s="55" t="s">
        <v>146</v>
      </c>
      <c r="E61" s="55" t="s">
        <v>147</v>
      </c>
      <c r="F61" s="56">
        <v>24</v>
      </c>
      <c r="G61" s="57">
        <v>1.55</v>
      </c>
      <c r="H61" s="57">
        <f t="shared" si="0"/>
        <v>37.200000000000003</v>
      </c>
      <c r="I61" s="54">
        <f t="shared" si="1"/>
        <v>42805</v>
      </c>
      <c r="J61" s="54">
        <v>42805</v>
      </c>
      <c r="K61" s="54" t="s">
        <v>148</v>
      </c>
      <c r="N61" s="54">
        <v>43068</v>
      </c>
      <c r="O61" s="55" t="s">
        <v>149</v>
      </c>
      <c r="P61" s="55" t="s">
        <v>150</v>
      </c>
      <c r="Q61" s="56">
        <v>18</v>
      </c>
      <c r="R61" s="57">
        <v>2.12</v>
      </c>
      <c r="S61" s="57">
        <v>38.160000000000004</v>
      </c>
      <c r="T61" s="54">
        <v>43093</v>
      </c>
      <c r="U61" s="54">
        <v>43093</v>
      </c>
      <c r="V61" s="54" t="s">
        <v>148</v>
      </c>
    </row>
    <row r="62" spans="3:22" x14ac:dyDescent="0.25">
      <c r="C62" s="54">
        <v>42781</v>
      </c>
      <c r="D62" s="55" t="s">
        <v>151</v>
      </c>
      <c r="E62" s="55" t="s">
        <v>150</v>
      </c>
      <c r="F62" s="56">
        <v>23</v>
      </c>
      <c r="G62" s="57">
        <v>2.02</v>
      </c>
      <c r="H62" s="57">
        <f t="shared" si="0"/>
        <v>46.46</v>
      </c>
      <c r="I62" s="54">
        <f t="shared" si="1"/>
        <v>42806</v>
      </c>
      <c r="J62" s="54">
        <v>42806</v>
      </c>
      <c r="K62" s="54" t="s">
        <v>148</v>
      </c>
      <c r="N62" s="54">
        <v>43074</v>
      </c>
      <c r="O62" s="55" t="s">
        <v>149</v>
      </c>
      <c r="P62" s="55" t="s">
        <v>150</v>
      </c>
      <c r="Q62" s="56">
        <v>25</v>
      </c>
      <c r="R62" s="57">
        <v>2.12</v>
      </c>
      <c r="S62" s="57">
        <v>53</v>
      </c>
      <c r="T62" s="54">
        <v>43099</v>
      </c>
      <c r="U62" s="54">
        <v>43098</v>
      </c>
      <c r="V62" s="54" t="s">
        <v>148</v>
      </c>
    </row>
    <row r="63" spans="3:22" x14ac:dyDescent="0.25">
      <c r="C63" s="54">
        <v>42784</v>
      </c>
      <c r="D63" s="55" t="s">
        <v>146</v>
      </c>
      <c r="E63" s="55" t="s">
        <v>147</v>
      </c>
      <c r="F63" s="56">
        <v>17</v>
      </c>
      <c r="G63" s="57">
        <v>1.55</v>
      </c>
      <c r="H63" s="57">
        <f t="shared" si="0"/>
        <v>26.35</v>
      </c>
      <c r="I63" s="54">
        <f t="shared" si="1"/>
        <v>42809</v>
      </c>
      <c r="J63" s="54">
        <v>42808</v>
      </c>
      <c r="K63" s="54" t="s">
        <v>148</v>
      </c>
      <c r="N63" s="54">
        <v>43093</v>
      </c>
      <c r="O63" s="55" t="s">
        <v>149</v>
      </c>
      <c r="P63" s="55" t="s">
        <v>150</v>
      </c>
      <c r="Q63" s="56">
        <v>23</v>
      </c>
      <c r="R63" s="57">
        <v>2.12</v>
      </c>
      <c r="S63" s="57">
        <v>48.760000000000005</v>
      </c>
      <c r="T63" s="54">
        <v>43118</v>
      </c>
      <c r="U63" s="54">
        <v>43116</v>
      </c>
      <c r="V63" s="54" t="s">
        <v>148</v>
      </c>
    </row>
    <row r="64" spans="3:22" x14ac:dyDescent="0.25">
      <c r="C64" s="54">
        <v>42785</v>
      </c>
      <c r="D64" s="55" t="s">
        <v>146</v>
      </c>
      <c r="E64" s="55" t="s">
        <v>147</v>
      </c>
      <c r="F64" s="56">
        <v>8</v>
      </c>
      <c r="G64" s="57">
        <v>1.55</v>
      </c>
      <c r="H64" s="57">
        <f t="shared" si="0"/>
        <v>12.4</v>
      </c>
      <c r="I64" s="54">
        <f t="shared" si="1"/>
        <v>42810</v>
      </c>
      <c r="J64" s="54">
        <v>42808</v>
      </c>
      <c r="K64" s="54" t="s">
        <v>148</v>
      </c>
      <c r="N64" s="54">
        <v>43103</v>
      </c>
      <c r="O64" s="55" t="s">
        <v>149</v>
      </c>
      <c r="P64" s="55" t="s">
        <v>150</v>
      </c>
      <c r="Q64" s="56">
        <v>25</v>
      </c>
      <c r="R64" s="57">
        <v>2.12</v>
      </c>
      <c r="S64" s="57">
        <v>53</v>
      </c>
      <c r="T64" s="54">
        <v>43128</v>
      </c>
      <c r="U64" s="54">
        <v>43127</v>
      </c>
      <c r="V64" s="54" t="s">
        <v>148</v>
      </c>
    </row>
    <row r="65" spans="3:22" x14ac:dyDescent="0.25">
      <c r="C65" s="54">
        <v>42786</v>
      </c>
      <c r="D65" s="55" t="s">
        <v>151</v>
      </c>
      <c r="E65" s="55" t="s">
        <v>150</v>
      </c>
      <c r="F65" s="56">
        <v>19</v>
      </c>
      <c r="G65" s="57">
        <v>2.02</v>
      </c>
      <c r="H65" s="57">
        <f t="shared" si="0"/>
        <v>38.380000000000003</v>
      </c>
      <c r="I65" s="54">
        <f t="shared" si="1"/>
        <v>42811</v>
      </c>
      <c r="J65" s="54">
        <v>42811</v>
      </c>
      <c r="K65" s="54" t="s">
        <v>148</v>
      </c>
      <c r="N65" s="54">
        <v>43141</v>
      </c>
      <c r="O65" s="55" t="s">
        <v>149</v>
      </c>
      <c r="P65" s="55" t="s">
        <v>150</v>
      </c>
      <c r="Q65" s="56">
        <v>21</v>
      </c>
      <c r="R65" s="57">
        <v>2.12</v>
      </c>
      <c r="S65" s="57">
        <v>44.52</v>
      </c>
      <c r="T65" s="54">
        <v>43166</v>
      </c>
      <c r="U65" s="54">
        <v>43165</v>
      </c>
      <c r="V65" s="54" t="s">
        <v>148</v>
      </c>
    </row>
    <row r="66" spans="3:22" x14ac:dyDescent="0.25">
      <c r="C66" s="54">
        <v>42787</v>
      </c>
      <c r="D66" s="55" t="s">
        <v>153</v>
      </c>
      <c r="E66" s="55" t="s">
        <v>147</v>
      </c>
      <c r="F66" s="56">
        <v>10</v>
      </c>
      <c r="G66" s="57">
        <v>1.0900000000000001</v>
      </c>
      <c r="H66" s="57">
        <f t="shared" si="0"/>
        <v>10.9</v>
      </c>
      <c r="I66" s="54">
        <f t="shared" si="1"/>
        <v>42812</v>
      </c>
      <c r="J66" s="54">
        <v>42811</v>
      </c>
      <c r="K66" s="54" t="s">
        <v>148</v>
      </c>
      <c r="N66" s="54">
        <v>43159</v>
      </c>
      <c r="O66" s="55" t="s">
        <v>149</v>
      </c>
      <c r="P66" s="55" t="s">
        <v>150</v>
      </c>
      <c r="Q66" s="56">
        <v>23</v>
      </c>
      <c r="R66" s="57">
        <v>2.12</v>
      </c>
      <c r="S66" s="57">
        <v>48.760000000000005</v>
      </c>
      <c r="T66" s="54">
        <v>43184</v>
      </c>
      <c r="U66" s="54">
        <v>43182</v>
      </c>
      <c r="V66" s="54" t="s">
        <v>148</v>
      </c>
    </row>
    <row r="67" spans="3:22" x14ac:dyDescent="0.25">
      <c r="C67" s="54">
        <v>42788</v>
      </c>
      <c r="D67" s="55" t="s">
        <v>149</v>
      </c>
      <c r="E67" s="55" t="s">
        <v>150</v>
      </c>
      <c r="F67" s="56">
        <v>17</v>
      </c>
      <c r="G67" s="57">
        <v>2.12</v>
      </c>
      <c r="H67" s="57">
        <f t="shared" si="0"/>
        <v>36.04</v>
      </c>
      <c r="I67" s="54">
        <f t="shared" si="1"/>
        <v>42813</v>
      </c>
      <c r="J67" s="54">
        <v>42813</v>
      </c>
      <c r="K67" s="54" t="s">
        <v>148</v>
      </c>
      <c r="N67" s="54">
        <v>43162</v>
      </c>
      <c r="O67" s="55" t="s">
        <v>149</v>
      </c>
      <c r="P67" s="55" t="s">
        <v>150</v>
      </c>
      <c r="Q67" s="56">
        <v>22</v>
      </c>
      <c r="R67" s="57">
        <v>2.12</v>
      </c>
      <c r="S67" s="57">
        <v>46.64</v>
      </c>
      <c r="T67" s="54">
        <v>43187</v>
      </c>
      <c r="U67" s="54">
        <v>43187</v>
      </c>
      <c r="V67" s="54" t="s">
        <v>148</v>
      </c>
    </row>
    <row r="68" spans="3:22" x14ac:dyDescent="0.25">
      <c r="C68" s="54">
        <v>42791</v>
      </c>
      <c r="D68" s="55" t="s">
        <v>149</v>
      </c>
      <c r="E68" s="55" t="s">
        <v>150</v>
      </c>
      <c r="F68" s="56">
        <v>22</v>
      </c>
      <c r="G68" s="57">
        <v>2.12</v>
      </c>
      <c r="H68" s="57">
        <f t="shared" si="0"/>
        <v>46.64</v>
      </c>
      <c r="I68" s="54">
        <f t="shared" si="1"/>
        <v>42816</v>
      </c>
      <c r="J68" s="54">
        <v>42815</v>
      </c>
      <c r="K68" s="54" t="s">
        <v>148</v>
      </c>
      <c r="N68" s="54">
        <v>43186</v>
      </c>
      <c r="O68" s="55" t="s">
        <v>149</v>
      </c>
      <c r="P68" s="55" t="s">
        <v>150</v>
      </c>
      <c r="Q68" s="56">
        <v>21</v>
      </c>
      <c r="R68" s="57">
        <v>2.12</v>
      </c>
      <c r="S68" s="57">
        <v>44.52</v>
      </c>
      <c r="T68" s="54">
        <v>43211</v>
      </c>
      <c r="U68" s="54">
        <v>43211</v>
      </c>
      <c r="V68" s="54" t="s">
        <v>148</v>
      </c>
    </row>
    <row r="69" spans="3:22" x14ac:dyDescent="0.25">
      <c r="C69" s="54">
        <v>42792</v>
      </c>
      <c r="D69" s="55" t="s">
        <v>153</v>
      </c>
      <c r="E69" s="55" t="s">
        <v>147</v>
      </c>
      <c r="F69" s="56">
        <v>25</v>
      </c>
      <c r="G69" s="57">
        <v>1.0900000000000001</v>
      </c>
      <c r="H69" s="57">
        <f t="shared" si="0"/>
        <v>27.250000000000004</v>
      </c>
      <c r="I69" s="54">
        <f t="shared" si="1"/>
        <v>42817</v>
      </c>
      <c r="J69" s="54">
        <v>42815</v>
      </c>
      <c r="K69" s="54" t="s">
        <v>148</v>
      </c>
      <c r="N69" s="54">
        <v>43190</v>
      </c>
      <c r="O69" s="55" t="s">
        <v>149</v>
      </c>
      <c r="P69" s="55" t="s">
        <v>150</v>
      </c>
      <c r="Q69" s="56">
        <v>24</v>
      </c>
      <c r="R69" s="57">
        <v>2.12</v>
      </c>
      <c r="S69" s="57">
        <v>50.88</v>
      </c>
      <c r="T69" s="54">
        <v>43215</v>
      </c>
      <c r="U69" s="54">
        <v>43214</v>
      </c>
      <c r="V69" s="54" t="s">
        <v>148</v>
      </c>
    </row>
    <row r="70" spans="3:22" x14ac:dyDescent="0.25">
      <c r="C70" s="54">
        <v>42793</v>
      </c>
      <c r="D70" s="55" t="s">
        <v>146</v>
      </c>
      <c r="E70" s="55" t="s">
        <v>147</v>
      </c>
      <c r="F70" s="56">
        <v>21</v>
      </c>
      <c r="G70" s="57">
        <v>1.55</v>
      </c>
      <c r="H70" s="57">
        <f t="shared" si="0"/>
        <v>32.550000000000004</v>
      </c>
      <c r="I70" s="54">
        <f t="shared" si="1"/>
        <v>42818</v>
      </c>
      <c r="J70" s="54">
        <v>42817</v>
      </c>
      <c r="K70" s="54" t="s">
        <v>148</v>
      </c>
      <c r="N70" s="54">
        <v>43191</v>
      </c>
      <c r="O70" s="55" t="s">
        <v>149</v>
      </c>
      <c r="P70" s="55" t="s">
        <v>150</v>
      </c>
      <c r="Q70" s="56">
        <v>21</v>
      </c>
      <c r="R70" s="57">
        <v>2.12</v>
      </c>
      <c r="S70" s="57">
        <v>44.52</v>
      </c>
      <c r="T70" s="54">
        <v>43216</v>
      </c>
      <c r="U70" s="54">
        <v>43214</v>
      </c>
      <c r="V70" s="54" t="s">
        <v>148</v>
      </c>
    </row>
    <row r="71" spans="3:22" x14ac:dyDescent="0.25">
      <c r="C71" s="54">
        <v>42794</v>
      </c>
      <c r="D71" s="55" t="s">
        <v>146</v>
      </c>
      <c r="E71" s="55" t="s">
        <v>147</v>
      </c>
      <c r="F71" s="56">
        <v>18</v>
      </c>
      <c r="G71" s="57">
        <v>1.55</v>
      </c>
      <c r="H71" s="57">
        <f t="shared" si="0"/>
        <v>27.900000000000002</v>
      </c>
      <c r="I71" s="54">
        <f t="shared" si="1"/>
        <v>42819</v>
      </c>
      <c r="J71" s="54">
        <v>42821</v>
      </c>
      <c r="K71" s="54" t="s">
        <v>148</v>
      </c>
      <c r="N71" s="54">
        <v>43192</v>
      </c>
      <c r="O71" s="55" t="s">
        <v>149</v>
      </c>
      <c r="P71" s="55" t="s">
        <v>150</v>
      </c>
      <c r="Q71" s="56">
        <v>20</v>
      </c>
      <c r="R71" s="57">
        <v>2.12</v>
      </c>
      <c r="S71" s="57">
        <v>42.400000000000006</v>
      </c>
      <c r="T71" s="54">
        <v>43217</v>
      </c>
      <c r="U71" s="54">
        <v>43217</v>
      </c>
      <c r="V71" s="54" t="s">
        <v>148</v>
      </c>
    </row>
    <row r="72" spans="3:22" x14ac:dyDescent="0.25">
      <c r="C72" s="54">
        <v>42795</v>
      </c>
      <c r="D72" s="55" t="s">
        <v>149</v>
      </c>
      <c r="E72" s="55" t="s">
        <v>150</v>
      </c>
      <c r="F72" s="56">
        <v>16</v>
      </c>
      <c r="G72" s="57">
        <v>2.12</v>
      </c>
      <c r="H72" s="57">
        <f t="shared" si="0"/>
        <v>33.92</v>
      </c>
      <c r="I72" s="54">
        <f t="shared" si="1"/>
        <v>42820</v>
      </c>
      <c r="J72" s="54">
        <v>42819</v>
      </c>
      <c r="K72" s="54" t="s">
        <v>148</v>
      </c>
      <c r="N72" s="54">
        <v>43197</v>
      </c>
      <c r="O72" s="55" t="s">
        <v>149</v>
      </c>
      <c r="P72" s="55" t="s">
        <v>150</v>
      </c>
      <c r="Q72" s="56">
        <v>17</v>
      </c>
      <c r="R72" s="57">
        <v>2.12</v>
      </c>
      <c r="S72" s="57">
        <v>36.04</v>
      </c>
      <c r="T72" s="54">
        <v>43222</v>
      </c>
      <c r="U72" s="54">
        <v>43221</v>
      </c>
      <c r="V72" s="54" t="s">
        <v>148</v>
      </c>
    </row>
    <row r="73" spans="3:22" x14ac:dyDescent="0.25">
      <c r="C73" s="54">
        <v>42798</v>
      </c>
      <c r="D73" s="55" t="s">
        <v>149</v>
      </c>
      <c r="E73" s="55" t="s">
        <v>150</v>
      </c>
      <c r="F73" s="56">
        <v>15</v>
      </c>
      <c r="G73" s="57">
        <v>2.12</v>
      </c>
      <c r="H73" s="57">
        <f t="shared" si="0"/>
        <v>31.8</v>
      </c>
      <c r="I73" s="54">
        <f t="shared" si="1"/>
        <v>42823</v>
      </c>
      <c r="J73" s="54">
        <v>42822</v>
      </c>
      <c r="K73" s="54" t="s">
        <v>148</v>
      </c>
      <c r="N73" s="54">
        <v>43200</v>
      </c>
      <c r="O73" s="55" t="s">
        <v>149</v>
      </c>
      <c r="P73" s="55" t="s">
        <v>150</v>
      </c>
      <c r="Q73" s="56">
        <v>24</v>
      </c>
      <c r="R73" s="57">
        <v>2.12</v>
      </c>
      <c r="S73" s="57">
        <v>50.88</v>
      </c>
      <c r="T73" s="54">
        <v>43225</v>
      </c>
      <c r="U73" s="54">
        <v>43225</v>
      </c>
      <c r="V73" s="54" t="s">
        <v>148</v>
      </c>
    </row>
    <row r="74" spans="3:22" x14ac:dyDescent="0.25">
      <c r="C74" s="54">
        <v>42799</v>
      </c>
      <c r="D74" s="55" t="s">
        <v>149</v>
      </c>
      <c r="E74" s="55" t="s">
        <v>150</v>
      </c>
      <c r="F74" s="56">
        <v>14</v>
      </c>
      <c r="G74" s="57">
        <v>2.12</v>
      </c>
      <c r="H74" s="57">
        <f t="shared" si="0"/>
        <v>29.68</v>
      </c>
      <c r="I74" s="54">
        <f t="shared" si="1"/>
        <v>42824</v>
      </c>
      <c r="J74" s="54">
        <v>42822</v>
      </c>
      <c r="K74" s="54" t="s">
        <v>148</v>
      </c>
      <c r="N74" s="54">
        <v>43212</v>
      </c>
      <c r="O74" s="55" t="s">
        <v>149</v>
      </c>
      <c r="P74" s="55" t="s">
        <v>150</v>
      </c>
      <c r="Q74" s="56">
        <v>15</v>
      </c>
      <c r="R74" s="57">
        <v>2.12</v>
      </c>
      <c r="S74" s="57">
        <v>31.8</v>
      </c>
      <c r="T74" s="54">
        <v>43237</v>
      </c>
      <c r="U74" s="54">
        <v>43236</v>
      </c>
      <c r="V74" s="54" t="s">
        <v>148</v>
      </c>
    </row>
    <row r="75" spans="3:22" x14ac:dyDescent="0.25">
      <c r="C75" s="54">
        <v>42800</v>
      </c>
      <c r="D75" s="55" t="s">
        <v>153</v>
      </c>
      <c r="E75" s="55" t="s">
        <v>147</v>
      </c>
      <c r="F75" s="56">
        <v>20</v>
      </c>
      <c r="G75" s="57">
        <v>1.0900000000000001</v>
      </c>
      <c r="H75" s="57">
        <f t="shared" si="0"/>
        <v>21.8</v>
      </c>
      <c r="I75" s="54">
        <f t="shared" si="1"/>
        <v>42825</v>
      </c>
      <c r="J75" s="54">
        <v>42825</v>
      </c>
      <c r="K75" s="54" t="s">
        <v>148</v>
      </c>
      <c r="N75" s="54">
        <v>43221</v>
      </c>
      <c r="O75" s="55" t="s">
        <v>149</v>
      </c>
      <c r="P75" s="55" t="s">
        <v>150</v>
      </c>
      <c r="Q75" s="56">
        <v>19</v>
      </c>
      <c r="R75" s="57">
        <v>2.12</v>
      </c>
      <c r="S75" s="57">
        <v>40.28</v>
      </c>
      <c r="T75" s="54">
        <v>43246</v>
      </c>
      <c r="U75" s="54">
        <v>43246</v>
      </c>
      <c r="V75" s="54" t="s">
        <v>148</v>
      </c>
    </row>
    <row r="76" spans="3:22" x14ac:dyDescent="0.25">
      <c r="C76" s="54">
        <v>42801</v>
      </c>
      <c r="D76" s="55" t="s">
        <v>152</v>
      </c>
      <c r="E76" s="55" t="s">
        <v>147</v>
      </c>
      <c r="F76" s="56">
        <v>15</v>
      </c>
      <c r="G76" s="57">
        <v>1.4</v>
      </c>
      <c r="H76" s="57">
        <f t="shared" si="0"/>
        <v>21</v>
      </c>
      <c r="I76" s="54">
        <f t="shared" si="1"/>
        <v>42826</v>
      </c>
      <c r="J76" s="54">
        <v>42826</v>
      </c>
      <c r="K76" s="54" t="s">
        <v>148</v>
      </c>
      <c r="N76" s="54">
        <v>43232</v>
      </c>
      <c r="O76" s="55" t="s">
        <v>149</v>
      </c>
      <c r="P76" s="55" t="s">
        <v>150</v>
      </c>
      <c r="Q76" s="56">
        <v>16</v>
      </c>
      <c r="R76" s="57">
        <v>2.12</v>
      </c>
      <c r="S76" s="57">
        <v>33.92</v>
      </c>
      <c r="T76" s="54">
        <v>43257</v>
      </c>
      <c r="U76" s="54">
        <v>43256</v>
      </c>
      <c r="V76" s="54" t="s">
        <v>148</v>
      </c>
    </row>
    <row r="77" spans="3:22" x14ac:dyDescent="0.25">
      <c r="C77" s="54">
        <v>42802</v>
      </c>
      <c r="D77" s="55" t="s">
        <v>146</v>
      </c>
      <c r="E77" s="55" t="s">
        <v>147</v>
      </c>
      <c r="F77" s="56">
        <v>26</v>
      </c>
      <c r="G77" s="57">
        <v>1.55</v>
      </c>
      <c r="H77" s="57">
        <f t="shared" si="0"/>
        <v>40.300000000000004</v>
      </c>
      <c r="I77" s="54">
        <f t="shared" si="1"/>
        <v>42827</v>
      </c>
      <c r="J77" s="54">
        <v>42827</v>
      </c>
      <c r="K77" s="54" t="s">
        <v>148</v>
      </c>
      <c r="N77" s="54">
        <v>43234</v>
      </c>
      <c r="O77" s="55" t="s">
        <v>149</v>
      </c>
      <c r="P77" s="55" t="s">
        <v>150</v>
      </c>
      <c r="Q77" s="56">
        <v>16</v>
      </c>
      <c r="R77" s="57">
        <v>2.12</v>
      </c>
      <c r="S77" s="57">
        <v>33.92</v>
      </c>
      <c r="T77" s="54">
        <v>43259</v>
      </c>
      <c r="U77" s="54">
        <v>43257</v>
      </c>
      <c r="V77" s="54" t="s">
        <v>148</v>
      </c>
    </row>
    <row r="78" spans="3:22" x14ac:dyDescent="0.25">
      <c r="C78" s="54">
        <v>42805</v>
      </c>
      <c r="D78" s="55" t="s">
        <v>149</v>
      </c>
      <c r="E78" s="55" t="s">
        <v>150</v>
      </c>
      <c r="F78" s="56">
        <v>14</v>
      </c>
      <c r="G78" s="57">
        <v>2.12</v>
      </c>
      <c r="H78" s="57">
        <f t="shared" si="0"/>
        <v>29.68</v>
      </c>
      <c r="I78" s="54">
        <f t="shared" si="1"/>
        <v>42830</v>
      </c>
      <c r="J78" s="54">
        <v>42829</v>
      </c>
      <c r="K78" s="54" t="s">
        <v>148</v>
      </c>
      <c r="N78" s="54">
        <v>43235</v>
      </c>
      <c r="O78" s="55" t="s">
        <v>149</v>
      </c>
      <c r="P78" s="55" t="s">
        <v>150</v>
      </c>
      <c r="Q78" s="56">
        <v>25</v>
      </c>
      <c r="R78" s="57">
        <v>2.12</v>
      </c>
      <c r="S78" s="57">
        <v>53</v>
      </c>
      <c r="T78" s="54">
        <v>43260</v>
      </c>
      <c r="U78" s="54">
        <v>43260</v>
      </c>
      <c r="V78" s="54" t="s">
        <v>148</v>
      </c>
    </row>
    <row r="79" spans="3:22" x14ac:dyDescent="0.25">
      <c r="C79" s="54">
        <v>42806</v>
      </c>
      <c r="D79" s="55" t="s">
        <v>153</v>
      </c>
      <c r="E79" s="55" t="s">
        <v>147</v>
      </c>
      <c r="F79" s="56">
        <v>12</v>
      </c>
      <c r="G79" s="57">
        <v>1.0900000000000001</v>
      </c>
      <c r="H79" s="57">
        <f t="shared" si="0"/>
        <v>13.080000000000002</v>
      </c>
      <c r="I79" s="54">
        <f t="shared" si="1"/>
        <v>42831</v>
      </c>
      <c r="J79" s="54">
        <v>42831</v>
      </c>
      <c r="K79" s="54" t="s">
        <v>148</v>
      </c>
      <c r="N79" s="54">
        <v>43240</v>
      </c>
      <c r="O79" s="55" t="s">
        <v>149</v>
      </c>
      <c r="P79" s="55" t="s">
        <v>150</v>
      </c>
      <c r="Q79" s="56">
        <v>18</v>
      </c>
      <c r="R79" s="57">
        <v>2.12</v>
      </c>
      <c r="S79" s="57">
        <v>38.160000000000004</v>
      </c>
      <c r="T79" s="54">
        <v>43265</v>
      </c>
      <c r="U79" s="54">
        <v>43264</v>
      </c>
      <c r="V79" s="54" t="s">
        <v>148</v>
      </c>
    </row>
    <row r="80" spans="3:22" x14ac:dyDescent="0.25">
      <c r="C80" s="54">
        <v>42807</v>
      </c>
      <c r="D80" s="55" t="s">
        <v>146</v>
      </c>
      <c r="E80" s="55" t="s">
        <v>147</v>
      </c>
      <c r="F80" s="56">
        <v>21</v>
      </c>
      <c r="G80" s="57">
        <v>1.55</v>
      </c>
      <c r="H80" s="57">
        <f t="shared" si="0"/>
        <v>32.550000000000004</v>
      </c>
      <c r="I80" s="54">
        <f t="shared" si="1"/>
        <v>42832</v>
      </c>
      <c r="J80" s="54">
        <v>42831</v>
      </c>
      <c r="K80" s="54" t="s">
        <v>148</v>
      </c>
      <c r="N80" s="54">
        <v>43257</v>
      </c>
      <c r="O80" s="55" t="s">
        <v>149</v>
      </c>
      <c r="P80" s="55" t="s">
        <v>150</v>
      </c>
      <c r="Q80" s="56">
        <v>16</v>
      </c>
      <c r="R80" s="57">
        <v>2.12</v>
      </c>
      <c r="S80" s="57">
        <v>33.92</v>
      </c>
      <c r="T80" s="54">
        <v>43282</v>
      </c>
      <c r="U80" s="54">
        <v>43281</v>
      </c>
      <c r="V80" s="54" t="s">
        <v>148</v>
      </c>
    </row>
    <row r="81" spans="3:22" x14ac:dyDescent="0.25">
      <c r="C81" s="54">
        <v>42808</v>
      </c>
      <c r="D81" s="55" t="s">
        <v>146</v>
      </c>
      <c r="E81" s="55" t="s">
        <v>147</v>
      </c>
      <c r="F81" s="56">
        <v>22</v>
      </c>
      <c r="G81" s="57">
        <v>1.55</v>
      </c>
      <c r="H81" s="57">
        <f t="shared" si="0"/>
        <v>34.1</v>
      </c>
      <c r="I81" s="54">
        <f t="shared" si="1"/>
        <v>42833</v>
      </c>
      <c r="J81" s="54">
        <v>42832</v>
      </c>
      <c r="K81" s="54" t="s">
        <v>148</v>
      </c>
      <c r="N81" s="54">
        <v>43260</v>
      </c>
      <c r="O81" s="55" t="s">
        <v>149</v>
      </c>
      <c r="P81" s="55" t="s">
        <v>150</v>
      </c>
      <c r="Q81" s="56">
        <v>18</v>
      </c>
      <c r="R81" s="57">
        <v>2.12</v>
      </c>
      <c r="S81" s="57">
        <v>38.160000000000004</v>
      </c>
      <c r="T81" s="54">
        <v>43285</v>
      </c>
      <c r="U81" s="54">
        <v>43283</v>
      </c>
      <c r="V81" s="54" t="s">
        <v>148</v>
      </c>
    </row>
    <row r="82" spans="3:22" x14ac:dyDescent="0.25">
      <c r="C82" s="54">
        <v>42809</v>
      </c>
      <c r="D82" s="55" t="s">
        <v>153</v>
      </c>
      <c r="E82" s="55" t="s">
        <v>147</v>
      </c>
      <c r="F82" s="56">
        <v>11</v>
      </c>
      <c r="G82" s="57">
        <v>1.0900000000000001</v>
      </c>
      <c r="H82" s="57">
        <f t="shared" si="0"/>
        <v>11.99</v>
      </c>
      <c r="I82" s="54">
        <f t="shared" si="1"/>
        <v>42834</v>
      </c>
      <c r="J82" s="54">
        <v>42832</v>
      </c>
      <c r="K82" s="54" t="s">
        <v>148</v>
      </c>
      <c r="N82" s="54">
        <v>43262</v>
      </c>
      <c r="O82" s="55" t="s">
        <v>149</v>
      </c>
      <c r="P82" s="55" t="s">
        <v>150</v>
      </c>
      <c r="Q82" s="56">
        <v>18</v>
      </c>
      <c r="R82" s="57">
        <v>2.12</v>
      </c>
      <c r="S82" s="57">
        <v>38.160000000000004</v>
      </c>
      <c r="T82" s="54">
        <v>43287</v>
      </c>
      <c r="U82" s="54">
        <v>43285</v>
      </c>
      <c r="V82" s="54" t="s">
        <v>148</v>
      </c>
    </row>
    <row r="83" spans="3:22" x14ac:dyDescent="0.25">
      <c r="C83" s="54">
        <v>42812</v>
      </c>
      <c r="D83" s="55" t="s">
        <v>154</v>
      </c>
      <c r="E83" s="55" t="s">
        <v>150</v>
      </c>
      <c r="F83" s="56">
        <v>14</v>
      </c>
      <c r="G83" s="57">
        <v>1.37</v>
      </c>
      <c r="H83" s="57">
        <f t="shared" si="0"/>
        <v>19.18</v>
      </c>
      <c r="I83" s="54">
        <f t="shared" si="1"/>
        <v>42837</v>
      </c>
      <c r="J83" s="54">
        <v>42837</v>
      </c>
      <c r="K83" s="54" t="s">
        <v>148</v>
      </c>
      <c r="N83" s="54">
        <v>43275</v>
      </c>
      <c r="O83" s="55" t="s">
        <v>149</v>
      </c>
      <c r="P83" s="55" t="s">
        <v>150</v>
      </c>
      <c r="Q83" s="56">
        <v>19</v>
      </c>
      <c r="R83" s="57">
        <v>2.12</v>
      </c>
      <c r="S83" s="57">
        <v>40.28</v>
      </c>
      <c r="T83" s="54">
        <v>43300</v>
      </c>
      <c r="U83" s="54">
        <v>43299</v>
      </c>
      <c r="V83" s="54" t="s">
        <v>148</v>
      </c>
    </row>
    <row r="84" spans="3:22" x14ac:dyDescent="0.25">
      <c r="C84" s="54">
        <v>42813</v>
      </c>
      <c r="D84" s="55" t="s">
        <v>149</v>
      </c>
      <c r="E84" s="55" t="s">
        <v>150</v>
      </c>
      <c r="F84" s="56">
        <v>7</v>
      </c>
      <c r="G84" s="57">
        <v>2.12</v>
      </c>
      <c r="H84" s="57">
        <f t="shared" si="0"/>
        <v>14.84</v>
      </c>
      <c r="I84" s="54">
        <f t="shared" si="1"/>
        <v>42838</v>
      </c>
      <c r="J84" s="54">
        <v>42836</v>
      </c>
      <c r="K84" s="54" t="s">
        <v>148</v>
      </c>
      <c r="N84" s="54">
        <v>43277</v>
      </c>
      <c r="O84" s="55" t="s">
        <v>149</v>
      </c>
      <c r="P84" s="55" t="s">
        <v>150</v>
      </c>
      <c r="Q84" s="56">
        <v>23</v>
      </c>
      <c r="R84" s="57">
        <v>2.12</v>
      </c>
      <c r="S84" s="57">
        <v>48.760000000000005</v>
      </c>
      <c r="T84" s="54">
        <v>43302</v>
      </c>
      <c r="U84" s="54">
        <v>43302</v>
      </c>
      <c r="V84" s="54" t="s">
        <v>148</v>
      </c>
    </row>
    <row r="85" spans="3:22" x14ac:dyDescent="0.25">
      <c r="C85" s="54">
        <v>42814</v>
      </c>
      <c r="D85" s="55" t="s">
        <v>151</v>
      </c>
      <c r="E85" s="55" t="s">
        <v>150</v>
      </c>
      <c r="F85" s="56">
        <v>20</v>
      </c>
      <c r="G85" s="57">
        <v>2.02</v>
      </c>
      <c r="H85" s="57">
        <f t="shared" si="0"/>
        <v>40.4</v>
      </c>
      <c r="I85" s="54">
        <f t="shared" si="1"/>
        <v>42839</v>
      </c>
      <c r="J85" s="54">
        <v>42839</v>
      </c>
      <c r="K85" s="54" t="s">
        <v>148</v>
      </c>
      <c r="N85" s="54">
        <v>43313</v>
      </c>
      <c r="O85" s="55" t="s">
        <v>149</v>
      </c>
      <c r="P85" s="55" t="s">
        <v>150</v>
      </c>
      <c r="Q85" s="56">
        <v>17</v>
      </c>
      <c r="R85" s="57">
        <v>2.12</v>
      </c>
      <c r="S85" s="57">
        <v>36.04</v>
      </c>
      <c r="T85" s="54">
        <v>43338</v>
      </c>
      <c r="U85" s="54">
        <v>43338</v>
      </c>
      <c r="V85" s="54" t="s">
        <v>148</v>
      </c>
    </row>
    <row r="86" spans="3:22" x14ac:dyDescent="0.25">
      <c r="C86" s="54">
        <v>42815</v>
      </c>
      <c r="D86" s="55" t="s">
        <v>146</v>
      </c>
      <c r="E86" s="55" t="s">
        <v>147</v>
      </c>
      <c r="F86" s="56">
        <v>21</v>
      </c>
      <c r="G86" s="57">
        <v>1.55</v>
      </c>
      <c r="H86" s="57">
        <f t="shared" si="0"/>
        <v>32.550000000000004</v>
      </c>
      <c r="I86" s="54">
        <f t="shared" si="1"/>
        <v>42840</v>
      </c>
      <c r="J86" s="54">
        <v>42839</v>
      </c>
      <c r="K86" s="54" t="s">
        <v>148</v>
      </c>
      <c r="N86" s="54">
        <v>43334</v>
      </c>
      <c r="O86" s="55" t="s">
        <v>149</v>
      </c>
      <c r="P86" s="55" t="s">
        <v>150</v>
      </c>
      <c r="Q86" s="56">
        <v>21</v>
      </c>
      <c r="R86" s="57">
        <v>2.12</v>
      </c>
      <c r="S86" s="57">
        <v>44.52</v>
      </c>
      <c r="T86" s="54">
        <v>43359</v>
      </c>
      <c r="U86" s="54">
        <v>43359</v>
      </c>
      <c r="V86" s="54" t="s">
        <v>148</v>
      </c>
    </row>
    <row r="87" spans="3:22" x14ac:dyDescent="0.25">
      <c r="C87" s="54">
        <v>42816</v>
      </c>
      <c r="D87" s="55" t="s">
        <v>153</v>
      </c>
      <c r="E87" s="55" t="s">
        <v>147</v>
      </c>
      <c r="F87" s="56">
        <v>18</v>
      </c>
      <c r="G87" s="57">
        <v>1.0900000000000001</v>
      </c>
      <c r="H87" s="57">
        <f t="shared" si="0"/>
        <v>19.62</v>
      </c>
      <c r="I87" s="54">
        <f t="shared" si="1"/>
        <v>42841</v>
      </c>
      <c r="J87" s="54">
        <v>42839</v>
      </c>
      <c r="K87" s="54" t="s">
        <v>148</v>
      </c>
      <c r="N87" s="54">
        <v>43345</v>
      </c>
      <c r="O87" s="55" t="s">
        <v>149</v>
      </c>
      <c r="P87" s="55" t="s">
        <v>150</v>
      </c>
      <c r="Q87" s="56">
        <v>22</v>
      </c>
      <c r="R87" s="57">
        <v>2.12</v>
      </c>
      <c r="S87" s="57">
        <v>46.64</v>
      </c>
      <c r="T87" s="54">
        <v>43370</v>
      </c>
      <c r="U87" s="54">
        <v>43368</v>
      </c>
      <c r="V87" s="54" t="s">
        <v>148</v>
      </c>
    </row>
    <row r="88" spans="3:22" x14ac:dyDescent="0.25">
      <c r="C88" s="54">
        <v>42819</v>
      </c>
      <c r="D88" s="55" t="s">
        <v>153</v>
      </c>
      <c r="E88" s="55" t="s">
        <v>147</v>
      </c>
      <c r="F88" s="56">
        <v>9</v>
      </c>
      <c r="G88" s="57">
        <v>1.0900000000000001</v>
      </c>
      <c r="H88" s="57">
        <f t="shared" si="0"/>
        <v>9.81</v>
      </c>
      <c r="I88" s="54">
        <f t="shared" si="1"/>
        <v>42844</v>
      </c>
      <c r="J88" s="54">
        <v>42844</v>
      </c>
      <c r="K88" s="54" t="s">
        <v>148</v>
      </c>
      <c r="N88" s="54">
        <v>43374</v>
      </c>
      <c r="O88" s="55" t="s">
        <v>149</v>
      </c>
      <c r="P88" s="55" t="s">
        <v>150</v>
      </c>
      <c r="Q88" s="56">
        <v>15</v>
      </c>
      <c r="R88" s="57">
        <v>2.12</v>
      </c>
      <c r="S88" s="57">
        <v>31.8</v>
      </c>
      <c r="T88" s="54">
        <v>43399</v>
      </c>
      <c r="U88" s="54">
        <v>43397</v>
      </c>
      <c r="V88" s="54" t="s">
        <v>148</v>
      </c>
    </row>
    <row r="89" spans="3:22" x14ac:dyDescent="0.25">
      <c r="C89" s="54">
        <v>42820</v>
      </c>
      <c r="D89" s="55" t="s">
        <v>151</v>
      </c>
      <c r="E89" s="55" t="s">
        <v>150</v>
      </c>
      <c r="F89" s="56">
        <v>26</v>
      </c>
      <c r="G89" s="57">
        <v>2.02</v>
      </c>
      <c r="H89" s="57">
        <f t="shared" si="0"/>
        <v>52.52</v>
      </c>
      <c r="I89" s="54">
        <f t="shared" si="1"/>
        <v>42845</v>
      </c>
      <c r="J89" s="54">
        <v>42843</v>
      </c>
      <c r="K89" s="54" t="s">
        <v>148</v>
      </c>
      <c r="N89" s="54">
        <v>43387</v>
      </c>
      <c r="O89" s="55" t="s">
        <v>149</v>
      </c>
      <c r="P89" s="55" t="s">
        <v>150</v>
      </c>
      <c r="Q89" s="56">
        <v>15</v>
      </c>
      <c r="R89" s="57">
        <v>2.12</v>
      </c>
      <c r="S89" s="57">
        <v>31.8</v>
      </c>
      <c r="T89" s="54">
        <v>43412</v>
      </c>
      <c r="U89" s="54">
        <v>43412</v>
      </c>
      <c r="V89" s="54" t="s">
        <v>148</v>
      </c>
    </row>
    <row r="90" spans="3:22" x14ac:dyDescent="0.25">
      <c r="C90" s="54">
        <v>42821</v>
      </c>
      <c r="D90" s="55" t="s">
        <v>149</v>
      </c>
      <c r="E90" s="55" t="s">
        <v>150</v>
      </c>
      <c r="F90" s="56">
        <v>25</v>
      </c>
      <c r="G90" s="57">
        <v>2.12</v>
      </c>
      <c r="H90" s="57">
        <f t="shared" si="0"/>
        <v>53</v>
      </c>
      <c r="I90" s="54">
        <f t="shared" si="1"/>
        <v>42846</v>
      </c>
      <c r="J90" s="54">
        <v>42846</v>
      </c>
      <c r="K90" s="54" t="s">
        <v>148</v>
      </c>
      <c r="N90" s="54">
        <v>43418</v>
      </c>
      <c r="O90" s="55" t="s">
        <v>149</v>
      </c>
      <c r="P90" s="55" t="s">
        <v>150</v>
      </c>
      <c r="Q90" s="56">
        <v>25</v>
      </c>
      <c r="R90" s="57">
        <v>2.12</v>
      </c>
      <c r="S90" s="57">
        <v>53</v>
      </c>
      <c r="T90" s="54">
        <v>43443</v>
      </c>
      <c r="U90" s="54">
        <v>43442</v>
      </c>
      <c r="V90" s="54" t="s">
        <v>148</v>
      </c>
    </row>
    <row r="91" spans="3:22" x14ac:dyDescent="0.25">
      <c r="C91" s="54">
        <v>42822</v>
      </c>
      <c r="D91" s="55" t="s">
        <v>146</v>
      </c>
      <c r="E91" s="55" t="s">
        <v>147</v>
      </c>
      <c r="F91" s="56">
        <v>12</v>
      </c>
      <c r="G91" s="57">
        <v>1.55</v>
      </c>
      <c r="H91" s="57">
        <f t="shared" si="0"/>
        <v>18.600000000000001</v>
      </c>
      <c r="I91" s="54">
        <f t="shared" si="1"/>
        <v>42847</v>
      </c>
      <c r="J91" s="54">
        <v>42846</v>
      </c>
      <c r="K91" s="54" t="s">
        <v>148</v>
      </c>
      <c r="N91" s="54">
        <v>43422</v>
      </c>
      <c r="O91" s="55" t="s">
        <v>149</v>
      </c>
      <c r="P91" s="55" t="s">
        <v>150</v>
      </c>
      <c r="Q91" s="56">
        <v>17</v>
      </c>
      <c r="R91" s="57">
        <v>2.12</v>
      </c>
      <c r="S91" s="57">
        <v>36.04</v>
      </c>
      <c r="T91" s="54">
        <v>43447</v>
      </c>
      <c r="U91" s="54">
        <v>43447</v>
      </c>
      <c r="V91" s="54" t="s">
        <v>148</v>
      </c>
    </row>
    <row r="92" spans="3:22" x14ac:dyDescent="0.25">
      <c r="C92" s="54">
        <v>42823</v>
      </c>
      <c r="D92" s="55" t="s">
        <v>146</v>
      </c>
      <c r="E92" s="55" t="s">
        <v>147</v>
      </c>
      <c r="F92" s="56">
        <v>8</v>
      </c>
      <c r="G92" s="57">
        <v>1.55</v>
      </c>
      <c r="H92" s="57">
        <f t="shared" si="0"/>
        <v>12.4</v>
      </c>
      <c r="I92" s="54">
        <f t="shared" si="1"/>
        <v>42848</v>
      </c>
      <c r="J92" s="54">
        <v>42846</v>
      </c>
      <c r="K92" s="54" t="s">
        <v>148</v>
      </c>
      <c r="N92" s="54">
        <v>43435</v>
      </c>
      <c r="O92" s="55" t="s">
        <v>149</v>
      </c>
      <c r="P92" s="55" t="s">
        <v>150</v>
      </c>
      <c r="Q92" s="56">
        <v>25</v>
      </c>
      <c r="R92" s="57">
        <v>2.12</v>
      </c>
      <c r="S92" s="57">
        <v>53</v>
      </c>
      <c r="T92" s="54">
        <v>43460</v>
      </c>
      <c r="U92" s="54">
        <v>43458</v>
      </c>
      <c r="V92" s="54" t="s">
        <v>148</v>
      </c>
    </row>
    <row r="93" spans="3:22" x14ac:dyDescent="0.25">
      <c r="C93" s="54">
        <v>42826</v>
      </c>
      <c r="D93" s="55" t="s">
        <v>154</v>
      </c>
      <c r="E93" s="55" t="s">
        <v>150</v>
      </c>
      <c r="F93" s="56">
        <v>25</v>
      </c>
      <c r="G93" s="57">
        <v>1.37</v>
      </c>
      <c r="H93" s="57">
        <f t="shared" ref="H93:H156" si="2">F93*G93</f>
        <v>34.25</v>
      </c>
      <c r="I93" s="54">
        <f t="shared" si="1"/>
        <v>42851</v>
      </c>
      <c r="J93" s="54">
        <v>42852</v>
      </c>
      <c r="K93" s="54" t="s">
        <v>148</v>
      </c>
      <c r="N93" s="54">
        <v>43438</v>
      </c>
      <c r="O93" s="55" t="s">
        <v>149</v>
      </c>
      <c r="P93" s="55" t="s">
        <v>150</v>
      </c>
      <c r="Q93" s="56">
        <v>16</v>
      </c>
      <c r="R93" s="57">
        <v>2.12</v>
      </c>
      <c r="S93" s="57">
        <v>33.92</v>
      </c>
      <c r="T93" s="54">
        <v>43463</v>
      </c>
      <c r="U93" s="54">
        <v>43462</v>
      </c>
      <c r="V93" s="54" t="s">
        <v>148</v>
      </c>
    </row>
    <row r="94" spans="3:22" x14ac:dyDescent="0.25">
      <c r="C94" s="54">
        <v>42827</v>
      </c>
      <c r="D94" s="55" t="s">
        <v>146</v>
      </c>
      <c r="E94" s="55" t="s">
        <v>147</v>
      </c>
      <c r="F94" s="56">
        <v>10</v>
      </c>
      <c r="G94" s="57">
        <v>1.55</v>
      </c>
      <c r="H94" s="57">
        <f t="shared" si="2"/>
        <v>15.5</v>
      </c>
      <c r="I94" s="54">
        <f t="shared" ref="I94:I157" si="3">+C94+25</f>
        <v>42852</v>
      </c>
      <c r="J94" s="54">
        <v>42852</v>
      </c>
      <c r="K94" s="54" t="s">
        <v>148</v>
      </c>
      <c r="N94" s="54">
        <v>43451</v>
      </c>
      <c r="O94" s="55" t="s">
        <v>149</v>
      </c>
      <c r="P94" s="55" t="s">
        <v>150</v>
      </c>
      <c r="Q94" s="56">
        <v>21</v>
      </c>
      <c r="R94" s="57">
        <v>2.12</v>
      </c>
      <c r="S94" s="57">
        <v>44.52</v>
      </c>
      <c r="T94" s="54">
        <v>43476</v>
      </c>
      <c r="U94" s="54">
        <v>43475</v>
      </c>
      <c r="V94" s="54" t="s">
        <v>148</v>
      </c>
    </row>
    <row r="95" spans="3:22" x14ac:dyDescent="0.25">
      <c r="C95" s="54">
        <v>42828</v>
      </c>
      <c r="D95" s="55" t="s">
        <v>146</v>
      </c>
      <c r="E95" s="55" t="s">
        <v>147</v>
      </c>
      <c r="F95" s="56">
        <v>17</v>
      </c>
      <c r="G95" s="57">
        <v>1.55</v>
      </c>
      <c r="H95" s="57">
        <f t="shared" si="2"/>
        <v>26.35</v>
      </c>
      <c r="I95" s="54">
        <f t="shared" si="3"/>
        <v>42853</v>
      </c>
      <c r="J95" s="54">
        <v>42852</v>
      </c>
      <c r="K95" s="54" t="s">
        <v>148</v>
      </c>
      <c r="N95" s="54">
        <v>43464</v>
      </c>
      <c r="O95" s="55" t="s">
        <v>149</v>
      </c>
      <c r="P95" s="55" t="s">
        <v>150</v>
      </c>
      <c r="Q95" s="56">
        <v>18</v>
      </c>
      <c r="R95" s="57">
        <v>2.12</v>
      </c>
      <c r="S95" s="57">
        <v>38.160000000000004</v>
      </c>
      <c r="T95" s="54">
        <v>43489</v>
      </c>
      <c r="U95" s="54">
        <v>43489</v>
      </c>
      <c r="V95" s="54" t="s">
        <v>148</v>
      </c>
    </row>
    <row r="96" spans="3:22" x14ac:dyDescent="0.25">
      <c r="C96" s="54">
        <v>42829</v>
      </c>
      <c r="D96" s="55" t="s">
        <v>152</v>
      </c>
      <c r="E96" s="55" t="s">
        <v>147</v>
      </c>
      <c r="F96" s="56">
        <v>25</v>
      </c>
      <c r="G96" s="57">
        <v>1.4</v>
      </c>
      <c r="H96" s="57">
        <f t="shared" si="2"/>
        <v>35</v>
      </c>
      <c r="I96" s="54">
        <f t="shared" si="3"/>
        <v>42854</v>
      </c>
      <c r="J96" s="54">
        <v>42853</v>
      </c>
      <c r="K96" s="54" t="s">
        <v>148</v>
      </c>
      <c r="N96" s="54">
        <v>43472</v>
      </c>
      <c r="O96" s="55" t="s">
        <v>149</v>
      </c>
      <c r="P96" s="55" t="s">
        <v>150</v>
      </c>
      <c r="Q96" s="56">
        <v>19</v>
      </c>
      <c r="R96" s="57">
        <v>2.35</v>
      </c>
      <c r="S96" s="57">
        <v>44.65</v>
      </c>
      <c r="T96" s="54">
        <v>43497</v>
      </c>
      <c r="U96" s="54">
        <v>43495</v>
      </c>
      <c r="V96" s="54" t="s">
        <v>148</v>
      </c>
    </row>
    <row r="97" spans="3:22" x14ac:dyDescent="0.25">
      <c r="C97" s="54">
        <v>42830</v>
      </c>
      <c r="D97" s="55" t="s">
        <v>146</v>
      </c>
      <c r="E97" s="55" t="s">
        <v>147</v>
      </c>
      <c r="F97" s="56">
        <v>26</v>
      </c>
      <c r="G97" s="57">
        <v>1.55</v>
      </c>
      <c r="H97" s="57">
        <f t="shared" si="2"/>
        <v>40.300000000000004</v>
      </c>
      <c r="I97" s="54">
        <f t="shared" si="3"/>
        <v>42855</v>
      </c>
      <c r="J97" s="54">
        <v>42853</v>
      </c>
      <c r="K97" s="54" t="s">
        <v>148</v>
      </c>
      <c r="N97" s="54">
        <v>43480</v>
      </c>
      <c r="O97" s="55" t="s">
        <v>149</v>
      </c>
      <c r="P97" s="55" t="s">
        <v>150</v>
      </c>
      <c r="Q97" s="56">
        <v>21</v>
      </c>
      <c r="R97" s="57">
        <v>2.35</v>
      </c>
      <c r="S97" s="57">
        <v>49.35</v>
      </c>
      <c r="T97" s="54">
        <v>43505</v>
      </c>
      <c r="U97" s="54">
        <v>43504</v>
      </c>
      <c r="V97" s="54" t="s">
        <v>148</v>
      </c>
    </row>
    <row r="98" spans="3:22" x14ac:dyDescent="0.25">
      <c r="C98" s="54">
        <v>42833</v>
      </c>
      <c r="D98" s="55" t="s">
        <v>146</v>
      </c>
      <c r="E98" s="55" t="s">
        <v>147</v>
      </c>
      <c r="F98" s="56">
        <v>22</v>
      </c>
      <c r="G98" s="57">
        <v>1.55</v>
      </c>
      <c r="H98" s="57">
        <f t="shared" si="2"/>
        <v>34.1</v>
      </c>
      <c r="I98" s="54">
        <f t="shared" si="3"/>
        <v>42858</v>
      </c>
      <c r="J98" s="54">
        <v>42858</v>
      </c>
      <c r="K98" s="54" t="s">
        <v>148</v>
      </c>
      <c r="N98" s="54">
        <v>43492</v>
      </c>
      <c r="O98" s="55" t="s">
        <v>149</v>
      </c>
      <c r="P98" s="55" t="s">
        <v>150</v>
      </c>
      <c r="Q98" s="56">
        <v>19</v>
      </c>
      <c r="R98" s="57">
        <v>2.35</v>
      </c>
      <c r="S98" s="57">
        <v>44.65</v>
      </c>
      <c r="T98" s="54">
        <v>43517</v>
      </c>
      <c r="U98" s="54">
        <v>43515</v>
      </c>
      <c r="V98" s="54" t="s">
        <v>148</v>
      </c>
    </row>
    <row r="99" spans="3:22" x14ac:dyDescent="0.25">
      <c r="C99" s="54">
        <v>42834</v>
      </c>
      <c r="D99" s="55" t="s">
        <v>152</v>
      </c>
      <c r="E99" s="55" t="s">
        <v>147</v>
      </c>
      <c r="F99" s="56">
        <v>9</v>
      </c>
      <c r="G99" s="57">
        <v>1.4</v>
      </c>
      <c r="H99" s="57">
        <f t="shared" si="2"/>
        <v>12.6</v>
      </c>
      <c r="I99" s="54">
        <f t="shared" si="3"/>
        <v>42859</v>
      </c>
      <c r="J99" s="54">
        <v>42858</v>
      </c>
      <c r="K99" s="54" t="s">
        <v>148</v>
      </c>
      <c r="N99" s="54">
        <v>43498</v>
      </c>
      <c r="O99" s="55" t="s">
        <v>149</v>
      </c>
      <c r="P99" s="55" t="s">
        <v>150</v>
      </c>
      <c r="Q99" s="56">
        <v>16</v>
      </c>
      <c r="R99" s="57">
        <v>2.35</v>
      </c>
      <c r="S99" s="57">
        <v>37.6</v>
      </c>
      <c r="T99" s="54">
        <v>43523</v>
      </c>
      <c r="U99" s="54">
        <v>43522</v>
      </c>
      <c r="V99" s="54" t="s">
        <v>148</v>
      </c>
    </row>
    <row r="100" spans="3:22" x14ac:dyDescent="0.25">
      <c r="C100" s="54">
        <v>42835</v>
      </c>
      <c r="D100" s="55" t="s">
        <v>146</v>
      </c>
      <c r="E100" s="55" t="s">
        <v>147</v>
      </c>
      <c r="F100" s="56">
        <v>11</v>
      </c>
      <c r="G100" s="57">
        <v>1.55</v>
      </c>
      <c r="H100" s="57">
        <f t="shared" si="2"/>
        <v>17.05</v>
      </c>
      <c r="I100" s="54">
        <f t="shared" si="3"/>
        <v>42860</v>
      </c>
      <c r="J100" s="54">
        <v>42858</v>
      </c>
      <c r="K100" s="54" t="s">
        <v>148</v>
      </c>
      <c r="N100" s="54">
        <v>43513</v>
      </c>
      <c r="O100" s="55" t="s">
        <v>149</v>
      </c>
      <c r="P100" s="55" t="s">
        <v>150</v>
      </c>
      <c r="Q100" s="56">
        <v>20</v>
      </c>
      <c r="R100" s="57">
        <v>2.35</v>
      </c>
      <c r="S100" s="57">
        <v>47</v>
      </c>
      <c r="T100" s="54">
        <v>43538</v>
      </c>
      <c r="U100" s="54">
        <v>43536</v>
      </c>
      <c r="V100" s="54" t="s">
        <v>148</v>
      </c>
    </row>
    <row r="101" spans="3:22" x14ac:dyDescent="0.25">
      <c r="C101" s="54">
        <v>42836</v>
      </c>
      <c r="D101" s="55" t="s">
        <v>149</v>
      </c>
      <c r="E101" s="55" t="s">
        <v>150</v>
      </c>
      <c r="F101" s="56">
        <v>23</v>
      </c>
      <c r="G101" s="57">
        <v>2.12</v>
      </c>
      <c r="H101" s="57">
        <f t="shared" si="2"/>
        <v>48.760000000000005</v>
      </c>
      <c r="I101" s="54">
        <f t="shared" si="3"/>
        <v>42861</v>
      </c>
      <c r="J101" s="54">
        <v>42861</v>
      </c>
      <c r="K101" s="54" t="s">
        <v>148</v>
      </c>
      <c r="N101" s="54">
        <v>43540</v>
      </c>
      <c r="O101" s="55" t="s">
        <v>149</v>
      </c>
      <c r="P101" s="55" t="s">
        <v>150</v>
      </c>
      <c r="Q101" s="56">
        <v>20</v>
      </c>
      <c r="R101" s="57">
        <v>2.35</v>
      </c>
      <c r="S101" s="57">
        <v>47</v>
      </c>
      <c r="T101" s="54">
        <v>43565</v>
      </c>
      <c r="U101" s="54">
        <v>43565</v>
      </c>
      <c r="V101" s="54" t="s">
        <v>148</v>
      </c>
    </row>
    <row r="102" spans="3:22" x14ac:dyDescent="0.25">
      <c r="C102" s="54">
        <v>42837</v>
      </c>
      <c r="D102" s="55" t="s">
        <v>149</v>
      </c>
      <c r="E102" s="55" t="s">
        <v>150</v>
      </c>
      <c r="F102" s="56">
        <v>7</v>
      </c>
      <c r="G102" s="57">
        <v>2.12</v>
      </c>
      <c r="H102" s="57">
        <f t="shared" si="2"/>
        <v>14.84</v>
      </c>
      <c r="I102" s="54">
        <f t="shared" si="3"/>
        <v>42862</v>
      </c>
      <c r="J102" s="54">
        <v>42862</v>
      </c>
      <c r="K102" s="54" t="s">
        <v>148</v>
      </c>
      <c r="N102" s="54">
        <v>43543</v>
      </c>
      <c r="O102" s="55" t="s">
        <v>149</v>
      </c>
      <c r="P102" s="55" t="s">
        <v>150</v>
      </c>
      <c r="Q102" s="56">
        <v>26</v>
      </c>
      <c r="R102" s="57">
        <v>2.35</v>
      </c>
      <c r="S102" s="57">
        <v>61.1</v>
      </c>
      <c r="T102" s="54">
        <v>43568</v>
      </c>
      <c r="U102" s="54">
        <v>43567</v>
      </c>
      <c r="V102" s="54" t="s">
        <v>148</v>
      </c>
    </row>
    <row r="103" spans="3:22" x14ac:dyDescent="0.25">
      <c r="C103" s="54">
        <v>42840</v>
      </c>
      <c r="D103" s="55" t="s">
        <v>146</v>
      </c>
      <c r="E103" s="55" t="s">
        <v>147</v>
      </c>
      <c r="F103" s="56">
        <v>22</v>
      </c>
      <c r="G103" s="57">
        <v>1.55</v>
      </c>
      <c r="H103" s="57">
        <f t="shared" si="2"/>
        <v>34.1</v>
      </c>
      <c r="I103" s="54">
        <f t="shared" si="3"/>
        <v>42865</v>
      </c>
      <c r="J103" s="54">
        <v>42865</v>
      </c>
      <c r="K103" s="54" t="s">
        <v>148</v>
      </c>
      <c r="N103" s="54">
        <v>43544</v>
      </c>
      <c r="O103" s="55" t="s">
        <v>149</v>
      </c>
      <c r="P103" s="55" t="s">
        <v>150</v>
      </c>
      <c r="Q103" s="56">
        <v>24</v>
      </c>
      <c r="R103" s="57">
        <v>2.35</v>
      </c>
      <c r="S103" s="57">
        <v>56.400000000000006</v>
      </c>
      <c r="T103" s="54">
        <v>43569</v>
      </c>
      <c r="U103" s="54">
        <v>43567</v>
      </c>
      <c r="V103" s="54" t="s">
        <v>148</v>
      </c>
    </row>
    <row r="104" spans="3:22" x14ac:dyDescent="0.25">
      <c r="C104" s="54">
        <v>42841</v>
      </c>
      <c r="D104" s="55" t="s">
        <v>151</v>
      </c>
      <c r="E104" s="55" t="s">
        <v>150</v>
      </c>
      <c r="F104" s="56">
        <v>20</v>
      </c>
      <c r="G104" s="57">
        <v>2.02</v>
      </c>
      <c r="H104" s="57">
        <f t="shared" si="2"/>
        <v>40.4</v>
      </c>
      <c r="I104" s="54">
        <f t="shared" si="3"/>
        <v>42866</v>
      </c>
      <c r="J104" s="54">
        <v>42865</v>
      </c>
      <c r="K104" s="54" t="s">
        <v>148</v>
      </c>
      <c r="N104" s="54">
        <v>43564</v>
      </c>
      <c r="O104" s="55" t="s">
        <v>149</v>
      </c>
      <c r="P104" s="55" t="s">
        <v>150</v>
      </c>
      <c r="Q104" s="56">
        <v>15</v>
      </c>
      <c r="R104" s="57">
        <v>2.35</v>
      </c>
      <c r="S104" s="57">
        <v>35.25</v>
      </c>
      <c r="T104" s="54">
        <v>43589</v>
      </c>
      <c r="U104" s="54">
        <v>43588</v>
      </c>
      <c r="V104" s="54" t="s">
        <v>148</v>
      </c>
    </row>
    <row r="105" spans="3:22" x14ac:dyDescent="0.25">
      <c r="C105" s="54">
        <v>42842</v>
      </c>
      <c r="D105" s="55" t="s">
        <v>149</v>
      </c>
      <c r="E105" s="55" t="s">
        <v>150</v>
      </c>
      <c r="F105" s="56">
        <v>17</v>
      </c>
      <c r="G105" s="57">
        <v>2.12</v>
      </c>
      <c r="H105" s="57">
        <f t="shared" si="2"/>
        <v>36.04</v>
      </c>
      <c r="I105" s="54">
        <f t="shared" si="3"/>
        <v>42867</v>
      </c>
      <c r="J105" s="54">
        <v>42865</v>
      </c>
      <c r="K105" s="54" t="s">
        <v>148</v>
      </c>
      <c r="N105" s="54">
        <v>43571</v>
      </c>
      <c r="O105" s="55" t="s">
        <v>149</v>
      </c>
      <c r="P105" s="55" t="s">
        <v>150</v>
      </c>
      <c r="Q105" s="56">
        <v>17</v>
      </c>
      <c r="R105" s="57">
        <v>2.35</v>
      </c>
      <c r="S105" s="57">
        <v>39.950000000000003</v>
      </c>
      <c r="T105" s="54">
        <v>43596</v>
      </c>
      <c r="U105" s="54">
        <v>43596</v>
      </c>
      <c r="V105" s="54" t="s">
        <v>148</v>
      </c>
    </row>
    <row r="106" spans="3:22" x14ac:dyDescent="0.25">
      <c r="C106" s="54">
        <v>42843</v>
      </c>
      <c r="D106" s="55" t="s">
        <v>149</v>
      </c>
      <c r="E106" s="55" t="s">
        <v>150</v>
      </c>
      <c r="F106" s="56">
        <v>10</v>
      </c>
      <c r="G106" s="57">
        <v>2.12</v>
      </c>
      <c r="H106" s="57">
        <f t="shared" si="2"/>
        <v>21.200000000000003</v>
      </c>
      <c r="I106" s="54">
        <f t="shared" si="3"/>
        <v>42868</v>
      </c>
      <c r="J106" s="54">
        <v>42868</v>
      </c>
      <c r="K106" s="54" t="s">
        <v>148</v>
      </c>
      <c r="N106" s="54">
        <v>43592</v>
      </c>
      <c r="O106" s="55" t="s">
        <v>149</v>
      </c>
      <c r="P106" s="55" t="s">
        <v>150</v>
      </c>
      <c r="Q106" s="56">
        <v>23</v>
      </c>
      <c r="R106" s="57">
        <v>2.35</v>
      </c>
      <c r="S106" s="57">
        <v>54.050000000000004</v>
      </c>
      <c r="T106" s="54">
        <v>43617</v>
      </c>
      <c r="U106" s="54">
        <v>43616</v>
      </c>
      <c r="V106" s="54" t="s">
        <v>148</v>
      </c>
    </row>
    <row r="107" spans="3:22" x14ac:dyDescent="0.25">
      <c r="C107" s="54">
        <v>42844</v>
      </c>
      <c r="D107" s="55" t="s">
        <v>146</v>
      </c>
      <c r="E107" s="55" t="s">
        <v>147</v>
      </c>
      <c r="F107" s="56">
        <v>21</v>
      </c>
      <c r="G107" s="57">
        <v>1.55</v>
      </c>
      <c r="H107" s="57">
        <f t="shared" si="2"/>
        <v>32.550000000000004</v>
      </c>
      <c r="I107" s="54">
        <f t="shared" si="3"/>
        <v>42869</v>
      </c>
      <c r="J107" s="54">
        <v>42870</v>
      </c>
      <c r="K107" s="54" t="s">
        <v>148</v>
      </c>
      <c r="N107" s="54">
        <v>43645</v>
      </c>
      <c r="O107" s="55" t="s">
        <v>149</v>
      </c>
      <c r="P107" s="55" t="s">
        <v>150</v>
      </c>
      <c r="Q107" s="56">
        <v>19</v>
      </c>
      <c r="R107" s="57">
        <v>2.35</v>
      </c>
      <c r="S107" s="57">
        <v>44.65</v>
      </c>
      <c r="T107" s="54">
        <v>43670</v>
      </c>
      <c r="U107" s="54"/>
      <c r="V107" s="54" t="s">
        <v>155</v>
      </c>
    </row>
    <row r="108" spans="3:22" x14ac:dyDescent="0.25">
      <c r="C108" s="54">
        <v>42847</v>
      </c>
      <c r="D108" s="55" t="s">
        <v>151</v>
      </c>
      <c r="E108" s="55" t="s">
        <v>150</v>
      </c>
      <c r="F108" s="56">
        <v>17</v>
      </c>
      <c r="G108" s="57">
        <v>2.02</v>
      </c>
      <c r="H108" s="57">
        <f t="shared" si="2"/>
        <v>34.340000000000003</v>
      </c>
      <c r="I108" s="54">
        <f t="shared" si="3"/>
        <v>42872</v>
      </c>
      <c r="J108" s="54">
        <v>42871</v>
      </c>
      <c r="K108" s="54" t="s">
        <v>148</v>
      </c>
      <c r="N108" s="54">
        <v>43648</v>
      </c>
      <c r="O108" s="55" t="s">
        <v>149</v>
      </c>
      <c r="P108" s="55" t="s">
        <v>150</v>
      </c>
      <c r="Q108" s="56">
        <v>18</v>
      </c>
      <c r="R108" s="57">
        <v>2.35</v>
      </c>
      <c r="S108" s="57">
        <v>42.300000000000004</v>
      </c>
      <c r="T108" s="54">
        <v>43673</v>
      </c>
      <c r="U108" s="54"/>
      <c r="V108" s="54" t="s">
        <v>155</v>
      </c>
    </row>
    <row r="109" spans="3:22" x14ac:dyDescent="0.25">
      <c r="C109" s="54">
        <v>42848</v>
      </c>
      <c r="D109" s="55" t="s">
        <v>151</v>
      </c>
      <c r="E109" s="55" t="s">
        <v>150</v>
      </c>
      <c r="F109" s="56">
        <v>18</v>
      </c>
      <c r="G109" s="57">
        <v>2.02</v>
      </c>
      <c r="H109" s="57">
        <f t="shared" si="2"/>
        <v>36.36</v>
      </c>
      <c r="I109" s="54">
        <f t="shared" si="3"/>
        <v>42873</v>
      </c>
      <c r="J109" s="54">
        <v>42872</v>
      </c>
      <c r="K109" s="54" t="s">
        <v>148</v>
      </c>
      <c r="N109" s="54">
        <v>43661</v>
      </c>
      <c r="O109" s="55" t="s">
        <v>149</v>
      </c>
      <c r="P109" s="55" t="s">
        <v>150</v>
      </c>
      <c r="Q109" s="56">
        <v>16</v>
      </c>
      <c r="R109" s="57">
        <v>2.35</v>
      </c>
      <c r="S109" s="57">
        <v>37.6</v>
      </c>
      <c r="T109" s="54">
        <v>43686</v>
      </c>
      <c r="U109" s="54"/>
      <c r="V109" s="54" t="s">
        <v>155</v>
      </c>
    </row>
    <row r="110" spans="3:22" x14ac:dyDescent="0.25">
      <c r="C110" s="54">
        <v>42849</v>
      </c>
      <c r="D110" s="55" t="s">
        <v>153</v>
      </c>
      <c r="E110" s="55" t="s">
        <v>147</v>
      </c>
      <c r="F110" s="56">
        <v>15</v>
      </c>
      <c r="G110" s="57">
        <v>1.0900000000000001</v>
      </c>
      <c r="H110" s="57">
        <f t="shared" si="2"/>
        <v>16.350000000000001</v>
      </c>
      <c r="I110" s="54">
        <f t="shared" si="3"/>
        <v>42874</v>
      </c>
      <c r="J110" s="54">
        <v>42872</v>
      </c>
      <c r="K110" s="54" t="s">
        <v>148</v>
      </c>
      <c r="N110" s="54">
        <v>43666</v>
      </c>
      <c r="O110" s="55" t="s">
        <v>149</v>
      </c>
      <c r="P110" s="55" t="s">
        <v>150</v>
      </c>
      <c r="Q110" s="56">
        <v>21</v>
      </c>
      <c r="R110" s="57">
        <v>2.35</v>
      </c>
      <c r="S110" s="57">
        <v>49.35</v>
      </c>
      <c r="T110" s="54">
        <v>43691</v>
      </c>
      <c r="U110" s="54"/>
      <c r="V110" s="54" t="s">
        <v>155</v>
      </c>
    </row>
    <row r="111" spans="3:22" x14ac:dyDescent="0.25">
      <c r="C111" s="54">
        <v>42850</v>
      </c>
      <c r="D111" s="55" t="s">
        <v>151</v>
      </c>
      <c r="E111" s="55" t="s">
        <v>150</v>
      </c>
      <c r="F111" s="56">
        <v>12</v>
      </c>
      <c r="G111" s="57">
        <v>2.02</v>
      </c>
      <c r="H111" s="57">
        <f t="shared" si="2"/>
        <v>24.240000000000002</v>
      </c>
      <c r="I111" s="54">
        <f t="shared" si="3"/>
        <v>42875</v>
      </c>
      <c r="J111" s="54">
        <v>42875</v>
      </c>
      <c r="K111" s="54" t="s">
        <v>148</v>
      </c>
    </row>
    <row r="112" spans="3:22" x14ac:dyDescent="0.25">
      <c r="C112" s="54">
        <v>42851</v>
      </c>
      <c r="D112" s="55" t="s">
        <v>149</v>
      </c>
      <c r="E112" s="55" t="s">
        <v>150</v>
      </c>
      <c r="F112" s="56">
        <v>13</v>
      </c>
      <c r="G112" s="57">
        <v>2.12</v>
      </c>
      <c r="H112" s="57">
        <f t="shared" si="2"/>
        <v>27.560000000000002</v>
      </c>
      <c r="I112" s="54">
        <f t="shared" si="3"/>
        <v>42876</v>
      </c>
      <c r="J112" s="54">
        <v>42874</v>
      </c>
      <c r="K112" s="54" t="s">
        <v>148</v>
      </c>
    </row>
    <row r="113" spans="3:11" x14ac:dyDescent="0.25">
      <c r="C113" s="54">
        <v>42854</v>
      </c>
      <c r="D113" s="55" t="s">
        <v>146</v>
      </c>
      <c r="E113" s="55" t="s">
        <v>147</v>
      </c>
      <c r="F113" s="56">
        <v>24</v>
      </c>
      <c r="G113" s="57">
        <v>1.55</v>
      </c>
      <c r="H113" s="57">
        <f t="shared" si="2"/>
        <v>37.200000000000003</v>
      </c>
      <c r="I113" s="54">
        <f t="shared" si="3"/>
        <v>42879</v>
      </c>
      <c r="J113" s="54">
        <v>42879</v>
      </c>
      <c r="K113" s="54" t="s">
        <v>148</v>
      </c>
    </row>
    <row r="114" spans="3:11" x14ac:dyDescent="0.25">
      <c r="C114" s="54">
        <v>42855</v>
      </c>
      <c r="D114" s="55" t="s">
        <v>151</v>
      </c>
      <c r="E114" s="55" t="s">
        <v>150</v>
      </c>
      <c r="F114" s="56">
        <v>25</v>
      </c>
      <c r="G114" s="57">
        <v>2.02</v>
      </c>
      <c r="H114" s="57">
        <f t="shared" si="2"/>
        <v>50.5</v>
      </c>
      <c r="I114" s="54">
        <f t="shared" si="3"/>
        <v>42880</v>
      </c>
      <c r="J114" s="54">
        <v>42879</v>
      </c>
      <c r="K114" s="54" t="s">
        <v>148</v>
      </c>
    </row>
    <row r="115" spans="3:11" x14ac:dyDescent="0.25">
      <c r="C115" s="54">
        <v>42856</v>
      </c>
      <c r="D115" s="55" t="s">
        <v>146</v>
      </c>
      <c r="E115" s="55" t="s">
        <v>147</v>
      </c>
      <c r="F115" s="56">
        <v>18</v>
      </c>
      <c r="G115" s="57">
        <v>1.55</v>
      </c>
      <c r="H115" s="57">
        <f t="shared" si="2"/>
        <v>27.900000000000002</v>
      </c>
      <c r="I115" s="54">
        <f t="shared" si="3"/>
        <v>42881</v>
      </c>
      <c r="J115" s="54">
        <v>42879</v>
      </c>
      <c r="K115" s="54" t="s">
        <v>148</v>
      </c>
    </row>
    <row r="116" spans="3:11" x14ac:dyDescent="0.25">
      <c r="C116" s="54">
        <v>42857</v>
      </c>
      <c r="D116" s="55" t="s">
        <v>153</v>
      </c>
      <c r="E116" s="55" t="s">
        <v>147</v>
      </c>
      <c r="F116" s="56">
        <v>13</v>
      </c>
      <c r="G116" s="57">
        <v>1.0900000000000001</v>
      </c>
      <c r="H116" s="57">
        <f t="shared" si="2"/>
        <v>14.170000000000002</v>
      </c>
      <c r="I116" s="54">
        <f t="shared" si="3"/>
        <v>42882</v>
      </c>
      <c r="J116" s="54">
        <v>42880</v>
      </c>
      <c r="K116" s="54" t="s">
        <v>148</v>
      </c>
    </row>
    <row r="117" spans="3:11" x14ac:dyDescent="0.25">
      <c r="C117" s="54">
        <v>42858</v>
      </c>
      <c r="D117" s="55" t="s">
        <v>151</v>
      </c>
      <c r="E117" s="55" t="s">
        <v>150</v>
      </c>
      <c r="F117" s="56">
        <v>15</v>
      </c>
      <c r="G117" s="57">
        <v>2.02</v>
      </c>
      <c r="H117" s="57">
        <f t="shared" si="2"/>
        <v>30.3</v>
      </c>
      <c r="I117" s="54">
        <f t="shared" si="3"/>
        <v>42883</v>
      </c>
      <c r="J117" s="54">
        <v>42883</v>
      </c>
      <c r="K117" s="54" t="s">
        <v>148</v>
      </c>
    </row>
    <row r="118" spans="3:11" x14ac:dyDescent="0.25">
      <c r="C118" s="54">
        <v>42861</v>
      </c>
      <c r="D118" s="55" t="s">
        <v>149</v>
      </c>
      <c r="E118" s="55" t="s">
        <v>150</v>
      </c>
      <c r="F118" s="56">
        <v>13</v>
      </c>
      <c r="G118" s="57">
        <v>2.12</v>
      </c>
      <c r="H118" s="57">
        <f t="shared" si="2"/>
        <v>27.560000000000002</v>
      </c>
      <c r="I118" s="54">
        <f t="shared" si="3"/>
        <v>42886</v>
      </c>
      <c r="J118" s="54">
        <v>42887</v>
      </c>
      <c r="K118" s="54" t="s">
        <v>148</v>
      </c>
    </row>
    <row r="119" spans="3:11" x14ac:dyDescent="0.25">
      <c r="C119" s="54">
        <v>42862</v>
      </c>
      <c r="D119" s="55" t="s">
        <v>149</v>
      </c>
      <c r="E119" s="55" t="s">
        <v>150</v>
      </c>
      <c r="F119" s="56">
        <v>21</v>
      </c>
      <c r="G119" s="57">
        <v>2.12</v>
      </c>
      <c r="H119" s="57">
        <f t="shared" si="2"/>
        <v>44.52</v>
      </c>
      <c r="I119" s="54">
        <f t="shared" si="3"/>
        <v>42887</v>
      </c>
      <c r="J119" s="54">
        <v>42887</v>
      </c>
      <c r="K119" s="54" t="s">
        <v>148</v>
      </c>
    </row>
    <row r="120" spans="3:11" x14ac:dyDescent="0.25">
      <c r="C120" s="54">
        <v>42863</v>
      </c>
      <c r="D120" s="55" t="s">
        <v>152</v>
      </c>
      <c r="E120" s="55" t="s">
        <v>147</v>
      </c>
      <c r="F120" s="56">
        <v>17</v>
      </c>
      <c r="G120" s="57">
        <v>1.4</v>
      </c>
      <c r="H120" s="57">
        <f t="shared" si="2"/>
        <v>23.799999999999997</v>
      </c>
      <c r="I120" s="54">
        <f t="shared" si="3"/>
        <v>42888</v>
      </c>
      <c r="J120" s="54">
        <v>42887</v>
      </c>
      <c r="K120" s="54" t="s">
        <v>148</v>
      </c>
    </row>
    <row r="121" spans="3:11" x14ac:dyDescent="0.25">
      <c r="C121" s="54">
        <v>42864</v>
      </c>
      <c r="D121" s="55" t="s">
        <v>149</v>
      </c>
      <c r="E121" s="55" t="s">
        <v>150</v>
      </c>
      <c r="F121" s="56">
        <v>13</v>
      </c>
      <c r="G121" s="57">
        <v>2.12</v>
      </c>
      <c r="H121" s="57">
        <f t="shared" si="2"/>
        <v>27.560000000000002</v>
      </c>
      <c r="I121" s="54">
        <f t="shared" si="3"/>
        <v>42889</v>
      </c>
      <c r="J121" s="54">
        <v>42887</v>
      </c>
      <c r="K121" s="54" t="s">
        <v>148</v>
      </c>
    </row>
    <row r="122" spans="3:11" x14ac:dyDescent="0.25">
      <c r="C122" s="54">
        <v>42865</v>
      </c>
      <c r="D122" s="55" t="s">
        <v>149</v>
      </c>
      <c r="E122" s="55" t="s">
        <v>150</v>
      </c>
      <c r="F122" s="56">
        <v>9</v>
      </c>
      <c r="G122" s="57">
        <v>2.12</v>
      </c>
      <c r="H122" s="57">
        <f t="shared" si="2"/>
        <v>19.080000000000002</v>
      </c>
      <c r="I122" s="54">
        <f t="shared" si="3"/>
        <v>42890</v>
      </c>
      <c r="J122" s="54">
        <v>42888</v>
      </c>
      <c r="K122" s="54" t="s">
        <v>148</v>
      </c>
    </row>
    <row r="123" spans="3:11" x14ac:dyDescent="0.25">
      <c r="C123" s="54">
        <v>42868</v>
      </c>
      <c r="D123" s="55" t="s">
        <v>146</v>
      </c>
      <c r="E123" s="55" t="s">
        <v>147</v>
      </c>
      <c r="F123" s="56">
        <v>20</v>
      </c>
      <c r="G123" s="57">
        <v>1.55</v>
      </c>
      <c r="H123" s="57">
        <f t="shared" si="2"/>
        <v>31</v>
      </c>
      <c r="I123" s="54">
        <f t="shared" si="3"/>
        <v>42893</v>
      </c>
      <c r="J123" s="54">
        <v>42894</v>
      </c>
      <c r="K123" s="54" t="s">
        <v>148</v>
      </c>
    </row>
    <row r="124" spans="3:11" x14ac:dyDescent="0.25">
      <c r="C124" s="54">
        <v>42869</v>
      </c>
      <c r="D124" s="55" t="s">
        <v>146</v>
      </c>
      <c r="E124" s="55" t="s">
        <v>147</v>
      </c>
      <c r="F124" s="56">
        <v>10</v>
      </c>
      <c r="G124" s="57">
        <v>1.55</v>
      </c>
      <c r="H124" s="57">
        <f t="shared" si="2"/>
        <v>15.5</v>
      </c>
      <c r="I124" s="54">
        <f t="shared" si="3"/>
        <v>42894</v>
      </c>
      <c r="J124" s="54">
        <v>42893</v>
      </c>
      <c r="K124" s="54" t="s">
        <v>148</v>
      </c>
    </row>
    <row r="125" spans="3:11" x14ac:dyDescent="0.25">
      <c r="C125" s="54">
        <v>42870</v>
      </c>
      <c r="D125" s="55" t="s">
        <v>146</v>
      </c>
      <c r="E125" s="55" t="s">
        <v>147</v>
      </c>
      <c r="F125" s="56">
        <v>11</v>
      </c>
      <c r="G125" s="57">
        <v>1.55</v>
      </c>
      <c r="H125" s="57">
        <f t="shared" si="2"/>
        <v>17.05</v>
      </c>
      <c r="I125" s="54">
        <f t="shared" si="3"/>
        <v>42895</v>
      </c>
      <c r="J125" s="54">
        <v>42894</v>
      </c>
      <c r="K125" s="54" t="s">
        <v>148</v>
      </c>
    </row>
    <row r="126" spans="3:11" x14ac:dyDescent="0.25">
      <c r="C126" s="54">
        <v>42871</v>
      </c>
      <c r="D126" s="55" t="s">
        <v>146</v>
      </c>
      <c r="E126" s="55" t="s">
        <v>147</v>
      </c>
      <c r="F126" s="56">
        <v>10</v>
      </c>
      <c r="G126" s="57">
        <v>1.55</v>
      </c>
      <c r="H126" s="57">
        <f t="shared" si="2"/>
        <v>15.5</v>
      </c>
      <c r="I126" s="54">
        <f t="shared" si="3"/>
        <v>42896</v>
      </c>
      <c r="J126" s="54">
        <v>42894</v>
      </c>
      <c r="K126" s="54" t="s">
        <v>148</v>
      </c>
    </row>
    <row r="127" spans="3:11" x14ac:dyDescent="0.25">
      <c r="C127" s="54">
        <v>42872</v>
      </c>
      <c r="D127" s="55" t="s">
        <v>146</v>
      </c>
      <c r="E127" s="55" t="s">
        <v>147</v>
      </c>
      <c r="F127" s="56">
        <v>17</v>
      </c>
      <c r="G127" s="57">
        <v>1.55</v>
      </c>
      <c r="H127" s="57">
        <f t="shared" si="2"/>
        <v>26.35</v>
      </c>
      <c r="I127" s="54">
        <f t="shared" si="3"/>
        <v>42897</v>
      </c>
      <c r="J127" s="54">
        <v>42897</v>
      </c>
      <c r="K127" s="54" t="s">
        <v>148</v>
      </c>
    </row>
    <row r="128" spans="3:11" x14ac:dyDescent="0.25">
      <c r="C128" s="54">
        <v>42875</v>
      </c>
      <c r="D128" s="55" t="s">
        <v>146</v>
      </c>
      <c r="E128" s="55" t="s">
        <v>147</v>
      </c>
      <c r="F128" s="56">
        <v>24</v>
      </c>
      <c r="G128" s="57">
        <v>1.55</v>
      </c>
      <c r="H128" s="57">
        <f t="shared" si="2"/>
        <v>37.200000000000003</v>
      </c>
      <c r="I128" s="54">
        <f t="shared" si="3"/>
        <v>42900</v>
      </c>
      <c r="J128" s="54">
        <v>42897</v>
      </c>
      <c r="K128" s="54" t="s">
        <v>148</v>
      </c>
    </row>
    <row r="129" spans="3:11" x14ac:dyDescent="0.25">
      <c r="C129" s="54">
        <v>42876</v>
      </c>
      <c r="D129" s="55" t="s">
        <v>146</v>
      </c>
      <c r="E129" s="55" t="s">
        <v>147</v>
      </c>
      <c r="F129" s="56">
        <v>26</v>
      </c>
      <c r="G129" s="57">
        <v>1.55</v>
      </c>
      <c r="H129" s="57">
        <f t="shared" si="2"/>
        <v>40.300000000000004</v>
      </c>
      <c r="I129" s="54">
        <f t="shared" si="3"/>
        <v>42901</v>
      </c>
      <c r="J129" s="54">
        <v>42901</v>
      </c>
      <c r="K129" s="54" t="s">
        <v>148</v>
      </c>
    </row>
    <row r="130" spans="3:11" x14ac:dyDescent="0.25">
      <c r="C130" s="54">
        <v>42877</v>
      </c>
      <c r="D130" s="55" t="s">
        <v>146</v>
      </c>
      <c r="E130" s="55" t="s">
        <v>147</v>
      </c>
      <c r="F130" s="56">
        <v>24</v>
      </c>
      <c r="G130" s="57">
        <v>1.55</v>
      </c>
      <c r="H130" s="57">
        <f t="shared" si="2"/>
        <v>37.200000000000003</v>
      </c>
      <c r="I130" s="54">
        <f t="shared" si="3"/>
        <v>42902</v>
      </c>
      <c r="J130" s="54">
        <v>42901</v>
      </c>
      <c r="K130" s="54" t="s">
        <v>148</v>
      </c>
    </row>
    <row r="131" spans="3:11" x14ac:dyDescent="0.25">
      <c r="C131" s="54">
        <v>42878</v>
      </c>
      <c r="D131" s="55" t="s">
        <v>152</v>
      </c>
      <c r="E131" s="55" t="s">
        <v>147</v>
      </c>
      <c r="F131" s="56">
        <v>17</v>
      </c>
      <c r="G131" s="57">
        <v>1.4</v>
      </c>
      <c r="H131" s="57">
        <f t="shared" si="2"/>
        <v>23.799999999999997</v>
      </c>
      <c r="I131" s="54">
        <f t="shared" si="3"/>
        <v>42903</v>
      </c>
      <c r="J131" s="54">
        <v>42901</v>
      </c>
      <c r="K131" s="54" t="s">
        <v>148</v>
      </c>
    </row>
    <row r="132" spans="3:11" x14ac:dyDescent="0.25">
      <c r="C132" s="54">
        <v>42879</v>
      </c>
      <c r="D132" s="55" t="s">
        <v>153</v>
      </c>
      <c r="E132" s="55" t="s">
        <v>147</v>
      </c>
      <c r="F132" s="56">
        <v>17</v>
      </c>
      <c r="G132" s="57">
        <v>1.0900000000000001</v>
      </c>
      <c r="H132" s="57">
        <f t="shared" si="2"/>
        <v>18.53</v>
      </c>
      <c r="I132" s="54">
        <f t="shared" si="3"/>
        <v>42904</v>
      </c>
      <c r="J132" s="54">
        <v>42904</v>
      </c>
      <c r="K132" s="54" t="s">
        <v>148</v>
      </c>
    </row>
    <row r="133" spans="3:11" x14ac:dyDescent="0.25">
      <c r="C133" s="54">
        <v>42882</v>
      </c>
      <c r="D133" s="55" t="s">
        <v>149</v>
      </c>
      <c r="E133" s="55" t="s">
        <v>150</v>
      </c>
      <c r="F133" s="56">
        <v>17</v>
      </c>
      <c r="G133" s="57">
        <v>2.12</v>
      </c>
      <c r="H133" s="57">
        <f t="shared" si="2"/>
        <v>36.04</v>
      </c>
      <c r="I133" s="54">
        <f t="shared" si="3"/>
        <v>42907</v>
      </c>
      <c r="J133" s="54">
        <v>42906</v>
      </c>
      <c r="K133" s="54" t="s">
        <v>148</v>
      </c>
    </row>
    <row r="134" spans="3:11" x14ac:dyDescent="0.25">
      <c r="C134" s="54">
        <v>42883</v>
      </c>
      <c r="D134" s="55" t="s">
        <v>153</v>
      </c>
      <c r="E134" s="55" t="s">
        <v>147</v>
      </c>
      <c r="F134" s="56">
        <v>22</v>
      </c>
      <c r="G134" s="57">
        <v>1.0900000000000001</v>
      </c>
      <c r="H134" s="57">
        <f t="shared" si="2"/>
        <v>23.98</v>
      </c>
      <c r="I134" s="54">
        <f t="shared" si="3"/>
        <v>42908</v>
      </c>
      <c r="J134" s="54">
        <v>42908</v>
      </c>
      <c r="K134" s="54" t="s">
        <v>148</v>
      </c>
    </row>
    <row r="135" spans="3:11" x14ac:dyDescent="0.25">
      <c r="C135" s="54">
        <v>42884</v>
      </c>
      <c r="D135" s="55" t="s">
        <v>146</v>
      </c>
      <c r="E135" s="55" t="s">
        <v>147</v>
      </c>
      <c r="F135" s="56">
        <v>12</v>
      </c>
      <c r="G135" s="57">
        <v>1.55</v>
      </c>
      <c r="H135" s="57">
        <f t="shared" si="2"/>
        <v>18.600000000000001</v>
      </c>
      <c r="I135" s="54">
        <f t="shared" si="3"/>
        <v>42909</v>
      </c>
      <c r="J135" s="54">
        <v>42908</v>
      </c>
      <c r="K135" s="54" t="s">
        <v>148</v>
      </c>
    </row>
    <row r="136" spans="3:11" x14ac:dyDescent="0.25">
      <c r="C136" s="54">
        <v>42885</v>
      </c>
      <c r="D136" s="55" t="s">
        <v>149</v>
      </c>
      <c r="E136" s="55" t="s">
        <v>150</v>
      </c>
      <c r="F136" s="56">
        <v>8</v>
      </c>
      <c r="G136" s="57">
        <v>2.12</v>
      </c>
      <c r="H136" s="57">
        <f t="shared" si="2"/>
        <v>16.96</v>
      </c>
      <c r="I136" s="54">
        <f t="shared" si="3"/>
        <v>42910</v>
      </c>
      <c r="J136" s="54">
        <v>42908</v>
      </c>
      <c r="K136" s="54" t="s">
        <v>148</v>
      </c>
    </row>
    <row r="137" spans="3:11" x14ac:dyDescent="0.25">
      <c r="C137" s="54">
        <v>42886</v>
      </c>
      <c r="D137" s="55" t="s">
        <v>149</v>
      </c>
      <c r="E137" s="55" t="s">
        <v>150</v>
      </c>
      <c r="F137" s="56">
        <v>21</v>
      </c>
      <c r="G137" s="57">
        <v>2.12</v>
      </c>
      <c r="H137" s="57">
        <f t="shared" si="2"/>
        <v>44.52</v>
      </c>
      <c r="I137" s="54">
        <f t="shared" si="3"/>
        <v>42911</v>
      </c>
      <c r="J137" s="54">
        <v>42909</v>
      </c>
      <c r="K137" s="54" t="s">
        <v>148</v>
      </c>
    </row>
    <row r="138" spans="3:11" x14ac:dyDescent="0.25">
      <c r="C138" s="54">
        <v>42889</v>
      </c>
      <c r="D138" s="55" t="s">
        <v>146</v>
      </c>
      <c r="E138" s="55" t="s">
        <v>147</v>
      </c>
      <c r="F138" s="56">
        <v>8</v>
      </c>
      <c r="G138" s="57">
        <v>1.55</v>
      </c>
      <c r="H138" s="57">
        <f t="shared" si="2"/>
        <v>12.4</v>
      </c>
      <c r="I138" s="54">
        <f t="shared" si="3"/>
        <v>42914</v>
      </c>
      <c r="J138" s="54">
        <v>42917</v>
      </c>
      <c r="K138" s="54" t="s">
        <v>148</v>
      </c>
    </row>
    <row r="139" spans="3:11" x14ac:dyDescent="0.25">
      <c r="C139" s="54">
        <v>42890</v>
      </c>
      <c r="D139" s="55" t="s">
        <v>149</v>
      </c>
      <c r="E139" s="55" t="s">
        <v>150</v>
      </c>
      <c r="F139" s="56">
        <v>19</v>
      </c>
      <c r="G139" s="57">
        <v>2.12</v>
      </c>
      <c r="H139" s="57">
        <f t="shared" si="2"/>
        <v>40.28</v>
      </c>
      <c r="I139" s="54">
        <f t="shared" si="3"/>
        <v>42915</v>
      </c>
      <c r="J139" s="54">
        <v>42914</v>
      </c>
      <c r="K139" s="54" t="s">
        <v>148</v>
      </c>
    </row>
    <row r="140" spans="3:11" x14ac:dyDescent="0.25">
      <c r="C140" s="54">
        <v>42891</v>
      </c>
      <c r="D140" s="55" t="s">
        <v>149</v>
      </c>
      <c r="E140" s="55" t="s">
        <v>150</v>
      </c>
      <c r="F140" s="56">
        <v>14</v>
      </c>
      <c r="G140" s="57">
        <v>2.12</v>
      </c>
      <c r="H140" s="57">
        <f t="shared" si="2"/>
        <v>29.68</v>
      </c>
      <c r="I140" s="54">
        <f t="shared" si="3"/>
        <v>42916</v>
      </c>
      <c r="J140" s="54">
        <v>42915</v>
      </c>
      <c r="K140" s="54" t="s">
        <v>148</v>
      </c>
    </row>
    <row r="141" spans="3:11" x14ac:dyDescent="0.25">
      <c r="C141" s="54">
        <v>42892</v>
      </c>
      <c r="D141" s="55" t="s">
        <v>149</v>
      </c>
      <c r="E141" s="55" t="s">
        <v>150</v>
      </c>
      <c r="F141" s="56">
        <v>11</v>
      </c>
      <c r="G141" s="57">
        <v>2.12</v>
      </c>
      <c r="H141" s="57">
        <f t="shared" si="2"/>
        <v>23.32</v>
      </c>
      <c r="I141" s="54">
        <f t="shared" si="3"/>
        <v>42917</v>
      </c>
      <c r="J141" s="54">
        <v>42915</v>
      </c>
      <c r="K141" s="54" t="s">
        <v>148</v>
      </c>
    </row>
    <row r="142" spans="3:11" x14ac:dyDescent="0.25">
      <c r="C142" s="54">
        <v>42893</v>
      </c>
      <c r="D142" s="55" t="s">
        <v>154</v>
      </c>
      <c r="E142" s="55" t="s">
        <v>150</v>
      </c>
      <c r="F142" s="56">
        <v>8</v>
      </c>
      <c r="G142" s="57">
        <v>1.37</v>
      </c>
      <c r="H142" s="57">
        <f t="shared" si="2"/>
        <v>10.96</v>
      </c>
      <c r="I142" s="54">
        <f t="shared" si="3"/>
        <v>42918</v>
      </c>
      <c r="J142" s="54">
        <v>42918</v>
      </c>
      <c r="K142" s="54" t="s">
        <v>148</v>
      </c>
    </row>
    <row r="143" spans="3:11" x14ac:dyDescent="0.25">
      <c r="C143" s="54">
        <v>42896</v>
      </c>
      <c r="D143" s="55" t="s">
        <v>146</v>
      </c>
      <c r="E143" s="55" t="s">
        <v>147</v>
      </c>
      <c r="F143" s="56">
        <v>11</v>
      </c>
      <c r="G143" s="57">
        <v>1.55</v>
      </c>
      <c r="H143" s="57">
        <f t="shared" si="2"/>
        <v>17.05</v>
      </c>
      <c r="I143" s="54">
        <f t="shared" si="3"/>
        <v>42921</v>
      </c>
      <c r="J143" s="54">
        <v>42922</v>
      </c>
      <c r="K143" s="54" t="s">
        <v>148</v>
      </c>
    </row>
    <row r="144" spans="3:11" x14ac:dyDescent="0.25">
      <c r="C144" s="54">
        <v>42897</v>
      </c>
      <c r="D144" s="55" t="s">
        <v>153</v>
      </c>
      <c r="E144" s="55" t="s">
        <v>147</v>
      </c>
      <c r="F144" s="56">
        <v>9</v>
      </c>
      <c r="G144" s="57">
        <v>1.0900000000000001</v>
      </c>
      <c r="H144" s="57">
        <f t="shared" si="2"/>
        <v>9.81</v>
      </c>
      <c r="I144" s="54">
        <f t="shared" si="3"/>
        <v>42922</v>
      </c>
      <c r="J144" s="54">
        <v>42922</v>
      </c>
      <c r="K144" s="54" t="s">
        <v>148</v>
      </c>
    </row>
    <row r="145" spans="3:11" x14ac:dyDescent="0.25">
      <c r="C145" s="54">
        <v>42898</v>
      </c>
      <c r="D145" s="55" t="s">
        <v>153</v>
      </c>
      <c r="E145" s="55" t="s">
        <v>147</v>
      </c>
      <c r="F145" s="56">
        <v>9</v>
      </c>
      <c r="G145" s="57">
        <v>1.0900000000000001</v>
      </c>
      <c r="H145" s="57">
        <f t="shared" si="2"/>
        <v>9.81</v>
      </c>
      <c r="I145" s="54">
        <f t="shared" si="3"/>
        <v>42923</v>
      </c>
      <c r="J145" s="54">
        <v>42922</v>
      </c>
      <c r="K145" s="54" t="s">
        <v>148</v>
      </c>
    </row>
    <row r="146" spans="3:11" x14ac:dyDescent="0.25">
      <c r="C146" s="54">
        <v>42899</v>
      </c>
      <c r="D146" s="55" t="s">
        <v>153</v>
      </c>
      <c r="E146" s="55" t="s">
        <v>147</v>
      </c>
      <c r="F146" s="56">
        <v>19</v>
      </c>
      <c r="G146" s="57">
        <v>1.0900000000000001</v>
      </c>
      <c r="H146" s="57">
        <f t="shared" si="2"/>
        <v>20.71</v>
      </c>
      <c r="I146" s="54">
        <f t="shared" si="3"/>
        <v>42924</v>
      </c>
      <c r="J146" s="54">
        <v>42925</v>
      </c>
      <c r="K146" s="54" t="s">
        <v>148</v>
      </c>
    </row>
    <row r="147" spans="3:11" x14ac:dyDescent="0.25">
      <c r="C147" s="54">
        <v>42900</v>
      </c>
      <c r="D147" s="55" t="s">
        <v>146</v>
      </c>
      <c r="E147" s="55" t="s">
        <v>147</v>
      </c>
      <c r="F147" s="56">
        <v>14</v>
      </c>
      <c r="G147" s="57">
        <v>1.55</v>
      </c>
      <c r="H147" s="57">
        <f t="shared" si="2"/>
        <v>21.7</v>
      </c>
      <c r="I147" s="54">
        <f t="shared" si="3"/>
        <v>42925</v>
      </c>
      <c r="J147" s="54">
        <v>42924</v>
      </c>
      <c r="K147" s="54" t="s">
        <v>148</v>
      </c>
    </row>
    <row r="148" spans="3:11" x14ac:dyDescent="0.25">
      <c r="C148" s="54">
        <v>42903</v>
      </c>
      <c r="D148" s="55" t="s">
        <v>146</v>
      </c>
      <c r="E148" s="55" t="s">
        <v>147</v>
      </c>
      <c r="F148" s="56">
        <v>18</v>
      </c>
      <c r="G148" s="57">
        <v>1.55</v>
      </c>
      <c r="H148" s="57">
        <f t="shared" si="2"/>
        <v>27.900000000000002</v>
      </c>
      <c r="I148" s="54">
        <f t="shared" si="3"/>
        <v>42928</v>
      </c>
      <c r="J148" s="54">
        <v>42927</v>
      </c>
      <c r="K148" s="54" t="s">
        <v>148</v>
      </c>
    </row>
    <row r="149" spans="3:11" x14ac:dyDescent="0.25">
      <c r="C149" s="54">
        <v>42904</v>
      </c>
      <c r="D149" s="55" t="s">
        <v>146</v>
      </c>
      <c r="E149" s="55" t="s">
        <v>147</v>
      </c>
      <c r="F149" s="56">
        <v>17</v>
      </c>
      <c r="G149" s="57">
        <v>1.55</v>
      </c>
      <c r="H149" s="57">
        <f t="shared" si="2"/>
        <v>26.35</v>
      </c>
      <c r="I149" s="54">
        <f t="shared" si="3"/>
        <v>42929</v>
      </c>
      <c r="J149" s="54">
        <v>42927</v>
      </c>
      <c r="K149" s="54" t="s">
        <v>148</v>
      </c>
    </row>
    <row r="150" spans="3:11" x14ac:dyDescent="0.25">
      <c r="C150" s="54">
        <v>42905</v>
      </c>
      <c r="D150" s="55" t="s">
        <v>149</v>
      </c>
      <c r="E150" s="55" t="s">
        <v>150</v>
      </c>
      <c r="F150" s="56">
        <v>20</v>
      </c>
      <c r="G150" s="57">
        <v>2.12</v>
      </c>
      <c r="H150" s="57">
        <f t="shared" si="2"/>
        <v>42.400000000000006</v>
      </c>
      <c r="I150" s="54">
        <f t="shared" si="3"/>
        <v>42930</v>
      </c>
      <c r="J150" s="54">
        <v>42930</v>
      </c>
      <c r="K150" s="54" t="s">
        <v>148</v>
      </c>
    </row>
    <row r="151" spans="3:11" x14ac:dyDescent="0.25">
      <c r="C151" s="54">
        <v>42906</v>
      </c>
      <c r="D151" s="55" t="s">
        <v>149</v>
      </c>
      <c r="E151" s="55" t="s">
        <v>150</v>
      </c>
      <c r="F151" s="56">
        <v>15</v>
      </c>
      <c r="G151" s="57">
        <v>2.12</v>
      </c>
      <c r="H151" s="57">
        <f t="shared" si="2"/>
        <v>31.8</v>
      </c>
      <c r="I151" s="54">
        <f t="shared" si="3"/>
        <v>42931</v>
      </c>
      <c r="J151" s="54">
        <v>42931</v>
      </c>
      <c r="K151" s="54" t="s">
        <v>148</v>
      </c>
    </row>
    <row r="152" spans="3:11" x14ac:dyDescent="0.25">
      <c r="C152" s="54">
        <v>42907</v>
      </c>
      <c r="D152" s="55" t="s">
        <v>153</v>
      </c>
      <c r="E152" s="55" t="s">
        <v>147</v>
      </c>
      <c r="F152" s="56">
        <v>25</v>
      </c>
      <c r="G152" s="57">
        <v>1.0900000000000001</v>
      </c>
      <c r="H152" s="57">
        <f t="shared" si="2"/>
        <v>27.250000000000004</v>
      </c>
      <c r="I152" s="54">
        <f t="shared" si="3"/>
        <v>42932</v>
      </c>
      <c r="J152" s="54">
        <v>42932</v>
      </c>
      <c r="K152" s="54" t="s">
        <v>148</v>
      </c>
    </row>
    <row r="153" spans="3:11" x14ac:dyDescent="0.25">
      <c r="C153" s="54">
        <v>42910</v>
      </c>
      <c r="D153" s="55" t="s">
        <v>153</v>
      </c>
      <c r="E153" s="55" t="s">
        <v>147</v>
      </c>
      <c r="F153" s="56">
        <v>21</v>
      </c>
      <c r="G153" s="57">
        <v>1.0900000000000001</v>
      </c>
      <c r="H153" s="57">
        <f t="shared" si="2"/>
        <v>22.89</v>
      </c>
      <c r="I153" s="54">
        <f t="shared" si="3"/>
        <v>42935</v>
      </c>
      <c r="J153" s="54">
        <v>42934</v>
      </c>
      <c r="K153" s="54" t="s">
        <v>148</v>
      </c>
    </row>
    <row r="154" spans="3:11" x14ac:dyDescent="0.25">
      <c r="C154" s="54">
        <v>42911</v>
      </c>
      <c r="D154" s="55" t="s">
        <v>152</v>
      </c>
      <c r="E154" s="55" t="s">
        <v>147</v>
      </c>
      <c r="F154" s="56">
        <v>23</v>
      </c>
      <c r="G154" s="57">
        <v>1.4</v>
      </c>
      <c r="H154" s="57">
        <f t="shared" si="2"/>
        <v>32.199999999999996</v>
      </c>
      <c r="I154" s="54">
        <f t="shared" si="3"/>
        <v>42936</v>
      </c>
      <c r="J154" s="54">
        <v>42934</v>
      </c>
      <c r="K154" s="54" t="s">
        <v>148</v>
      </c>
    </row>
    <row r="155" spans="3:11" x14ac:dyDescent="0.25">
      <c r="C155" s="54">
        <v>42912</v>
      </c>
      <c r="D155" s="55" t="s">
        <v>146</v>
      </c>
      <c r="E155" s="55" t="s">
        <v>147</v>
      </c>
      <c r="F155" s="56">
        <v>23</v>
      </c>
      <c r="G155" s="57">
        <v>1.55</v>
      </c>
      <c r="H155" s="57">
        <f t="shared" si="2"/>
        <v>35.65</v>
      </c>
      <c r="I155" s="54">
        <f t="shared" si="3"/>
        <v>42937</v>
      </c>
      <c r="J155" s="54">
        <v>42937</v>
      </c>
      <c r="K155" s="54" t="s">
        <v>148</v>
      </c>
    </row>
    <row r="156" spans="3:11" x14ac:dyDescent="0.25">
      <c r="C156" s="54">
        <v>42913</v>
      </c>
      <c r="D156" s="55" t="s">
        <v>152</v>
      </c>
      <c r="E156" s="55" t="s">
        <v>147</v>
      </c>
      <c r="F156" s="56">
        <v>24</v>
      </c>
      <c r="G156" s="57">
        <v>1.4</v>
      </c>
      <c r="H156" s="57">
        <f t="shared" si="2"/>
        <v>33.599999999999994</v>
      </c>
      <c r="I156" s="54">
        <f t="shared" si="3"/>
        <v>42938</v>
      </c>
      <c r="J156" s="54">
        <v>42936</v>
      </c>
      <c r="K156" s="54" t="s">
        <v>148</v>
      </c>
    </row>
    <row r="157" spans="3:11" x14ac:dyDescent="0.25">
      <c r="C157" s="54">
        <v>42914</v>
      </c>
      <c r="D157" s="55" t="s">
        <v>149</v>
      </c>
      <c r="E157" s="55" t="s">
        <v>150</v>
      </c>
      <c r="F157" s="56">
        <v>15</v>
      </c>
      <c r="G157" s="57">
        <v>2.12</v>
      </c>
      <c r="H157" s="57">
        <f t="shared" ref="H157:H220" si="4">F157*G157</f>
        <v>31.8</v>
      </c>
      <c r="I157" s="54">
        <f t="shared" si="3"/>
        <v>42939</v>
      </c>
      <c r="J157" s="54">
        <v>42939</v>
      </c>
      <c r="K157" s="54" t="s">
        <v>148</v>
      </c>
    </row>
    <row r="158" spans="3:11" x14ac:dyDescent="0.25">
      <c r="C158" s="54">
        <v>42917</v>
      </c>
      <c r="D158" s="55" t="s">
        <v>146</v>
      </c>
      <c r="E158" s="55" t="s">
        <v>147</v>
      </c>
      <c r="F158" s="56">
        <v>17</v>
      </c>
      <c r="G158" s="57">
        <v>1.55</v>
      </c>
      <c r="H158" s="57">
        <f t="shared" si="4"/>
        <v>26.35</v>
      </c>
      <c r="I158" s="54">
        <f t="shared" ref="I158:I221" si="5">+C158+25</f>
        <v>42942</v>
      </c>
      <c r="J158" s="54">
        <v>42941</v>
      </c>
      <c r="K158" s="54" t="s">
        <v>148</v>
      </c>
    </row>
    <row r="159" spans="3:11" x14ac:dyDescent="0.25">
      <c r="C159" s="54">
        <v>42918</v>
      </c>
      <c r="D159" s="55" t="s">
        <v>151</v>
      </c>
      <c r="E159" s="55" t="s">
        <v>150</v>
      </c>
      <c r="F159" s="56">
        <v>9</v>
      </c>
      <c r="G159" s="57">
        <v>2.02</v>
      </c>
      <c r="H159" s="57">
        <f t="shared" si="4"/>
        <v>18.18</v>
      </c>
      <c r="I159" s="54">
        <f t="shared" si="5"/>
        <v>42943</v>
      </c>
      <c r="J159" s="54">
        <v>42941</v>
      </c>
      <c r="K159" s="54" t="s">
        <v>148</v>
      </c>
    </row>
    <row r="160" spans="3:11" x14ac:dyDescent="0.25">
      <c r="C160" s="54">
        <v>42919</v>
      </c>
      <c r="D160" s="55" t="s">
        <v>146</v>
      </c>
      <c r="E160" s="55" t="s">
        <v>147</v>
      </c>
      <c r="F160" s="56">
        <v>17</v>
      </c>
      <c r="G160" s="57">
        <v>1.55</v>
      </c>
      <c r="H160" s="57">
        <f t="shared" si="4"/>
        <v>26.35</v>
      </c>
      <c r="I160" s="54">
        <f t="shared" si="5"/>
        <v>42944</v>
      </c>
      <c r="J160" s="54">
        <v>42942</v>
      </c>
      <c r="K160" s="54" t="s">
        <v>148</v>
      </c>
    </row>
    <row r="161" spans="3:11" x14ac:dyDescent="0.25">
      <c r="C161" s="54">
        <v>42920</v>
      </c>
      <c r="D161" s="55" t="s">
        <v>151</v>
      </c>
      <c r="E161" s="55" t="s">
        <v>150</v>
      </c>
      <c r="F161" s="56">
        <v>23</v>
      </c>
      <c r="G161" s="57">
        <v>2.02</v>
      </c>
      <c r="H161" s="57">
        <f t="shared" si="4"/>
        <v>46.46</v>
      </c>
      <c r="I161" s="54">
        <f t="shared" si="5"/>
        <v>42945</v>
      </c>
      <c r="J161" s="54">
        <v>42943</v>
      </c>
      <c r="K161" s="54" t="s">
        <v>148</v>
      </c>
    </row>
    <row r="162" spans="3:11" x14ac:dyDescent="0.25">
      <c r="C162" s="54">
        <v>42921</v>
      </c>
      <c r="D162" s="55" t="s">
        <v>146</v>
      </c>
      <c r="E162" s="55" t="s">
        <v>147</v>
      </c>
      <c r="F162" s="56">
        <v>15</v>
      </c>
      <c r="G162" s="57">
        <v>1.55</v>
      </c>
      <c r="H162" s="57">
        <f t="shared" si="4"/>
        <v>23.25</v>
      </c>
      <c r="I162" s="54">
        <f t="shared" si="5"/>
        <v>42946</v>
      </c>
      <c r="J162" s="54">
        <v>42946</v>
      </c>
      <c r="K162" s="54" t="s">
        <v>148</v>
      </c>
    </row>
    <row r="163" spans="3:11" x14ac:dyDescent="0.25">
      <c r="C163" s="54">
        <v>42924</v>
      </c>
      <c r="D163" s="55" t="s">
        <v>149</v>
      </c>
      <c r="E163" s="55" t="s">
        <v>150</v>
      </c>
      <c r="F163" s="56">
        <v>11</v>
      </c>
      <c r="G163" s="57">
        <v>2.12</v>
      </c>
      <c r="H163" s="57">
        <f t="shared" si="4"/>
        <v>23.32</v>
      </c>
      <c r="I163" s="54">
        <f t="shared" si="5"/>
        <v>42949</v>
      </c>
      <c r="J163" s="54">
        <v>42949</v>
      </c>
      <c r="K163" s="54" t="s">
        <v>148</v>
      </c>
    </row>
    <row r="164" spans="3:11" x14ac:dyDescent="0.25">
      <c r="C164" s="54">
        <v>42925</v>
      </c>
      <c r="D164" s="55" t="s">
        <v>152</v>
      </c>
      <c r="E164" s="55" t="s">
        <v>147</v>
      </c>
      <c r="F164" s="56">
        <v>17</v>
      </c>
      <c r="G164" s="57">
        <v>1.4</v>
      </c>
      <c r="H164" s="57">
        <f t="shared" si="4"/>
        <v>23.799999999999997</v>
      </c>
      <c r="I164" s="54">
        <f t="shared" si="5"/>
        <v>42950</v>
      </c>
      <c r="J164" s="54">
        <v>42950</v>
      </c>
      <c r="K164" s="54" t="s">
        <v>148</v>
      </c>
    </row>
    <row r="165" spans="3:11" x14ac:dyDescent="0.25">
      <c r="C165" s="54">
        <v>42926</v>
      </c>
      <c r="D165" s="55" t="s">
        <v>149</v>
      </c>
      <c r="E165" s="55" t="s">
        <v>150</v>
      </c>
      <c r="F165" s="56">
        <v>9</v>
      </c>
      <c r="G165" s="57">
        <v>2.12</v>
      </c>
      <c r="H165" s="57">
        <f t="shared" si="4"/>
        <v>19.080000000000002</v>
      </c>
      <c r="I165" s="54">
        <f t="shared" si="5"/>
        <v>42951</v>
      </c>
      <c r="J165" s="54">
        <v>42950</v>
      </c>
      <c r="K165" s="54" t="s">
        <v>148</v>
      </c>
    </row>
    <row r="166" spans="3:11" x14ac:dyDescent="0.25">
      <c r="C166" s="54">
        <v>42927</v>
      </c>
      <c r="D166" s="55" t="s">
        <v>146</v>
      </c>
      <c r="E166" s="55" t="s">
        <v>147</v>
      </c>
      <c r="F166" s="56">
        <v>26</v>
      </c>
      <c r="G166" s="57">
        <v>1.55</v>
      </c>
      <c r="H166" s="57">
        <f t="shared" si="4"/>
        <v>40.300000000000004</v>
      </c>
      <c r="I166" s="54">
        <f t="shared" si="5"/>
        <v>42952</v>
      </c>
      <c r="J166" s="54">
        <v>42950</v>
      </c>
      <c r="K166" s="54" t="s">
        <v>148</v>
      </c>
    </row>
    <row r="167" spans="3:11" x14ac:dyDescent="0.25">
      <c r="C167" s="54">
        <v>42928</v>
      </c>
      <c r="D167" s="55" t="s">
        <v>151</v>
      </c>
      <c r="E167" s="55" t="s">
        <v>150</v>
      </c>
      <c r="F167" s="56">
        <v>23</v>
      </c>
      <c r="G167" s="57">
        <v>2.02</v>
      </c>
      <c r="H167" s="57">
        <f t="shared" si="4"/>
        <v>46.46</v>
      </c>
      <c r="I167" s="54">
        <f t="shared" si="5"/>
        <v>42953</v>
      </c>
      <c r="J167" s="54">
        <v>42954</v>
      </c>
      <c r="K167" s="54" t="s">
        <v>148</v>
      </c>
    </row>
    <row r="168" spans="3:11" x14ac:dyDescent="0.25">
      <c r="C168" s="54">
        <v>42931</v>
      </c>
      <c r="D168" s="55" t="s">
        <v>153</v>
      </c>
      <c r="E168" s="55" t="s">
        <v>147</v>
      </c>
      <c r="F168" s="56">
        <v>14</v>
      </c>
      <c r="G168" s="57">
        <v>1.0900000000000001</v>
      </c>
      <c r="H168" s="57">
        <f t="shared" si="4"/>
        <v>15.260000000000002</v>
      </c>
      <c r="I168" s="54">
        <f t="shared" si="5"/>
        <v>42956</v>
      </c>
      <c r="J168" s="54">
        <v>42959</v>
      </c>
      <c r="K168" s="54" t="s">
        <v>148</v>
      </c>
    </row>
    <row r="169" spans="3:11" x14ac:dyDescent="0.25">
      <c r="C169" s="54">
        <v>42932</v>
      </c>
      <c r="D169" s="55" t="s">
        <v>146</v>
      </c>
      <c r="E169" s="55" t="s">
        <v>147</v>
      </c>
      <c r="F169" s="56">
        <v>19</v>
      </c>
      <c r="G169" s="57">
        <v>1.55</v>
      </c>
      <c r="H169" s="57">
        <f t="shared" si="4"/>
        <v>29.45</v>
      </c>
      <c r="I169" s="54">
        <f t="shared" si="5"/>
        <v>42957</v>
      </c>
      <c r="J169" s="54">
        <v>42956</v>
      </c>
      <c r="K169" s="54" t="s">
        <v>148</v>
      </c>
    </row>
    <row r="170" spans="3:11" x14ac:dyDescent="0.25">
      <c r="C170" s="54">
        <v>42933</v>
      </c>
      <c r="D170" s="55" t="s">
        <v>149</v>
      </c>
      <c r="E170" s="55" t="s">
        <v>150</v>
      </c>
      <c r="F170" s="56">
        <v>24</v>
      </c>
      <c r="G170" s="57">
        <v>2.12</v>
      </c>
      <c r="H170" s="57">
        <f t="shared" si="4"/>
        <v>50.88</v>
      </c>
      <c r="I170" s="54">
        <f t="shared" si="5"/>
        <v>42958</v>
      </c>
      <c r="J170" s="54">
        <v>42957</v>
      </c>
      <c r="K170" s="54" t="s">
        <v>148</v>
      </c>
    </row>
    <row r="171" spans="3:11" x14ac:dyDescent="0.25">
      <c r="C171" s="54">
        <v>42934</v>
      </c>
      <c r="D171" s="55" t="s">
        <v>149</v>
      </c>
      <c r="E171" s="55" t="s">
        <v>150</v>
      </c>
      <c r="F171" s="56">
        <v>6</v>
      </c>
      <c r="G171" s="57">
        <v>2.12</v>
      </c>
      <c r="H171" s="57">
        <f t="shared" si="4"/>
        <v>12.72</v>
      </c>
      <c r="I171" s="54">
        <f t="shared" si="5"/>
        <v>42959</v>
      </c>
      <c r="J171" s="54">
        <v>42957</v>
      </c>
      <c r="K171" s="54" t="s">
        <v>148</v>
      </c>
    </row>
    <row r="172" spans="3:11" x14ac:dyDescent="0.25">
      <c r="C172" s="54">
        <v>42935</v>
      </c>
      <c r="D172" s="55" t="s">
        <v>146</v>
      </c>
      <c r="E172" s="55" t="s">
        <v>147</v>
      </c>
      <c r="F172" s="56">
        <v>20</v>
      </c>
      <c r="G172" s="57">
        <v>1.55</v>
      </c>
      <c r="H172" s="57">
        <f t="shared" si="4"/>
        <v>31</v>
      </c>
      <c r="I172" s="54">
        <f t="shared" si="5"/>
        <v>42960</v>
      </c>
      <c r="J172" s="54">
        <v>42960</v>
      </c>
      <c r="K172" s="54" t="s">
        <v>148</v>
      </c>
    </row>
    <row r="173" spans="3:11" x14ac:dyDescent="0.25">
      <c r="C173" s="54">
        <v>42938</v>
      </c>
      <c r="D173" s="55" t="s">
        <v>149</v>
      </c>
      <c r="E173" s="55" t="s">
        <v>150</v>
      </c>
      <c r="F173" s="56">
        <v>23</v>
      </c>
      <c r="G173" s="57">
        <v>2.12</v>
      </c>
      <c r="H173" s="57">
        <f t="shared" si="4"/>
        <v>48.760000000000005</v>
      </c>
      <c r="I173" s="54">
        <f t="shared" si="5"/>
        <v>42963</v>
      </c>
      <c r="J173" s="54">
        <v>42961</v>
      </c>
      <c r="K173" s="54" t="s">
        <v>148</v>
      </c>
    </row>
    <row r="174" spans="3:11" x14ac:dyDescent="0.25">
      <c r="C174" s="54">
        <v>42939</v>
      </c>
      <c r="D174" s="55" t="s">
        <v>149</v>
      </c>
      <c r="E174" s="55" t="s">
        <v>150</v>
      </c>
      <c r="F174" s="56">
        <v>19</v>
      </c>
      <c r="G174" s="57">
        <v>2.12</v>
      </c>
      <c r="H174" s="57">
        <f t="shared" si="4"/>
        <v>40.28</v>
      </c>
      <c r="I174" s="54">
        <f t="shared" si="5"/>
        <v>42964</v>
      </c>
      <c r="J174" s="54">
        <v>42964</v>
      </c>
      <c r="K174" s="54" t="s">
        <v>148</v>
      </c>
    </row>
    <row r="175" spans="3:11" x14ac:dyDescent="0.25">
      <c r="C175" s="54">
        <v>42940</v>
      </c>
      <c r="D175" s="55" t="s">
        <v>149</v>
      </c>
      <c r="E175" s="55" t="s">
        <v>150</v>
      </c>
      <c r="F175" s="56">
        <v>9</v>
      </c>
      <c r="G175" s="57">
        <v>2.12</v>
      </c>
      <c r="H175" s="57">
        <f t="shared" si="4"/>
        <v>19.080000000000002</v>
      </c>
      <c r="I175" s="54">
        <f t="shared" si="5"/>
        <v>42965</v>
      </c>
      <c r="J175" s="54">
        <v>42964</v>
      </c>
      <c r="K175" s="54" t="s">
        <v>148</v>
      </c>
    </row>
    <row r="176" spans="3:11" x14ac:dyDescent="0.25">
      <c r="C176" s="54">
        <v>42941</v>
      </c>
      <c r="D176" s="55" t="s">
        <v>149</v>
      </c>
      <c r="E176" s="55" t="s">
        <v>150</v>
      </c>
      <c r="F176" s="56">
        <v>18</v>
      </c>
      <c r="G176" s="57">
        <v>2.12</v>
      </c>
      <c r="H176" s="57">
        <f t="shared" si="4"/>
        <v>38.160000000000004</v>
      </c>
      <c r="I176" s="54">
        <f t="shared" si="5"/>
        <v>42966</v>
      </c>
      <c r="J176" s="54">
        <v>42964</v>
      </c>
      <c r="K176" s="54" t="s">
        <v>148</v>
      </c>
    </row>
    <row r="177" spans="3:11" x14ac:dyDescent="0.25">
      <c r="C177" s="54">
        <v>42942</v>
      </c>
      <c r="D177" s="55" t="s">
        <v>146</v>
      </c>
      <c r="E177" s="55" t="s">
        <v>147</v>
      </c>
      <c r="F177" s="56">
        <v>9</v>
      </c>
      <c r="G177" s="57">
        <v>1.55</v>
      </c>
      <c r="H177" s="57">
        <f t="shared" si="4"/>
        <v>13.950000000000001</v>
      </c>
      <c r="I177" s="54">
        <f t="shared" si="5"/>
        <v>42967</v>
      </c>
      <c r="J177" s="54">
        <v>42965</v>
      </c>
      <c r="K177" s="54" t="s">
        <v>148</v>
      </c>
    </row>
    <row r="178" spans="3:11" x14ac:dyDescent="0.25">
      <c r="C178" s="54">
        <v>42945</v>
      </c>
      <c r="D178" s="55" t="s">
        <v>146</v>
      </c>
      <c r="E178" s="55" t="s">
        <v>147</v>
      </c>
      <c r="F178" s="56">
        <v>14</v>
      </c>
      <c r="G178" s="57">
        <v>1.55</v>
      </c>
      <c r="H178" s="57">
        <f t="shared" si="4"/>
        <v>21.7</v>
      </c>
      <c r="I178" s="54">
        <f t="shared" si="5"/>
        <v>42970</v>
      </c>
      <c r="J178" s="54">
        <v>42970</v>
      </c>
      <c r="K178" s="54" t="s">
        <v>148</v>
      </c>
    </row>
    <row r="179" spans="3:11" x14ac:dyDescent="0.25">
      <c r="C179" s="54">
        <v>42946</v>
      </c>
      <c r="D179" s="55" t="s">
        <v>153</v>
      </c>
      <c r="E179" s="55" t="s">
        <v>147</v>
      </c>
      <c r="F179" s="56">
        <v>11</v>
      </c>
      <c r="G179" s="57">
        <v>1.0900000000000001</v>
      </c>
      <c r="H179" s="57">
        <f t="shared" si="4"/>
        <v>11.99</v>
      </c>
      <c r="I179" s="54">
        <f t="shared" si="5"/>
        <v>42971</v>
      </c>
      <c r="J179" s="54">
        <v>42972</v>
      </c>
      <c r="K179" s="54" t="s">
        <v>148</v>
      </c>
    </row>
    <row r="180" spans="3:11" x14ac:dyDescent="0.25">
      <c r="C180" s="54">
        <v>42947</v>
      </c>
      <c r="D180" s="55" t="s">
        <v>153</v>
      </c>
      <c r="E180" s="55" t="s">
        <v>147</v>
      </c>
      <c r="F180" s="56">
        <v>15</v>
      </c>
      <c r="G180" s="57">
        <v>1.0900000000000001</v>
      </c>
      <c r="H180" s="57">
        <f t="shared" si="4"/>
        <v>16.350000000000001</v>
      </c>
      <c r="I180" s="54">
        <f t="shared" si="5"/>
        <v>42972</v>
      </c>
      <c r="J180" s="54">
        <v>42972</v>
      </c>
      <c r="K180" s="54" t="s">
        <v>148</v>
      </c>
    </row>
    <row r="181" spans="3:11" x14ac:dyDescent="0.25">
      <c r="C181" s="54">
        <v>42948</v>
      </c>
      <c r="D181" s="55" t="s">
        <v>152</v>
      </c>
      <c r="E181" s="55" t="s">
        <v>147</v>
      </c>
      <c r="F181" s="56">
        <v>9</v>
      </c>
      <c r="G181" s="57">
        <v>1.4</v>
      </c>
      <c r="H181" s="57">
        <f t="shared" si="4"/>
        <v>12.6</v>
      </c>
      <c r="I181" s="54">
        <f t="shared" si="5"/>
        <v>42973</v>
      </c>
      <c r="J181" s="54">
        <v>42972</v>
      </c>
      <c r="K181" s="54" t="s">
        <v>148</v>
      </c>
    </row>
    <row r="182" spans="3:11" x14ac:dyDescent="0.25">
      <c r="C182" s="54">
        <v>42949</v>
      </c>
      <c r="D182" s="55" t="s">
        <v>154</v>
      </c>
      <c r="E182" s="55" t="s">
        <v>150</v>
      </c>
      <c r="F182" s="56">
        <v>16</v>
      </c>
      <c r="G182" s="57">
        <v>1.37</v>
      </c>
      <c r="H182" s="57">
        <f t="shared" si="4"/>
        <v>21.92</v>
      </c>
      <c r="I182" s="54">
        <f t="shared" si="5"/>
        <v>42974</v>
      </c>
      <c r="J182" s="54">
        <v>42972</v>
      </c>
      <c r="K182" s="54" t="s">
        <v>148</v>
      </c>
    </row>
    <row r="183" spans="3:11" x14ac:dyDescent="0.25">
      <c r="C183" s="54">
        <v>42952</v>
      </c>
      <c r="D183" s="55" t="s">
        <v>153</v>
      </c>
      <c r="E183" s="55" t="s">
        <v>147</v>
      </c>
      <c r="F183" s="56">
        <v>6</v>
      </c>
      <c r="G183" s="57">
        <v>1.0900000000000001</v>
      </c>
      <c r="H183" s="57">
        <f t="shared" si="4"/>
        <v>6.5400000000000009</v>
      </c>
      <c r="I183" s="54">
        <f t="shared" si="5"/>
        <v>42977</v>
      </c>
      <c r="J183" s="54">
        <v>42976</v>
      </c>
      <c r="K183" s="54" t="s">
        <v>148</v>
      </c>
    </row>
    <row r="184" spans="3:11" x14ac:dyDescent="0.25">
      <c r="C184" s="54">
        <v>42953</v>
      </c>
      <c r="D184" s="55" t="s">
        <v>146</v>
      </c>
      <c r="E184" s="55" t="s">
        <v>147</v>
      </c>
      <c r="F184" s="56">
        <v>19</v>
      </c>
      <c r="G184" s="57">
        <v>1.55</v>
      </c>
      <c r="H184" s="57">
        <f t="shared" si="4"/>
        <v>29.45</v>
      </c>
      <c r="I184" s="54">
        <f t="shared" si="5"/>
        <v>42978</v>
      </c>
      <c r="J184" s="54">
        <v>42979</v>
      </c>
      <c r="K184" s="54" t="s">
        <v>148</v>
      </c>
    </row>
    <row r="185" spans="3:11" x14ac:dyDescent="0.25">
      <c r="C185" s="54">
        <v>42954</v>
      </c>
      <c r="D185" s="55" t="s">
        <v>151</v>
      </c>
      <c r="E185" s="55" t="s">
        <v>150</v>
      </c>
      <c r="F185" s="56">
        <v>16</v>
      </c>
      <c r="G185" s="57">
        <v>2.02</v>
      </c>
      <c r="H185" s="57">
        <f t="shared" si="4"/>
        <v>32.32</v>
      </c>
      <c r="I185" s="54">
        <f t="shared" si="5"/>
        <v>42979</v>
      </c>
      <c r="J185" s="54">
        <v>42978</v>
      </c>
      <c r="K185" s="54" t="s">
        <v>148</v>
      </c>
    </row>
    <row r="186" spans="3:11" x14ac:dyDescent="0.25">
      <c r="C186" s="54">
        <v>42955</v>
      </c>
      <c r="D186" s="55" t="s">
        <v>149</v>
      </c>
      <c r="E186" s="55" t="s">
        <v>150</v>
      </c>
      <c r="F186" s="56">
        <v>22</v>
      </c>
      <c r="G186" s="57">
        <v>2.12</v>
      </c>
      <c r="H186" s="57">
        <f t="shared" si="4"/>
        <v>46.64</v>
      </c>
      <c r="I186" s="54">
        <f t="shared" si="5"/>
        <v>42980</v>
      </c>
      <c r="J186" s="54">
        <v>42979</v>
      </c>
      <c r="K186" s="54" t="s">
        <v>148</v>
      </c>
    </row>
    <row r="187" spans="3:11" x14ac:dyDescent="0.25">
      <c r="C187" s="54">
        <v>42956</v>
      </c>
      <c r="D187" s="55" t="s">
        <v>154</v>
      </c>
      <c r="E187" s="55" t="s">
        <v>150</v>
      </c>
      <c r="F187" s="56">
        <v>11</v>
      </c>
      <c r="G187" s="57">
        <v>1.37</v>
      </c>
      <c r="H187" s="57">
        <f t="shared" si="4"/>
        <v>15.07</v>
      </c>
      <c r="I187" s="54">
        <f t="shared" si="5"/>
        <v>42981</v>
      </c>
      <c r="J187" s="54">
        <v>42979</v>
      </c>
      <c r="K187" s="54" t="s">
        <v>148</v>
      </c>
    </row>
    <row r="188" spans="3:11" x14ac:dyDescent="0.25">
      <c r="C188" s="54">
        <v>42959</v>
      </c>
      <c r="D188" s="55" t="s">
        <v>153</v>
      </c>
      <c r="E188" s="55" t="s">
        <v>147</v>
      </c>
      <c r="F188" s="56">
        <v>8</v>
      </c>
      <c r="G188" s="57">
        <v>1.0900000000000001</v>
      </c>
      <c r="H188" s="57">
        <f t="shared" si="4"/>
        <v>8.7200000000000006</v>
      </c>
      <c r="I188" s="54">
        <f t="shared" si="5"/>
        <v>42984</v>
      </c>
      <c r="J188" s="54">
        <v>42984</v>
      </c>
      <c r="K188" s="54" t="s">
        <v>148</v>
      </c>
    </row>
    <row r="189" spans="3:11" x14ac:dyDescent="0.25">
      <c r="C189" s="54">
        <v>42960</v>
      </c>
      <c r="D189" s="55" t="s">
        <v>149</v>
      </c>
      <c r="E189" s="55" t="s">
        <v>150</v>
      </c>
      <c r="F189" s="56">
        <v>19</v>
      </c>
      <c r="G189" s="57">
        <v>2.12</v>
      </c>
      <c r="H189" s="57">
        <f t="shared" si="4"/>
        <v>40.28</v>
      </c>
      <c r="I189" s="54">
        <f t="shared" si="5"/>
        <v>42985</v>
      </c>
      <c r="J189" s="54">
        <v>42983</v>
      </c>
      <c r="K189" s="54" t="s">
        <v>148</v>
      </c>
    </row>
    <row r="190" spans="3:11" x14ac:dyDescent="0.25">
      <c r="C190" s="54">
        <v>42961</v>
      </c>
      <c r="D190" s="55" t="s">
        <v>153</v>
      </c>
      <c r="E190" s="55" t="s">
        <v>147</v>
      </c>
      <c r="F190" s="56">
        <v>8</v>
      </c>
      <c r="G190" s="57">
        <v>1.0900000000000001</v>
      </c>
      <c r="H190" s="57">
        <f t="shared" si="4"/>
        <v>8.7200000000000006</v>
      </c>
      <c r="I190" s="54">
        <f t="shared" si="5"/>
        <v>42986</v>
      </c>
      <c r="J190" s="54">
        <v>42986</v>
      </c>
      <c r="K190" s="54" t="s">
        <v>148</v>
      </c>
    </row>
    <row r="191" spans="3:11" x14ac:dyDescent="0.25">
      <c r="C191" s="54">
        <v>42962</v>
      </c>
      <c r="D191" s="55" t="s">
        <v>152</v>
      </c>
      <c r="E191" s="55" t="s">
        <v>147</v>
      </c>
      <c r="F191" s="56">
        <v>21</v>
      </c>
      <c r="G191" s="57">
        <v>1.4</v>
      </c>
      <c r="H191" s="57">
        <f t="shared" si="4"/>
        <v>29.4</v>
      </c>
      <c r="I191" s="54">
        <f t="shared" si="5"/>
        <v>42987</v>
      </c>
      <c r="J191" s="54">
        <v>42986</v>
      </c>
      <c r="K191" s="54" t="s">
        <v>148</v>
      </c>
    </row>
    <row r="192" spans="3:11" x14ac:dyDescent="0.25">
      <c r="C192" s="54">
        <v>42963</v>
      </c>
      <c r="D192" s="55" t="s">
        <v>153</v>
      </c>
      <c r="E192" s="55" t="s">
        <v>147</v>
      </c>
      <c r="F192" s="56">
        <v>11</v>
      </c>
      <c r="G192" s="57">
        <v>1.0900000000000001</v>
      </c>
      <c r="H192" s="57">
        <f t="shared" si="4"/>
        <v>11.99</v>
      </c>
      <c r="I192" s="54">
        <f t="shared" si="5"/>
        <v>42988</v>
      </c>
      <c r="J192" s="54">
        <v>42986</v>
      </c>
      <c r="K192" s="54" t="s">
        <v>148</v>
      </c>
    </row>
    <row r="193" spans="3:11" x14ac:dyDescent="0.25">
      <c r="C193" s="54">
        <v>42966</v>
      </c>
      <c r="D193" s="55" t="s">
        <v>149</v>
      </c>
      <c r="E193" s="55" t="s">
        <v>150</v>
      </c>
      <c r="F193" s="56">
        <v>17</v>
      </c>
      <c r="G193" s="57">
        <v>2.12</v>
      </c>
      <c r="H193" s="57">
        <f t="shared" si="4"/>
        <v>36.04</v>
      </c>
      <c r="I193" s="54">
        <f t="shared" si="5"/>
        <v>42991</v>
      </c>
      <c r="J193" s="54">
        <v>42991</v>
      </c>
      <c r="K193" s="54" t="s">
        <v>148</v>
      </c>
    </row>
    <row r="194" spans="3:11" x14ac:dyDescent="0.25">
      <c r="C194" s="54">
        <v>42967</v>
      </c>
      <c r="D194" s="55" t="s">
        <v>146</v>
      </c>
      <c r="E194" s="55" t="s">
        <v>147</v>
      </c>
      <c r="F194" s="56">
        <v>12</v>
      </c>
      <c r="G194" s="57">
        <v>1.55</v>
      </c>
      <c r="H194" s="57">
        <f t="shared" si="4"/>
        <v>18.600000000000001</v>
      </c>
      <c r="I194" s="54">
        <f t="shared" si="5"/>
        <v>42992</v>
      </c>
      <c r="J194" s="54">
        <v>42993</v>
      </c>
      <c r="K194" s="54" t="s">
        <v>148</v>
      </c>
    </row>
    <row r="195" spans="3:11" x14ac:dyDescent="0.25">
      <c r="C195" s="54">
        <v>42968</v>
      </c>
      <c r="D195" s="55" t="s">
        <v>149</v>
      </c>
      <c r="E195" s="55" t="s">
        <v>150</v>
      </c>
      <c r="F195" s="56">
        <v>21</v>
      </c>
      <c r="G195" s="57">
        <v>2.12</v>
      </c>
      <c r="H195" s="57">
        <f t="shared" si="4"/>
        <v>44.52</v>
      </c>
      <c r="I195" s="54">
        <f t="shared" si="5"/>
        <v>42993</v>
      </c>
      <c r="J195" s="54">
        <v>42993</v>
      </c>
      <c r="K195" s="54" t="s">
        <v>148</v>
      </c>
    </row>
    <row r="196" spans="3:11" x14ac:dyDescent="0.25">
      <c r="C196" s="54">
        <v>42969</v>
      </c>
      <c r="D196" s="55" t="s">
        <v>146</v>
      </c>
      <c r="E196" s="55" t="s">
        <v>147</v>
      </c>
      <c r="F196" s="56">
        <v>26</v>
      </c>
      <c r="G196" s="57">
        <v>1.55</v>
      </c>
      <c r="H196" s="57">
        <f t="shared" si="4"/>
        <v>40.300000000000004</v>
      </c>
      <c r="I196" s="54">
        <f t="shared" si="5"/>
        <v>42994</v>
      </c>
      <c r="J196" s="54">
        <v>42993</v>
      </c>
      <c r="K196" s="54" t="s">
        <v>148</v>
      </c>
    </row>
    <row r="197" spans="3:11" x14ac:dyDescent="0.25">
      <c r="C197" s="54">
        <v>42970</v>
      </c>
      <c r="D197" s="55" t="s">
        <v>151</v>
      </c>
      <c r="E197" s="55" t="s">
        <v>150</v>
      </c>
      <c r="F197" s="56">
        <v>23</v>
      </c>
      <c r="G197" s="57">
        <v>2.02</v>
      </c>
      <c r="H197" s="57">
        <f t="shared" si="4"/>
        <v>46.46</v>
      </c>
      <c r="I197" s="54">
        <f t="shared" si="5"/>
        <v>42995</v>
      </c>
      <c r="J197" s="54">
        <v>42993</v>
      </c>
      <c r="K197" s="54" t="s">
        <v>148</v>
      </c>
    </row>
    <row r="198" spans="3:11" x14ac:dyDescent="0.25">
      <c r="C198" s="54">
        <v>42973</v>
      </c>
      <c r="D198" s="55" t="s">
        <v>146</v>
      </c>
      <c r="E198" s="55" t="s">
        <v>147</v>
      </c>
      <c r="F198" s="56">
        <v>14</v>
      </c>
      <c r="G198" s="57">
        <v>1.55</v>
      </c>
      <c r="H198" s="57">
        <f t="shared" si="4"/>
        <v>21.7</v>
      </c>
      <c r="I198" s="54">
        <f t="shared" si="5"/>
        <v>42998</v>
      </c>
      <c r="J198" s="54">
        <v>42995</v>
      </c>
      <c r="K198" s="54" t="s">
        <v>148</v>
      </c>
    </row>
    <row r="199" spans="3:11" x14ac:dyDescent="0.25">
      <c r="C199" s="54">
        <v>42974</v>
      </c>
      <c r="D199" s="55" t="s">
        <v>152</v>
      </c>
      <c r="E199" s="55" t="s">
        <v>147</v>
      </c>
      <c r="F199" s="56">
        <v>22</v>
      </c>
      <c r="G199" s="57">
        <v>1.4</v>
      </c>
      <c r="H199" s="57">
        <f t="shared" si="4"/>
        <v>30.799999999999997</v>
      </c>
      <c r="I199" s="54">
        <f t="shared" si="5"/>
        <v>42999</v>
      </c>
      <c r="J199" s="54">
        <v>42999</v>
      </c>
      <c r="K199" s="54" t="s">
        <v>148</v>
      </c>
    </row>
    <row r="200" spans="3:11" x14ac:dyDescent="0.25">
      <c r="C200" s="54">
        <v>42975</v>
      </c>
      <c r="D200" s="55" t="s">
        <v>153</v>
      </c>
      <c r="E200" s="55" t="s">
        <v>147</v>
      </c>
      <c r="F200" s="56">
        <v>12</v>
      </c>
      <c r="G200" s="57">
        <v>1.0900000000000001</v>
      </c>
      <c r="H200" s="57">
        <f t="shared" si="4"/>
        <v>13.080000000000002</v>
      </c>
      <c r="I200" s="54">
        <f t="shared" si="5"/>
        <v>43000</v>
      </c>
      <c r="J200" s="54">
        <v>42999</v>
      </c>
      <c r="K200" s="54" t="s">
        <v>148</v>
      </c>
    </row>
    <row r="201" spans="3:11" x14ac:dyDescent="0.25">
      <c r="C201" s="54">
        <v>42976</v>
      </c>
      <c r="D201" s="55" t="s">
        <v>154</v>
      </c>
      <c r="E201" s="55" t="s">
        <v>150</v>
      </c>
      <c r="F201" s="56">
        <v>6</v>
      </c>
      <c r="G201" s="57">
        <v>1.37</v>
      </c>
      <c r="H201" s="57">
        <f t="shared" si="4"/>
        <v>8.2200000000000006</v>
      </c>
      <c r="I201" s="54">
        <f t="shared" si="5"/>
        <v>43001</v>
      </c>
      <c r="J201" s="54">
        <v>43000</v>
      </c>
      <c r="K201" s="54" t="s">
        <v>148</v>
      </c>
    </row>
    <row r="202" spans="3:11" x14ac:dyDescent="0.25">
      <c r="C202" s="54">
        <v>42977</v>
      </c>
      <c r="D202" s="55" t="s">
        <v>146</v>
      </c>
      <c r="E202" s="55" t="s">
        <v>147</v>
      </c>
      <c r="F202" s="56">
        <v>25</v>
      </c>
      <c r="G202" s="57">
        <v>1.55</v>
      </c>
      <c r="H202" s="57">
        <f t="shared" si="4"/>
        <v>38.75</v>
      </c>
      <c r="I202" s="54">
        <f t="shared" si="5"/>
        <v>43002</v>
      </c>
      <c r="J202" s="54">
        <v>43000</v>
      </c>
      <c r="K202" s="54" t="s">
        <v>148</v>
      </c>
    </row>
    <row r="203" spans="3:11" x14ac:dyDescent="0.25">
      <c r="C203" s="54">
        <v>42980</v>
      </c>
      <c r="D203" s="55" t="s">
        <v>153</v>
      </c>
      <c r="E203" s="55" t="s">
        <v>147</v>
      </c>
      <c r="F203" s="56">
        <v>15</v>
      </c>
      <c r="G203" s="57">
        <v>1.0900000000000001</v>
      </c>
      <c r="H203" s="57">
        <f t="shared" si="4"/>
        <v>16.350000000000001</v>
      </c>
      <c r="I203" s="54">
        <f t="shared" si="5"/>
        <v>43005</v>
      </c>
      <c r="J203" s="54">
        <v>43005</v>
      </c>
      <c r="K203" s="54" t="s">
        <v>148</v>
      </c>
    </row>
    <row r="204" spans="3:11" x14ac:dyDescent="0.25">
      <c r="C204" s="54">
        <v>42981</v>
      </c>
      <c r="D204" s="55" t="s">
        <v>149</v>
      </c>
      <c r="E204" s="55" t="s">
        <v>150</v>
      </c>
      <c r="F204" s="56">
        <v>7</v>
      </c>
      <c r="G204" s="57">
        <v>2.12</v>
      </c>
      <c r="H204" s="57">
        <f t="shared" si="4"/>
        <v>14.84</v>
      </c>
      <c r="I204" s="54">
        <f t="shared" si="5"/>
        <v>43006</v>
      </c>
      <c r="J204" s="54">
        <v>43005</v>
      </c>
      <c r="K204" s="54" t="s">
        <v>148</v>
      </c>
    </row>
    <row r="205" spans="3:11" x14ac:dyDescent="0.25">
      <c r="C205" s="54">
        <v>42982</v>
      </c>
      <c r="D205" s="55" t="s">
        <v>154</v>
      </c>
      <c r="E205" s="55" t="s">
        <v>150</v>
      </c>
      <c r="F205" s="56">
        <v>12</v>
      </c>
      <c r="G205" s="57">
        <v>1.37</v>
      </c>
      <c r="H205" s="57">
        <f t="shared" si="4"/>
        <v>16.440000000000001</v>
      </c>
      <c r="I205" s="54">
        <f t="shared" si="5"/>
        <v>43007</v>
      </c>
      <c r="J205" s="54">
        <v>43007</v>
      </c>
      <c r="K205" s="54" t="s">
        <v>148</v>
      </c>
    </row>
    <row r="206" spans="3:11" x14ac:dyDescent="0.25">
      <c r="C206" s="54">
        <v>42983</v>
      </c>
      <c r="D206" s="55" t="s">
        <v>146</v>
      </c>
      <c r="E206" s="55" t="s">
        <v>147</v>
      </c>
      <c r="F206" s="56">
        <v>7</v>
      </c>
      <c r="G206" s="57">
        <v>1.55</v>
      </c>
      <c r="H206" s="57">
        <f t="shared" si="4"/>
        <v>10.85</v>
      </c>
      <c r="I206" s="54">
        <f t="shared" si="5"/>
        <v>43008</v>
      </c>
      <c r="J206" s="54">
        <v>43007</v>
      </c>
      <c r="K206" s="54" t="s">
        <v>148</v>
      </c>
    </row>
    <row r="207" spans="3:11" x14ac:dyDescent="0.25">
      <c r="C207" s="54">
        <v>42984</v>
      </c>
      <c r="D207" s="55" t="s">
        <v>149</v>
      </c>
      <c r="E207" s="55" t="s">
        <v>150</v>
      </c>
      <c r="F207" s="56">
        <v>11</v>
      </c>
      <c r="G207" s="57">
        <v>2.12</v>
      </c>
      <c r="H207" s="57">
        <f t="shared" si="4"/>
        <v>23.32</v>
      </c>
      <c r="I207" s="54">
        <f t="shared" si="5"/>
        <v>43009</v>
      </c>
      <c r="J207" s="54">
        <v>43011</v>
      </c>
      <c r="K207" s="54" t="s">
        <v>148</v>
      </c>
    </row>
    <row r="208" spans="3:11" x14ac:dyDescent="0.25">
      <c r="C208" s="54">
        <v>42987</v>
      </c>
      <c r="D208" s="55" t="s">
        <v>152</v>
      </c>
      <c r="E208" s="55" t="s">
        <v>147</v>
      </c>
      <c r="F208" s="56">
        <v>21</v>
      </c>
      <c r="G208" s="57">
        <v>1.4</v>
      </c>
      <c r="H208" s="57">
        <f t="shared" si="4"/>
        <v>29.4</v>
      </c>
      <c r="I208" s="54">
        <f t="shared" si="5"/>
        <v>43012</v>
      </c>
      <c r="J208" s="54">
        <v>43011</v>
      </c>
      <c r="K208" s="54" t="s">
        <v>148</v>
      </c>
    </row>
    <row r="209" spans="3:11" x14ac:dyDescent="0.25">
      <c r="C209" s="54">
        <v>42988</v>
      </c>
      <c r="D209" s="55" t="s">
        <v>149</v>
      </c>
      <c r="E209" s="55" t="s">
        <v>150</v>
      </c>
      <c r="F209" s="56">
        <v>26</v>
      </c>
      <c r="G209" s="57">
        <v>2.12</v>
      </c>
      <c r="H209" s="57">
        <f t="shared" si="4"/>
        <v>55.120000000000005</v>
      </c>
      <c r="I209" s="54">
        <f t="shared" si="5"/>
        <v>43013</v>
      </c>
      <c r="J209" s="54">
        <v>43012</v>
      </c>
      <c r="K209" s="54" t="s">
        <v>148</v>
      </c>
    </row>
    <row r="210" spans="3:11" x14ac:dyDescent="0.25">
      <c r="C210" s="54">
        <v>42989</v>
      </c>
      <c r="D210" s="55" t="s">
        <v>146</v>
      </c>
      <c r="E210" s="55" t="s">
        <v>147</v>
      </c>
      <c r="F210" s="56">
        <v>12</v>
      </c>
      <c r="G210" s="57">
        <v>1.55</v>
      </c>
      <c r="H210" s="57">
        <f t="shared" si="4"/>
        <v>18.600000000000001</v>
      </c>
      <c r="I210" s="54">
        <f t="shared" si="5"/>
        <v>43014</v>
      </c>
      <c r="J210" s="54">
        <v>43012</v>
      </c>
      <c r="K210" s="54" t="s">
        <v>148</v>
      </c>
    </row>
    <row r="211" spans="3:11" x14ac:dyDescent="0.25">
      <c r="C211" s="54">
        <v>42990</v>
      </c>
      <c r="D211" s="55" t="s">
        <v>149</v>
      </c>
      <c r="E211" s="55" t="s">
        <v>150</v>
      </c>
      <c r="F211" s="56">
        <v>11</v>
      </c>
      <c r="G211" s="57">
        <v>2.12</v>
      </c>
      <c r="H211" s="57">
        <f t="shared" si="4"/>
        <v>23.32</v>
      </c>
      <c r="I211" s="54">
        <f t="shared" si="5"/>
        <v>43015</v>
      </c>
      <c r="J211" s="54">
        <v>43015</v>
      </c>
      <c r="K211" s="54" t="s">
        <v>148</v>
      </c>
    </row>
    <row r="212" spans="3:11" x14ac:dyDescent="0.25">
      <c r="C212" s="54">
        <v>42991</v>
      </c>
      <c r="D212" s="55" t="s">
        <v>149</v>
      </c>
      <c r="E212" s="55" t="s">
        <v>150</v>
      </c>
      <c r="F212" s="56">
        <v>12</v>
      </c>
      <c r="G212" s="57">
        <v>2.12</v>
      </c>
      <c r="H212" s="57">
        <f t="shared" si="4"/>
        <v>25.44</v>
      </c>
      <c r="I212" s="54">
        <f t="shared" si="5"/>
        <v>43016</v>
      </c>
      <c r="J212" s="54">
        <v>43015</v>
      </c>
      <c r="K212" s="54" t="s">
        <v>148</v>
      </c>
    </row>
    <row r="213" spans="3:11" x14ac:dyDescent="0.25">
      <c r="C213" s="54">
        <v>42994</v>
      </c>
      <c r="D213" s="55" t="s">
        <v>149</v>
      </c>
      <c r="E213" s="55" t="s">
        <v>150</v>
      </c>
      <c r="F213" s="56">
        <v>13</v>
      </c>
      <c r="G213" s="57">
        <v>2.12</v>
      </c>
      <c r="H213" s="57">
        <f t="shared" si="4"/>
        <v>27.560000000000002</v>
      </c>
      <c r="I213" s="54">
        <f t="shared" si="5"/>
        <v>43019</v>
      </c>
      <c r="J213" s="54">
        <v>43019</v>
      </c>
      <c r="K213" s="54" t="s">
        <v>148</v>
      </c>
    </row>
    <row r="214" spans="3:11" x14ac:dyDescent="0.25">
      <c r="C214" s="54">
        <v>42995</v>
      </c>
      <c r="D214" s="55" t="s">
        <v>153</v>
      </c>
      <c r="E214" s="55" t="s">
        <v>147</v>
      </c>
      <c r="F214" s="56">
        <v>15</v>
      </c>
      <c r="G214" s="57">
        <v>1.0900000000000001</v>
      </c>
      <c r="H214" s="57">
        <f t="shared" si="4"/>
        <v>16.350000000000001</v>
      </c>
      <c r="I214" s="54">
        <f t="shared" si="5"/>
        <v>43020</v>
      </c>
      <c r="J214" s="54">
        <v>43019</v>
      </c>
      <c r="K214" s="54" t="s">
        <v>148</v>
      </c>
    </row>
    <row r="215" spans="3:11" x14ac:dyDescent="0.25">
      <c r="C215" s="54">
        <v>42996</v>
      </c>
      <c r="D215" s="55" t="s">
        <v>146</v>
      </c>
      <c r="E215" s="55" t="s">
        <v>147</v>
      </c>
      <c r="F215" s="56">
        <v>17</v>
      </c>
      <c r="G215" s="57">
        <v>1.55</v>
      </c>
      <c r="H215" s="57">
        <f t="shared" si="4"/>
        <v>26.35</v>
      </c>
      <c r="I215" s="54">
        <f t="shared" si="5"/>
        <v>43021</v>
      </c>
      <c r="J215" s="54">
        <v>43019</v>
      </c>
      <c r="K215" s="54" t="s">
        <v>148</v>
      </c>
    </row>
    <row r="216" spans="3:11" x14ac:dyDescent="0.25">
      <c r="C216" s="54">
        <v>42997</v>
      </c>
      <c r="D216" s="55" t="s">
        <v>146</v>
      </c>
      <c r="E216" s="55" t="s">
        <v>147</v>
      </c>
      <c r="F216" s="56">
        <v>23</v>
      </c>
      <c r="G216" s="57">
        <v>1.55</v>
      </c>
      <c r="H216" s="57">
        <f t="shared" si="4"/>
        <v>35.65</v>
      </c>
      <c r="I216" s="54">
        <f t="shared" si="5"/>
        <v>43022</v>
      </c>
      <c r="J216" s="54">
        <v>43022</v>
      </c>
      <c r="K216" s="54" t="s">
        <v>148</v>
      </c>
    </row>
    <row r="217" spans="3:11" x14ac:dyDescent="0.25">
      <c r="C217" s="54">
        <v>42998</v>
      </c>
      <c r="D217" s="55" t="s">
        <v>146</v>
      </c>
      <c r="E217" s="55" t="s">
        <v>147</v>
      </c>
      <c r="F217" s="56">
        <v>18</v>
      </c>
      <c r="G217" s="57">
        <v>1.55</v>
      </c>
      <c r="H217" s="57">
        <f t="shared" si="4"/>
        <v>27.900000000000002</v>
      </c>
      <c r="I217" s="54">
        <f t="shared" si="5"/>
        <v>43023</v>
      </c>
      <c r="J217" s="54">
        <v>43024</v>
      </c>
      <c r="K217" s="54" t="s">
        <v>148</v>
      </c>
    </row>
    <row r="218" spans="3:11" x14ac:dyDescent="0.25">
      <c r="C218" s="54">
        <v>43001</v>
      </c>
      <c r="D218" s="55" t="s">
        <v>146</v>
      </c>
      <c r="E218" s="55" t="s">
        <v>147</v>
      </c>
      <c r="F218" s="56">
        <v>16</v>
      </c>
      <c r="G218" s="57">
        <v>1.55</v>
      </c>
      <c r="H218" s="57">
        <f t="shared" si="4"/>
        <v>24.8</v>
      </c>
      <c r="I218" s="54">
        <f t="shared" si="5"/>
        <v>43026</v>
      </c>
      <c r="J218" s="54">
        <v>43026</v>
      </c>
      <c r="K218" s="54" t="s">
        <v>148</v>
      </c>
    </row>
    <row r="219" spans="3:11" x14ac:dyDescent="0.25">
      <c r="C219" s="54">
        <v>43002</v>
      </c>
      <c r="D219" s="55" t="s">
        <v>153</v>
      </c>
      <c r="E219" s="55" t="s">
        <v>147</v>
      </c>
      <c r="F219" s="56">
        <v>19</v>
      </c>
      <c r="G219" s="57">
        <v>1.0900000000000001</v>
      </c>
      <c r="H219" s="57">
        <f t="shared" si="4"/>
        <v>20.71</v>
      </c>
      <c r="I219" s="54">
        <f t="shared" si="5"/>
        <v>43027</v>
      </c>
      <c r="J219" s="54">
        <v>43026</v>
      </c>
      <c r="K219" s="54" t="s">
        <v>148</v>
      </c>
    </row>
    <row r="220" spans="3:11" x14ac:dyDescent="0.25">
      <c r="C220" s="54">
        <v>43003</v>
      </c>
      <c r="D220" s="55" t="s">
        <v>146</v>
      </c>
      <c r="E220" s="55" t="s">
        <v>147</v>
      </c>
      <c r="F220" s="56">
        <v>8</v>
      </c>
      <c r="G220" s="57">
        <v>1.55</v>
      </c>
      <c r="H220" s="57">
        <f t="shared" si="4"/>
        <v>12.4</v>
      </c>
      <c r="I220" s="54">
        <f t="shared" si="5"/>
        <v>43028</v>
      </c>
      <c r="J220" s="54">
        <v>43026</v>
      </c>
      <c r="K220" s="54" t="s">
        <v>148</v>
      </c>
    </row>
    <row r="221" spans="3:11" x14ac:dyDescent="0.25">
      <c r="C221" s="54">
        <v>43004</v>
      </c>
      <c r="D221" s="55" t="s">
        <v>152</v>
      </c>
      <c r="E221" s="55" t="s">
        <v>147</v>
      </c>
      <c r="F221" s="56">
        <v>10</v>
      </c>
      <c r="G221" s="57">
        <v>1.4</v>
      </c>
      <c r="H221" s="57">
        <f t="shared" ref="H221:H284" si="6">F221*G221</f>
        <v>14</v>
      </c>
      <c r="I221" s="54">
        <f t="shared" si="5"/>
        <v>43029</v>
      </c>
      <c r="J221" s="54">
        <v>43030</v>
      </c>
      <c r="K221" s="54" t="s">
        <v>148</v>
      </c>
    </row>
    <row r="222" spans="3:11" x14ac:dyDescent="0.25">
      <c r="C222" s="54">
        <v>43005</v>
      </c>
      <c r="D222" s="55" t="s">
        <v>152</v>
      </c>
      <c r="E222" s="55" t="s">
        <v>147</v>
      </c>
      <c r="F222" s="56">
        <v>11</v>
      </c>
      <c r="G222" s="57">
        <v>1.4</v>
      </c>
      <c r="H222" s="57">
        <f t="shared" si="6"/>
        <v>15.399999999999999</v>
      </c>
      <c r="I222" s="54">
        <f t="shared" ref="I222:I285" si="7">+C222+25</f>
        <v>43030</v>
      </c>
      <c r="J222" s="54">
        <v>43028</v>
      </c>
      <c r="K222" s="54" t="s">
        <v>148</v>
      </c>
    </row>
    <row r="223" spans="3:11" x14ac:dyDescent="0.25">
      <c r="C223" s="54">
        <v>43008</v>
      </c>
      <c r="D223" s="55" t="s">
        <v>153</v>
      </c>
      <c r="E223" s="55" t="s">
        <v>147</v>
      </c>
      <c r="F223" s="56">
        <v>22</v>
      </c>
      <c r="G223" s="57">
        <v>1.0900000000000001</v>
      </c>
      <c r="H223" s="57">
        <f t="shared" si="6"/>
        <v>23.98</v>
      </c>
      <c r="I223" s="54">
        <f t="shared" si="7"/>
        <v>43033</v>
      </c>
      <c r="J223" s="54">
        <v>43033</v>
      </c>
      <c r="K223" s="54" t="s">
        <v>148</v>
      </c>
    </row>
    <row r="224" spans="3:11" x14ac:dyDescent="0.25">
      <c r="C224" s="54">
        <v>43009</v>
      </c>
      <c r="D224" s="55" t="s">
        <v>146</v>
      </c>
      <c r="E224" s="55" t="s">
        <v>147</v>
      </c>
      <c r="F224" s="56">
        <v>9</v>
      </c>
      <c r="G224" s="57">
        <v>1.55</v>
      </c>
      <c r="H224" s="57">
        <f t="shared" si="6"/>
        <v>13.950000000000001</v>
      </c>
      <c r="I224" s="54">
        <f t="shared" si="7"/>
        <v>43034</v>
      </c>
      <c r="J224" s="54">
        <v>43033</v>
      </c>
      <c r="K224" s="54" t="s">
        <v>148</v>
      </c>
    </row>
    <row r="225" spans="3:11" x14ac:dyDescent="0.25">
      <c r="C225" s="54">
        <v>43010</v>
      </c>
      <c r="D225" s="55" t="s">
        <v>151</v>
      </c>
      <c r="E225" s="55" t="s">
        <v>150</v>
      </c>
      <c r="F225" s="56">
        <v>24</v>
      </c>
      <c r="G225" s="57">
        <v>2.02</v>
      </c>
      <c r="H225" s="57">
        <f t="shared" si="6"/>
        <v>48.480000000000004</v>
      </c>
      <c r="I225" s="54">
        <f t="shared" si="7"/>
        <v>43035</v>
      </c>
      <c r="J225" s="54">
        <v>43035</v>
      </c>
      <c r="K225" s="54" t="s">
        <v>148</v>
      </c>
    </row>
    <row r="226" spans="3:11" x14ac:dyDescent="0.25">
      <c r="C226" s="54">
        <v>43011</v>
      </c>
      <c r="D226" s="55" t="s">
        <v>146</v>
      </c>
      <c r="E226" s="55" t="s">
        <v>147</v>
      </c>
      <c r="F226" s="56">
        <v>23</v>
      </c>
      <c r="G226" s="57">
        <v>1.55</v>
      </c>
      <c r="H226" s="57">
        <f t="shared" si="6"/>
        <v>35.65</v>
      </c>
      <c r="I226" s="54">
        <f t="shared" si="7"/>
        <v>43036</v>
      </c>
      <c r="J226" s="54">
        <v>43035</v>
      </c>
      <c r="K226" s="54" t="s">
        <v>148</v>
      </c>
    </row>
    <row r="227" spans="3:11" x14ac:dyDescent="0.25">
      <c r="C227" s="54">
        <v>43012</v>
      </c>
      <c r="D227" s="55" t="s">
        <v>152</v>
      </c>
      <c r="E227" s="55" t="s">
        <v>147</v>
      </c>
      <c r="F227" s="56">
        <v>17</v>
      </c>
      <c r="G227" s="57">
        <v>1.4</v>
      </c>
      <c r="H227" s="57">
        <f t="shared" si="6"/>
        <v>23.799999999999997</v>
      </c>
      <c r="I227" s="54">
        <f t="shared" si="7"/>
        <v>43037</v>
      </c>
      <c r="J227" s="54">
        <v>43035</v>
      </c>
      <c r="K227" s="54" t="s">
        <v>148</v>
      </c>
    </row>
    <row r="228" spans="3:11" x14ac:dyDescent="0.25">
      <c r="C228" s="54">
        <v>43015</v>
      </c>
      <c r="D228" s="55" t="s">
        <v>153</v>
      </c>
      <c r="E228" s="55" t="s">
        <v>147</v>
      </c>
      <c r="F228" s="56">
        <v>12</v>
      </c>
      <c r="G228" s="57">
        <v>1.0900000000000001</v>
      </c>
      <c r="H228" s="57">
        <f t="shared" si="6"/>
        <v>13.080000000000002</v>
      </c>
      <c r="I228" s="54">
        <f t="shared" si="7"/>
        <v>43040</v>
      </c>
      <c r="J228" s="54">
        <v>43040</v>
      </c>
      <c r="K228" s="54" t="s">
        <v>148</v>
      </c>
    </row>
    <row r="229" spans="3:11" x14ac:dyDescent="0.25">
      <c r="C229" s="54">
        <v>43016</v>
      </c>
      <c r="D229" s="55" t="s">
        <v>154</v>
      </c>
      <c r="E229" s="55" t="s">
        <v>150</v>
      </c>
      <c r="F229" s="56">
        <v>26</v>
      </c>
      <c r="G229" s="57">
        <v>1.37</v>
      </c>
      <c r="H229" s="57">
        <f t="shared" si="6"/>
        <v>35.620000000000005</v>
      </c>
      <c r="I229" s="54">
        <f t="shared" si="7"/>
        <v>43041</v>
      </c>
      <c r="J229" s="54">
        <v>43041</v>
      </c>
      <c r="K229" s="54" t="s">
        <v>148</v>
      </c>
    </row>
    <row r="230" spans="3:11" x14ac:dyDescent="0.25">
      <c r="C230" s="54">
        <v>43018</v>
      </c>
      <c r="D230" s="55" t="s">
        <v>151</v>
      </c>
      <c r="E230" s="55" t="s">
        <v>150</v>
      </c>
      <c r="F230" s="56">
        <v>26</v>
      </c>
      <c r="G230" s="57">
        <v>2.02</v>
      </c>
      <c r="H230" s="57">
        <f t="shared" si="6"/>
        <v>52.52</v>
      </c>
      <c r="I230" s="54">
        <f t="shared" si="7"/>
        <v>43043</v>
      </c>
      <c r="J230" s="54">
        <v>43042</v>
      </c>
      <c r="K230" s="54" t="s">
        <v>148</v>
      </c>
    </row>
    <row r="231" spans="3:11" x14ac:dyDescent="0.25">
      <c r="C231" s="54">
        <v>43019</v>
      </c>
      <c r="D231" s="55" t="s">
        <v>146</v>
      </c>
      <c r="E231" s="55" t="s">
        <v>147</v>
      </c>
      <c r="F231" s="56">
        <v>10</v>
      </c>
      <c r="G231" s="57">
        <v>1.55</v>
      </c>
      <c r="H231" s="57">
        <f t="shared" si="6"/>
        <v>15.5</v>
      </c>
      <c r="I231" s="54">
        <f t="shared" si="7"/>
        <v>43044</v>
      </c>
      <c r="J231" s="54">
        <v>43043</v>
      </c>
      <c r="K231" s="54" t="s">
        <v>148</v>
      </c>
    </row>
    <row r="232" spans="3:11" x14ac:dyDescent="0.25">
      <c r="C232" s="54">
        <v>43020</v>
      </c>
      <c r="D232" s="55" t="s">
        <v>146</v>
      </c>
      <c r="E232" s="55" t="s">
        <v>147</v>
      </c>
      <c r="F232" s="56">
        <v>19</v>
      </c>
      <c r="G232" s="57">
        <v>1.55</v>
      </c>
      <c r="H232" s="57">
        <f t="shared" si="6"/>
        <v>29.45</v>
      </c>
      <c r="I232" s="54">
        <f t="shared" si="7"/>
        <v>43045</v>
      </c>
      <c r="J232" s="54">
        <v>43043</v>
      </c>
      <c r="K232" s="54" t="s">
        <v>148</v>
      </c>
    </row>
    <row r="233" spans="3:11" x14ac:dyDescent="0.25">
      <c r="C233" s="54">
        <v>43023</v>
      </c>
      <c r="D233" s="55" t="s">
        <v>153</v>
      </c>
      <c r="E233" s="55" t="s">
        <v>147</v>
      </c>
      <c r="F233" s="56">
        <v>10</v>
      </c>
      <c r="G233" s="57">
        <v>1.0900000000000001</v>
      </c>
      <c r="H233" s="57">
        <f t="shared" si="6"/>
        <v>10.9</v>
      </c>
      <c r="I233" s="54">
        <f t="shared" si="7"/>
        <v>43048</v>
      </c>
      <c r="J233" s="54">
        <v>43048</v>
      </c>
      <c r="K233" s="54" t="s">
        <v>148</v>
      </c>
    </row>
    <row r="234" spans="3:11" x14ac:dyDescent="0.25">
      <c r="C234" s="54">
        <v>43024</v>
      </c>
      <c r="D234" s="55" t="s">
        <v>153</v>
      </c>
      <c r="E234" s="55" t="s">
        <v>147</v>
      </c>
      <c r="F234" s="56">
        <v>10</v>
      </c>
      <c r="G234" s="57">
        <v>1.0900000000000001</v>
      </c>
      <c r="H234" s="57">
        <f t="shared" si="6"/>
        <v>10.9</v>
      </c>
      <c r="I234" s="54">
        <f t="shared" si="7"/>
        <v>43049</v>
      </c>
      <c r="J234" s="54">
        <v>43046</v>
      </c>
      <c r="K234" s="54" t="s">
        <v>148</v>
      </c>
    </row>
    <row r="235" spans="3:11" x14ac:dyDescent="0.25">
      <c r="C235" s="54">
        <v>43025</v>
      </c>
      <c r="D235" s="55" t="s">
        <v>149</v>
      </c>
      <c r="E235" s="55" t="s">
        <v>150</v>
      </c>
      <c r="F235" s="56">
        <v>26</v>
      </c>
      <c r="G235" s="57">
        <v>2.12</v>
      </c>
      <c r="H235" s="57">
        <f t="shared" si="6"/>
        <v>55.120000000000005</v>
      </c>
      <c r="I235" s="54">
        <f t="shared" si="7"/>
        <v>43050</v>
      </c>
      <c r="J235" s="54">
        <v>43050</v>
      </c>
      <c r="K235" s="54" t="s">
        <v>148</v>
      </c>
    </row>
    <row r="236" spans="3:11" x14ac:dyDescent="0.25">
      <c r="C236" s="54">
        <v>43026</v>
      </c>
      <c r="D236" s="55" t="s">
        <v>153</v>
      </c>
      <c r="E236" s="55" t="s">
        <v>147</v>
      </c>
      <c r="F236" s="56">
        <v>12</v>
      </c>
      <c r="G236" s="57">
        <v>1.0900000000000001</v>
      </c>
      <c r="H236" s="57">
        <f t="shared" si="6"/>
        <v>13.080000000000002</v>
      </c>
      <c r="I236" s="54">
        <f t="shared" si="7"/>
        <v>43051</v>
      </c>
      <c r="J236" s="54">
        <v>43050</v>
      </c>
      <c r="K236" s="54" t="s">
        <v>148</v>
      </c>
    </row>
    <row r="237" spans="3:11" x14ac:dyDescent="0.25">
      <c r="C237" s="54">
        <v>43027</v>
      </c>
      <c r="D237" s="55" t="s">
        <v>146</v>
      </c>
      <c r="E237" s="55" t="s">
        <v>147</v>
      </c>
      <c r="F237" s="56">
        <v>23</v>
      </c>
      <c r="G237" s="57">
        <v>1.55</v>
      </c>
      <c r="H237" s="57">
        <f t="shared" si="6"/>
        <v>35.65</v>
      </c>
      <c r="I237" s="54">
        <f t="shared" si="7"/>
        <v>43052</v>
      </c>
      <c r="J237" s="54">
        <v>43050</v>
      </c>
      <c r="K237" s="54" t="s">
        <v>148</v>
      </c>
    </row>
    <row r="238" spans="3:11" x14ac:dyDescent="0.25">
      <c r="C238" s="54">
        <v>43030</v>
      </c>
      <c r="D238" s="55" t="s">
        <v>146</v>
      </c>
      <c r="E238" s="55" t="s">
        <v>147</v>
      </c>
      <c r="F238" s="56">
        <v>26</v>
      </c>
      <c r="G238" s="57">
        <v>1.55</v>
      </c>
      <c r="H238" s="57">
        <f t="shared" si="6"/>
        <v>40.300000000000004</v>
      </c>
      <c r="I238" s="54">
        <f t="shared" si="7"/>
        <v>43055</v>
      </c>
      <c r="J238" s="54">
        <v>43053</v>
      </c>
      <c r="K238" s="54" t="s">
        <v>148</v>
      </c>
    </row>
    <row r="239" spans="3:11" x14ac:dyDescent="0.25">
      <c r="C239" s="54">
        <v>43031</v>
      </c>
      <c r="D239" s="55" t="s">
        <v>149</v>
      </c>
      <c r="E239" s="55" t="s">
        <v>150</v>
      </c>
      <c r="F239" s="56">
        <v>12</v>
      </c>
      <c r="G239" s="57">
        <v>2.12</v>
      </c>
      <c r="H239" s="57">
        <f t="shared" si="6"/>
        <v>25.44</v>
      </c>
      <c r="I239" s="54">
        <f t="shared" si="7"/>
        <v>43056</v>
      </c>
      <c r="J239" s="54">
        <v>43056</v>
      </c>
      <c r="K239" s="54" t="s">
        <v>148</v>
      </c>
    </row>
    <row r="240" spans="3:11" x14ac:dyDescent="0.25">
      <c r="C240" s="54">
        <v>43032</v>
      </c>
      <c r="D240" s="55" t="s">
        <v>151</v>
      </c>
      <c r="E240" s="55" t="s">
        <v>150</v>
      </c>
      <c r="F240" s="56">
        <v>11</v>
      </c>
      <c r="G240" s="57">
        <v>2.02</v>
      </c>
      <c r="H240" s="57">
        <f t="shared" si="6"/>
        <v>22.22</v>
      </c>
      <c r="I240" s="54">
        <f t="shared" si="7"/>
        <v>43057</v>
      </c>
      <c r="J240" s="54">
        <v>43056</v>
      </c>
      <c r="K240" s="54" t="s">
        <v>148</v>
      </c>
    </row>
    <row r="241" spans="3:11" x14ac:dyDescent="0.25">
      <c r="C241" s="54">
        <v>43033</v>
      </c>
      <c r="D241" s="55" t="s">
        <v>149</v>
      </c>
      <c r="E241" s="55" t="s">
        <v>150</v>
      </c>
      <c r="F241" s="56">
        <v>19</v>
      </c>
      <c r="G241" s="57">
        <v>2.12</v>
      </c>
      <c r="H241" s="57">
        <f t="shared" si="6"/>
        <v>40.28</v>
      </c>
      <c r="I241" s="54">
        <f t="shared" si="7"/>
        <v>43058</v>
      </c>
      <c r="J241" s="54">
        <v>43058</v>
      </c>
      <c r="K241" s="54" t="s">
        <v>148</v>
      </c>
    </row>
    <row r="242" spans="3:11" x14ac:dyDescent="0.25">
      <c r="C242" s="54">
        <v>43034</v>
      </c>
      <c r="D242" s="55" t="s">
        <v>146</v>
      </c>
      <c r="E242" s="55" t="s">
        <v>147</v>
      </c>
      <c r="F242" s="56">
        <v>17</v>
      </c>
      <c r="G242" s="57">
        <v>1.55</v>
      </c>
      <c r="H242" s="57">
        <f t="shared" si="6"/>
        <v>26.35</v>
      </c>
      <c r="I242" s="54">
        <f t="shared" si="7"/>
        <v>43059</v>
      </c>
      <c r="J242" s="54">
        <v>43058</v>
      </c>
      <c r="K242" s="54" t="s">
        <v>148</v>
      </c>
    </row>
    <row r="243" spans="3:11" x14ac:dyDescent="0.25">
      <c r="C243" s="54">
        <v>43037</v>
      </c>
      <c r="D243" s="55" t="s">
        <v>146</v>
      </c>
      <c r="E243" s="55" t="s">
        <v>147</v>
      </c>
      <c r="F243" s="56">
        <v>17</v>
      </c>
      <c r="G243" s="57">
        <v>1.55</v>
      </c>
      <c r="H243" s="57">
        <f t="shared" si="6"/>
        <v>26.35</v>
      </c>
      <c r="I243" s="54">
        <f t="shared" si="7"/>
        <v>43062</v>
      </c>
      <c r="J243" s="54">
        <v>43060</v>
      </c>
      <c r="K243" s="54" t="s">
        <v>148</v>
      </c>
    </row>
    <row r="244" spans="3:11" x14ac:dyDescent="0.25">
      <c r="C244" s="54">
        <v>43038</v>
      </c>
      <c r="D244" s="55" t="s">
        <v>154</v>
      </c>
      <c r="E244" s="55" t="s">
        <v>150</v>
      </c>
      <c r="F244" s="56">
        <v>23</v>
      </c>
      <c r="G244" s="57">
        <v>1.37</v>
      </c>
      <c r="H244" s="57">
        <f t="shared" si="6"/>
        <v>31.51</v>
      </c>
      <c r="I244" s="54">
        <f t="shared" si="7"/>
        <v>43063</v>
      </c>
      <c r="J244" s="54">
        <v>43064</v>
      </c>
      <c r="K244" s="54" t="s">
        <v>148</v>
      </c>
    </row>
    <row r="245" spans="3:11" x14ac:dyDescent="0.25">
      <c r="C245" s="54">
        <v>43039</v>
      </c>
      <c r="D245" s="55" t="s">
        <v>153</v>
      </c>
      <c r="E245" s="55" t="s">
        <v>147</v>
      </c>
      <c r="F245" s="56">
        <v>22</v>
      </c>
      <c r="G245" s="57">
        <v>1.0900000000000001</v>
      </c>
      <c r="H245" s="57">
        <f t="shared" si="6"/>
        <v>23.98</v>
      </c>
      <c r="I245" s="54">
        <f t="shared" si="7"/>
        <v>43064</v>
      </c>
      <c r="J245" s="54">
        <v>43067</v>
      </c>
      <c r="K245" s="54" t="s">
        <v>148</v>
      </c>
    </row>
    <row r="246" spans="3:11" x14ac:dyDescent="0.25">
      <c r="C246" s="54">
        <v>43040</v>
      </c>
      <c r="D246" s="55" t="s">
        <v>154</v>
      </c>
      <c r="E246" s="55" t="s">
        <v>150</v>
      </c>
      <c r="F246" s="56">
        <v>13</v>
      </c>
      <c r="G246" s="57">
        <v>1.37</v>
      </c>
      <c r="H246" s="57">
        <f t="shared" si="6"/>
        <v>17.810000000000002</v>
      </c>
      <c r="I246" s="54">
        <f t="shared" si="7"/>
        <v>43065</v>
      </c>
      <c r="J246" s="54">
        <v>43064</v>
      </c>
      <c r="K246" s="54" t="s">
        <v>148</v>
      </c>
    </row>
    <row r="247" spans="3:11" x14ac:dyDescent="0.25">
      <c r="C247" s="54">
        <v>43041</v>
      </c>
      <c r="D247" s="55" t="s">
        <v>149</v>
      </c>
      <c r="E247" s="55" t="s">
        <v>150</v>
      </c>
      <c r="F247" s="56">
        <v>18</v>
      </c>
      <c r="G247" s="57">
        <v>2.12</v>
      </c>
      <c r="H247" s="57">
        <f t="shared" si="6"/>
        <v>38.160000000000004</v>
      </c>
      <c r="I247" s="54">
        <f t="shared" si="7"/>
        <v>43066</v>
      </c>
      <c r="J247" s="54">
        <v>43065</v>
      </c>
      <c r="K247" s="54" t="s">
        <v>148</v>
      </c>
    </row>
    <row r="248" spans="3:11" x14ac:dyDescent="0.25">
      <c r="C248" s="54">
        <v>43044</v>
      </c>
      <c r="D248" s="55" t="s">
        <v>149</v>
      </c>
      <c r="E248" s="55" t="s">
        <v>150</v>
      </c>
      <c r="F248" s="56">
        <v>16</v>
      </c>
      <c r="G248" s="57">
        <v>2.12</v>
      </c>
      <c r="H248" s="57">
        <f t="shared" si="6"/>
        <v>33.92</v>
      </c>
      <c r="I248" s="54">
        <f t="shared" si="7"/>
        <v>43069</v>
      </c>
      <c r="J248" s="54">
        <v>43067</v>
      </c>
      <c r="K248" s="54" t="s">
        <v>148</v>
      </c>
    </row>
    <row r="249" spans="3:11" x14ac:dyDescent="0.25">
      <c r="C249" s="54">
        <v>43045</v>
      </c>
      <c r="D249" s="55" t="s">
        <v>154</v>
      </c>
      <c r="E249" s="55" t="s">
        <v>150</v>
      </c>
      <c r="F249" s="56">
        <v>6</v>
      </c>
      <c r="G249" s="57">
        <v>1.37</v>
      </c>
      <c r="H249" s="57">
        <f t="shared" si="6"/>
        <v>8.2200000000000006</v>
      </c>
      <c r="I249" s="54">
        <f t="shared" si="7"/>
        <v>43070</v>
      </c>
      <c r="J249" s="54">
        <v>43070</v>
      </c>
      <c r="K249" s="54" t="s">
        <v>148</v>
      </c>
    </row>
    <row r="250" spans="3:11" x14ac:dyDescent="0.25">
      <c r="C250" s="54">
        <v>43046</v>
      </c>
      <c r="D250" s="55" t="s">
        <v>149</v>
      </c>
      <c r="E250" s="55" t="s">
        <v>150</v>
      </c>
      <c r="F250" s="56">
        <v>8</v>
      </c>
      <c r="G250" s="57">
        <v>2.12</v>
      </c>
      <c r="H250" s="57">
        <f t="shared" si="6"/>
        <v>16.96</v>
      </c>
      <c r="I250" s="54">
        <f t="shared" si="7"/>
        <v>43071</v>
      </c>
      <c r="J250" s="54">
        <v>43069</v>
      </c>
      <c r="K250" s="54" t="s">
        <v>148</v>
      </c>
    </row>
    <row r="251" spans="3:11" x14ac:dyDescent="0.25">
      <c r="C251" s="54">
        <v>43047</v>
      </c>
      <c r="D251" s="55" t="s">
        <v>153</v>
      </c>
      <c r="E251" s="55" t="s">
        <v>147</v>
      </c>
      <c r="F251" s="56">
        <v>16</v>
      </c>
      <c r="G251" s="57">
        <v>1.0900000000000001</v>
      </c>
      <c r="H251" s="57">
        <f t="shared" si="6"/>
        <v>17.440000000000001</v>
      </c>
      <c r="I251" s="54">
        <f t="shared" si="7"/>
        <v>43072</v>
      </c>
      <c r="J251" s="54">
        <v>43072</v>
      </c>
      <c r="K251" s="54" t="s">
        <v>148</v>
      </c>
    </row>
    <row r="252" spans="3:11" x14ac:dyDescent="0.25">
      <c r="C252" s="54">
        <v>43048</v>
      </c>
      <c r="D252" s="55" t="s">
        <v>151</v>
      </c>
      <c r="E252" s="55" t="s">
        <v>150</v>
      </c>
      <c r="F252" s="56">
        <v>10</v>
      </c>
      <c r="G252" s="57">
        <v>2.02</v>
      </c>
      <c r="H252" s="57">
        <f t="shared" si="6"/>
        <v>20.2</v>
      </c>
      <c r="I252" s="54">
        <f t="shared" si="7"/>
        <v>43073</v>
      </c>
      <c r="J252" s="54">
        <v>43072</v>
      </c>
      <c r="K252" s="54" t="s">
        <v>148</v>
      </c>
    </row>
    <row r="253" spans="3:11" x14ac:dyDescent="0.25">
      <c r="C253" s="54">
        <v>43051</v>
      </c>
      <c r="D253" s="55" t="s">
        <v>146</v>
      </c>
      <c r="E253" s="55" t="s">
        <v>147</v>
      </c>
      <c r="F253" s="56">
        <v>23</v>
      </c>
      <c r="G253" s="57">
        <v>1.55</v>
      </c>
      <c r="H253" s="57">
        <f t="shared" si="6"/>
        <v>35.65</v>
      </c>
      <c r="I253" s="54">
        <f t="shared" si="7"/>
        <v>43076</v>
      </c>
      <c r="J253" s="54">
        <v>43074</v>
      </c>
      <c r="K253" s="54" t="s">
        <v>148</v>
      </c>
    </row>
    <row r="254" spans="3:11" x14ac:dyDescent="0.25">
      <c r="C254" s="54">
        <v>43052</v>
      </c>
      <c r="D254" s="55" t="s">
        <v>153</v>
      </c>
      <c r="E254" s="55" t="s">
        <v>147</v>
      </c>
      <c r="F254" s="56">
        <v>25</v>
      </c>
      <c r="G254" s="57">
        <v>1.0900000000000001</v>
      </c>
      <c r="H254" s="57">
        <f t="shared" si="6"/>
        <v>27.250000000000004</v>
      </c>
      <c r="I254" s="54">
        <f t="shared" si="7"/>
        <v>43077</v>
      </c>
      <c r="J254" s="54">
        <v>43077</v>
      </c>
      <c r="K254" s="54" t="s">
        <v>148</v>
      </c>
    </row>
    <row r="255" spans="3:11" x14ac:dyDescent="0.25">
      <c r="C255" s="54">
        <v>43053</v>
      </c>
      <c r="D255" s="55" t="s">
        <v>146</v>
      </c>
      <c r="E255" s="55" t="s">
        <v>147</v>
      </c>
      <c r="F255" s="56">
        <v>17</v>
      </c>
      <c r="G255" s="57">
        <v>1.55</v>
      </c>
      <c r="H255" s="57">
        <f t="shared" si="6"/>
        <v>26.35</v>
      </c>
      <c r="I255" s="54">
        <f t="shared" si="7"/>
        <v>43078</v>
      </c>
      <c r="J255" s="54">
        <v>43078</v>
      </c>
      <c r="K255" s="54" t="s">
        <v>148</v>
      </c>
    </row>
    <row r="256" spans="3:11" x14ac:dyDescent="0.25">
      <c r="C256" s="54">
        <v>43054</v>
      </c>
      <c r="D256" s="55" t="s">
        <v>151</v>
      </c>
      <c r="E256" s="55" t="s">
        <v>150</v>
      </c>
      <c r="F256" s="56">
        <v>15</v>
      </c>
      <c r="G256" s="57">
        <v>2.02</v>
      </c>
      <c r="H256" s="57">
        <f t="shared" si="6"/>
        <v>30.3</v>
      </c>
      <c r="I256" s="54">
        <f t="shared" si="7"/>
        <v>43079</v>
      </c>
      <c r="J256" s="54">
        <v>43079</v>
      </c>
      <c r="K256" s="54" t="s">
        <v>148</v>
      </c>
    </row>
    <row r="257" spans="3:11" x14ac:dyDescent="0.25">
      <c r="C257" s="54">
        <v>43055</v>
      </c>
      <c r="D257" s="55" t="s">
        <v>146</v>
      </c>
      <c r="E257" s="55" t="s">
        <v>147</v>
      </c>
      <c r="F257" s="56">
        <v>11</v>
      </c>
      <c r="G257" s="57">
        <v>1.55</v>
      </c>
      <c r="H257" s="57">
        <f t="shared" si="6"/>
        <v>17.05</v>
      </c>
      <c r="I257" s="54">
        <f t="shared" si="7"/>
        <v>43080</v>
      </c>
      <c r="J257" s="54">
        <v>43079</v>
      </c>
      <c r="K257" s="54" t="s">
        <v>148</v>
      </c>
    </row>
    <row r="258" spans="3:11" x14ac:dyDescent="0.25">
      <c r="C258" s="54">
        <v>43058</v>
      </c>
      <c r="D258" s="55" t="s">
        <v>146</v>
      </c>
      <c r="E258" s="55" t="s">
        <v>147</v>
      </c>
      <c r="F258" s="56">
        <v>17</v>
      </c>
      <c r="G258" s="57">
        <v>1.55</v>
      </c>
      <c r="H258" s="57">
        <f t="shared" si="6"/>
        <v>26.35</v>
      </c>
      <c r="I258" s="54">
        <f t="shared" si="7"/>
        <v>43083</v>
      </c>
      <c r="J258" s="54">
        <v>43081</v>
      </c>
      <c r="K258" s="54" t="s">
        <v>148</v>
      </c>
    </row>
    <row r="259" spans="3:11" x14ac:dyDescent="0.25">
      <c r="C259" s="54">
        <v>43059</v>
      </c>
      <c r="D259" s="55" t="s">
        <v>153</v>
      </c>
      <c r="E259" s="55" t="s">
        <v>147</v>
      </c>
      <c r="F259" s="56">
        <v>20</v>
      </c>
      <c r="G259" s="57">
        <v>1.0900000000000001</v>
      </c>
      <c r="H259" s="57">
        <f t="shared" si="6"/>
        <v>21.8</v>
      </c>
      <c r="I259" s="54">
        <f t="shared" si="7"/>
        <v>43084</v>
      </c>
      <c r="J259" s="54">
        <v>43083</v>
      </c>
      <c r="K259" s="54" t="s">
        <v>148</v>
      </c>
    </row>
    <row r="260" spans="3:11" x14ac:dyDescent="0.25">
      <c r="C260" s="54">
        <v>43060</v>
      </c>
      <c r="D260" s="55" t="s">
        <v>152</v>
      </c>
      <c r="E260" s="55" t="s">
        <v>147</v>
      </c>
      <c r="F260" s="56">
        <v>6</v>
      </c>
      <c r="G260" s="57">
        <v>1.4</v>
      </c>
      <c r="H260" s="57">
        <f t="shared" si="6"/>
        <v>8.3999999999999986</v>
      </c>
      <c r="I260" s="54">
        <f t="shared" si="7"/>
        <v>43085</v>
      </c>
      <c r="J260" s="54">
        <v>43084</v>
      </c>
      <c r="K260" s="54" t="s">
        <v>148</v>
      </c>
    </row>
    <row r="261" spans="3:11" x14ac:dyDescent="0.25">
      <c r="C261" s="54">
        <v>43061</v>
      </c>
      <c r="D261" s="55" t="s">
        <v>154</v>
      </c>
      <c r="E261" s="55" t="s">
        <v>150</v>
      </c>
      <c r="F261" s="56">
        <v>23</v>
      </c>
      <c r="G261" s="57">
        <v>1.37</v>
      </c>
      <c r="H261" s="57">
        <f t="shared" si="6"/>
        <v>31.51</v>
      </c>
      <c r="I261" s="54">
        <f t="shared" si="7"/>
        <v>43086</v>
      </c>
      <c r="J261" s="54">
        <v>43085</v>
      </c>
      <c r="K261" s="54" t="s">
        <v>148</v>
      </c>
    </row>
    <row r="262" spans="3:11" x14ac:dyDescent="0.25">
      <c r="C262" s="54">
        <v>43062</v>
      </c>
      <c r="D262" s="55" t="s">
        <v>149</v>
      </c>
      <c r="E262" s="55" t="s">
        <v>150</v>
      </c>
      <c r="F262" s="56">
        <v>26</v>
      </c>
      <c r="G262" s="57">
        <v>2.12</v>
      </c>
      <c r="H262" s="57">
        <f t="shared" si="6"/>
        <v>55.120000000000005</v>
      </c>
      <c r="I262" s="54">
        <f t="shared" si="7"/>
        <v>43087</v>
      </c>
      <c r="J262" s="54">
        <v>43086</v>
      </c>
      <c r="K262" s="54" t="s">
        <v>148</v>
      </c>
    </row>
    <row r="263" spans="3:11" x14ac:dyDescent="0.25">
      <c r="C263" s="54">
        <v>43065</v>
      </c>
      <c r="D263" s="55" t="s">
        <v>146</v>
      </c>
      <c r="E263" s="55" t="s">
        <v>147</v>
      </c>
      <c r="F263" s="56">
        <v>10</v>
      </c>
      <c r="G263" s="57">
        <v>1.55</v>
      </c>
      <c r="H263" s="57">
        <f t="shared" si="6"/>
        <v>15.5</v>
      </c>
      <c r="I263" s="54">
        <f t="shared" si="7"/>
        <v>43090</v>
      </c>
      <c r="J263" s="54">
        <v>43088</v>
      </c>
      <c r="K263" s="54" t="s">
        <v>148</v>
      </c>
    </row>
    <row r="264" spans="3:11" x14ac:dyDescent="0.25">
      <c r="C264" s="54">
        <v>43066</v>
      </c>
      <c r="D264" s="55" t="s">
        <v>151</v>
      </c>
      <c r="E264" s="55" t="s">
        <v>150</v>
      </c>
      <c r="F264" s="56">
        <v>13</v>
      </c>
      <c r="G264" s="57">
        <v>2.02</v>
      </c>
      <c r="H264" s="57">
        <f t="shared" si="6"/>
        <v>26.26</v>
      </c>
      <c r="I264" s="54">
        <f t="shared" si="7"/>
        <v>43091</v>
      </c>
      <c r="J264" s="54">
        <v>43091</v>
      </c>
      <c r="K264" s="54" t="s">
        <v>148</v>
      </c>
    </row>
    <row r="265" spans="3:11" x14ac:dyDescent="0.25">
      <c r="C265" s="54">
        <v>43067</v>
      </c>
      <c r="D265" s="55" t="s">
        <v>149</v>
      </c>
      <c r="E265" s="55" t="s">
        <v>150</v>
      </c>
      <c r="F265" s="56">
        <v>14</v>
      </c>
      <c r="G265" s="57">
        <v>2.12</v>
      </c>
      <c r="H265" s="57">
        <f t="shared" si="6"/>
        <v>29.68</v>
      </c>
      <c r="I265" s="54">
        <f t="shared" si="7"/>
        <v>43092</v>
      </c>
      <c r="J265" s="54">
        <v>43090</v>
      </c>
      <c r="K265" s="54" t="s">
        <v>148</v>
      </c>
    </row>
    <row r="266" spans="3:11" x14ac:dyDescent="0.25">
      <c r="C266" s="54">
        <v>43068</v>
      </c>
      <c r="D266" s="55" t="s">
        <v>149</v>
      </c>
      <c r="E266" s="55" t="s">
        <v>150</v>
      </c>
      <c r="F266" s="56">
        <v>18</v>
      </c>
      <c r="G266" s="57">
        <v>2.12</v>
      </c>
      <c r="H266" s="57">
        <f t="shared" si="6"/>
        <v>38.160000000000004</v>
      </c>
      <c r="I266" s="54">
        <f t="shared" si="7"/>
        <v>43093</v>
      </c>
      <c r="J266" s="54">
        <v>43093</v>
      </c>
      <c r="K266" s="54" t="s">
        <v>148</v>
      </c>
    </row>
    <row r="267" spans="3:11" x14ac:dyDescent="0.25">
      <c r="C267" s="54">
        <v>43069</v>
      </c>
      <c r="D267" s="55" t="s">
        <v>146</v>
      </c>
      <c r="E267" s="55" t="s">
        <v>147</v>
      </c>
      <c r="F267" s="56">
        <v>14</v>
      </c>
      <c r="G267" s="57">
        <v>1.55</v>
      </c>
      <c r="H267" s="57">
        <f t="shared" si="6"/>
        <v>21.7</v>
      </c>
      <c r="I267" s="54">
        <f t="shared" si="7"/>
        <v>43094</v>
      </c>
      <c r="J267" s="54">
        <v>43093</v>
      </c>
      <c r="K267" s="54" t="s">
        <v>148</v>
      </c>
    </row>
    <row r="268" spans="3:11" x14ac:dyDescent="0.25">
      <c r="C268" s="54">
        <v>43072</v>
      </c>
      <c r="D268" s="55" t="s">
        <v>146</v>
      </c>
      <c r="E268" s="55" t="s">
        <v>147</v>
      </c>
      <c r="F268" s="56">
        <v>20</v>
      </c>
      <c r="G268" s="57">
        <v>1.55</v>
      </c>
      <c r="H268" s="57">
        <f t="shared" si="6"/>
        <v>31</v>
      </c>
      <c r="I268" s="54">
        <f t="shared" si="7"/>
        <v>43097</v>
      </c>
      <c r="J268" s="54">
        <v>43098</v>
      </c>
      <c r="K268" s="54" t="s">
        <v>148</v>
      </c>
    </row>
    <row r="269" spans="3:11" x14ac:dyDescent="0.25">
      <c r="C269" s="54">
        <v>43073</v>
      </c>
      <c r="D269" s="55" t="s">
        <v>146</v>
      </c>
      <c r="E269" s="55" t="s">
        <v>147</v>
      </c>
      <c r="F269" s="56">
        <v>19</v>
      </c>
      <c r="G269" s="57">
        <v>1.55</v>
      </c>
      <c r="H269" s="57">
        <f t="shared" si="6"/>
        <v>29.45</v>
      </c>
      <c r="I269" s="54">
        <f t="shared" si="7"/>
        <v>43098</v>
      </c>
      <c r="J269" s="54">
        <v>43097</v>
      </c>
      <c r="K269" s="54" t="s">
        <v>148</v>
      </c>
    </row>
    <row r="270" spans="3:11" x14ac:dyDescent="0.25">
      <c r="C270" s="54">
        <v>43074</v>
      </c>
      <c r="D270" s="55" t="s">
        <v>149</v>
      </c>
      <c r="E270" s="55" t="s">
        <v>150</v>
      </c>
      <c r="F270" s="56">
        <v>25</v>
      </c>
      <c r="G270" s="57">
        <v>2.12</v>
      </c>
      <c r="H270" s="57">
        <f t="shared" si="6"/>
        <v>53</v>
      </c>
      <c r="I270" s="54">
        <f t="shared" si="7"/>
        <v>43099</v>
      </c>
      <c r="J270" s="54">
        <v>43098</v>
      </c>
      <c r="K270" s="54" t="s">
        <v>148</v>
      </c>
    </row>
    <row r="271" spans="3:11" x14ac:dyDescent="0.25">
      <c r="C271" s="54">
        <v>43075</v>
      </c>
      <c r="D271" s="55" t="s">
        <v>146</v>
      </c>
      <c r="E271" s="55" t="s">
        <v>147</v>
      </c>
      <c r="F271" s="56">
        <v>24</v>
      </c>
      <c r="G271" s="57">
        <v>1.55</v>
      </c>
      <c r="H271" s="57">
        <f t="shared" si="6"/>
        <v>37.200000000000003</v>
      </c>
      <c r="I271" s="54">
        <f t="shared" si="7"/>
        <v>43100</v>
      </c>
      <c r="J271" s="54">
        <v>43098</v>
      </c>
      <c r="K271" s="54" t="s">
        <v>148</v>
      </c>
    </row>
    <row r="272" spans="3:11" x14ac:dyDescent="0.25">
      <c r="C272" s="54">
        <v>43076</v>
      </c>
      <c r="D272" s="55" t="s">
        <v>154</v>
      </c>
      <c r="E272" s="55" t="s">
        <v>150</v>
      </c>
      <c r="F272" s="56">
        <v>20</v>
      </c>
      <c r="G272" s="57">
        <v>1.37</v>
      </c>
      <c r="H272" s="57">
        <f t="shared" si="6"/>
        <v>27.400000000000002</v>
      </c>
      <c r="I272" s="54">
        <f t="shared" si="7"/>
        <v>43101</v>
      </c>
      <c r="J272" s="54">
        <v>43101</v>
      </c>
      <c r="K272" s="54" t="s">
        <v>148</v>
      </c>
    </row>
    <row r="273" spans="3:11" x14ac:dyDescent="0.25">
      <c r="C273" s="54">
        <v>43079</v>
      </c>
      <c r="D273" s="55" t="s">
        <v>152</v>
      </c>
      <c r="E273" s="55" t="s">
        <v>147</v>
      </c>
      <c r="F273" s="56">
        <v>19</v>
      </c>
      <c r="G273" s="57">
        <v>1.4</v>
      </c>
      <c r="H273" s="57">
        <f t="shared" si="6"/>
        <v>26.599999999999998</v>
      </c>
      <c r="I273" s="54">
        <f t="shared" si="7"/>
        <v>43104</v>
      </c>
      <c r="J273" s="54">
        <v>43105</v>
      </c>
      <c r="K273" s="54" t="s">
        <v>148</v>
      </c>
    </row>
    <row r="274" spans="3:11" x14ac:dyDescent="0.25">
      <c r="C274" s="54">
        <v>43080</v>
      </c>
      <c r="D274" s="55" t="s">
        <v>146</v>
      </c>
      <c r="E274" s="55" t="s">
        <v>147</v>
      </c>
      <c r="F274" s="56">
        <v>9</v>
      </c>
      <c r="G274" s="57">
        <v>1.55</v>
      </c>
      <c r="H274" s="57">
        <f t="shared" si="6"/>
        <v>13.950000000000001</v>
      </c>
      <c r="I274" s="54">
        <f t="shared" si="7"/>
        <v>43105</v>
      </c>
      <c r="J274" s="54">
        <v>43105</v>
      </c>
      <c r="K274" s="54" t="s">
        <v>148</v>
      </c>
    </row>
    <row r="275" spans="3:11" x14ac:dyDescent="0.25">
      <c r="C275" s="54">
        <v>43081</v>
      </c>
      <c r="D275" s="55" t="s">
        <v>146</v>
      </c>
      <c r="E275" s="55" t="s">
        <v>147</v>
      </c>
      <c r="F275" s="56">
        <v>14</v>
      </c>
      <c r="G275" s="57">
        <v>1.55</v>
      </c>
      <c r="H275" s="57">
        <f t="shared" si="6"/>
        <v>21.7</v>
      </c>
      <c r="I275" s="54">
        <f t="shared" si="7"/>
        <v>43106</v>
      </c>
      <c r="J275" s="54">
        <v>43105</v>
      </c>
      <c r="K275" s="54" t="s">
        <v>148</v>
      </c>
    </row>
    <row r="276" spans="3:11" x14ac:dyDescent="0.25">
      <c r="C276" s="54">
        <v>43082</v>
      </c>
      <c r="D276" s="55" t="s">
        <v>152</v>
      </c>
      <c r="E276" s="55" t="s">
        <v>147</v>
      </c>
      <c r="F276" s="56">
        <v>6</v>
      </c>
      <c r="G276" s="57">
        <v>1.4</v>
      </c>
      <c r="H276" s="57">
        <f t="shared" si="6"/>
        <v>8.3999999999999986</v>
      </c>
      <c r="I276" s="54">
        <f t="shared" si="7"/>
        <v>43107</v>
      </c>
      <c r="J276" s="54">
        <v>43105</v>
      </c>
      <c r="K276" s="54" t="s">
        <v>148</v>
      </c>
    </row>
    <row r="277" spans="3:11" x14ac:dyDescent="0.25">
      <c r="C277" s="54">
        <v>43083</v>
      </c>
      <c r="D277" s="55" t="s">
        <v>146</v>
      </c>
      <c r="E277" s="55" t="s">
        <v>147</v>
      </c>
      <c r="F277" s="56">
        <v>26</v>
      </c>
      <c r="G277" s="57">
        <v>1.55</v>
      </c>
      <c r="H277" s="57">
        <f t="shared" si="6"/>
        <v>40.300000000000004</v>
      </c>
      <c r="I277" s="54">
        <f t="shared" si="7"/>
        <v>43108</v>
      </c>
      <c r="J277" s="54">
        <v>43108</v>
      </c>
      <c r="K277" s="54" t="s">
        <v>148</v>
      </c>
    </row>
    <row r="278" spans="3:11" x14ac:dyDescent="0.25">
      <c r="C278" s="54">
        <v>43086</v>
      </c>
      <c r="D278" s="55" t="s">
        <v>146</v>
      </c>
      <c r="E278" s="55" t="s">
        <v>147</v>
      </c>
      <c r="F278" s="56">
        <v>22</v>
      </c>
      <c r="G278" s="57">
        <v>1.55</v>
      </c>
      <c r="H278" s="57">
        <f t="shared" si="6"/>
        <v>34.1</v>
      </c>
      <c r="I278" s="54">
        <f t="shared" si="7"/>
        <v>43111</v>
      </c>
      <c r="J278" s="54">
        <v>43109</v>
      </c>
      <c r="K278" s="54" t="s">
        <v>148</v>
      </c>
    </row>
    <row r="279" spans="3:11" x14ac:dyDescent="0.25">
      <c r="C279" s="54">
        <v>43087</v>
      </c>
      <c r="D279" s="55" t="s">
        <v>146</v>
      </c>
      <c r="E279" s="55" t="s">
        <v>147</v>
      </c>
      <c r="F279" s="56">
        <v>24</v>
      </c>
      <c r="G279" s="57">
        <v>1.55</v>
      </c>
      <c r="H279" s="57">
        <f t="shared" si="6"/>
        <v>37.200000000000003</v>
      </c>
      <c r="I279" s="54">
        <f t="shared" si="7"/>
        <v>43112</v>
      </c>
      <c r="J279" s="54">
        <v>43112</v>
      </c>
      <c r="K279" s="54" t="s">
        <v>148</v>
      </c>
    </row>
    <row r="280" spans="3:11" x14ac:dyDescent="0.25">
      <c r="C280" s="54">
        <v>43088</v>
      </c>
      <c r="D280" s="55" t="s">
        <v>151</v>
      </c>
      <c r="E280" s="55" t="s">
        <v>150</v>
      </c>
      <c r="F280" s="56">
        <v>10</v>
      </c>
      <c r="G280" s="57">
        <v>2.02</v>
      </c>
      <c r="H280" s="57">
        <f t="shared" si="6"/>
        <v>20.2</v>
      </c>
      <c r="I280" s="54">
        <f t="shared" si="7"/>
        <v>43113</v>
      </c>
      <c r="J280" s="54">
        <v>43112</v>
      </c>
      <c r="K280" s="54" t="s">
        <v>148</v>
      </c>
    </row>
    <row r="281" spans="3:11" x14ac:dyDescent="0.25">
      <c r="C281" s="54">
        <v>43089</v>
      </c>
      <c r="D281" s="55" t="s">
        <v>151</v>
      </c>
      <c r="E281" s="55" t="s">
        <v>150</v>
      </c>
      <c r="F281" s="56">
        <v>9</v>
      </c>
      <c r="G281" s="57">
        <v>2.02</v>
      </c>
      <c r="H281" s="57">
        <f t="shared" si="6"/>
        <v>18.18</v>
      </c>
      <c r="I281" s="54">
        <f t="shared" si="7"/>
        <v>43114</v>
      </c>
      <c r="J281" s="54">
        <v>43112</v>
      </c>
      <c r="K281" s="54" t="s">
        <v>148</v>
      </c>
    </row>
    <row r="282" spans="3:11" x14ac:dyDescent="0.25">
      <c r="C282" s="54">
        <v>43090</v>
      </c>
      <c r="D282" s="55" t="s">
        <v>154</v>
      </c>
      <c r="E282" s="55" t="s">
        <v>150</v>
      </c>
      <c r="F282" s="56">
        <v>12</v>
      </c>
      <c r="G282" s="57">
        <v>1.37</v>
      </c>
      <c r="H282" s="57">
        <f t="shared" si="6"/>
        <v>16.440000000000001</v>
      </c>
      <c r="I282" s="54">
        <f t="shared" si="7"/>
        <v>43115</v>
      </c>
      <c r="J282" s="54">
        <v>43113</v>
      </c>
      <c r="K282" s="54" t="s">
        <v>148</v>
      </c>
    </row>
    <row r="283" spans="3:11" x14ac:dyDescent="0.25">
      <c r="C283" s="54">
        <v>43093</v>
      </c>
      <c r="D283" s="55" t="s">
        <v>149</v>
      </c>
      <c r="E283" s="55" t="s">
        <v>150</v>
      </c>
      <c r="F283" s="56">
        <v>23</v>
      </c>
      <c r="G283" s="57">
        <v>2.12</v>
      </c>
      <c r="H283" s="57">
        <f t="shared" si="6"/>
        <v>48.760000000000005</v>
      </c>
      <c r="I283" s="54">
        <f t="shared" si="7"/>
        <v>43118</v>
      </c>
      <c r="J283" s="54">
        <v>43116</v>
      </c>
      <c r="K283" s="54" t="s">
        <v>148</v>
      </c>
    </row>
    <row r="284" spans="3:11" x14ac:dyDescent="0.25">
      <c r="C284" s="54">
        <v>43094</v>
      </c>
      <c r="D284" s="55" t="s">
        <v>153</v>
      </c>
      <c r="E284" s="55" t="s">
        <v>147</v>
      </c>
      <c r="F284" s="56">
        <v>26</v>
      </c>
      <c r="G284" s="57">
        <v>1.0900000000000001</v>
      </c>
      <c r="H284" s="57">
        <f t="shared" si="6"/>
        <v>28.340000000000003</v>
      </c>
      <c r="I284" s="54">
        <f t="shared" si="7"/>
        <v>43119</v>
      </c>
      <c r="J284" s="54">
        <v>43119</v>
      </c>
      <c r="K284" s="54" t="s">
        <v>148</v>
      </c>
    </row>
    <row r="285" spans="3:11" x14ac:dyDescent="0.25">
      <c r="C285" s="54">
        <v>43095</v>
      </c>
      <c r="D285" s="55" t="s">
        <v>146</v>
      </c>
      <c r="E285" s="55" t="s">
        <v>147</v>
      </c>
      <c r="F285" s="56">
        <v>11</v>
      </c>
      <c r="G285" s="57">
        <v>1.55</v>
      </c>
      <c r="H285" s="57">
        <f t="shared" ref="H285:H348" si="8">F285*G285</f>
        <v>17.05</v>
      </c>
      <c r="I285" s="54">
        <f t="shared" si="7"/>
        <v>43120</v>
      </c>
      <c r="J285" s="54">
        <v>43118</v>
      </c>
      <c r="K285" s="54" t="s">
        <v>148</v>
      </c>
    </row>
    <row r="286" spans="3:11" x14ac:dyDescent="0.25">
      <c r="C286" s="54">
        <v>43096</v>
      </c>
      <c r="D286" s="55" t="s">
        <v>151</v>
      </c>
      <c r="E286" s="55" t="s">
        <v>150</v>
      </c>
      <c r="F286" s="56">
        <v>24</v>
      </c>
      <c r="G286" s="57">
        <v>2.02</v>
      </c>
      <c r="H286" s="57">
        <f t="shared" si="8"/>
        <v>48.480000000000004</v>
      </c>
      <c r="I286" s="54">
        <f t="shared" ref="I286:I349" si="9">+C286+25</f>
        <v>43121</v>
      </c>
      <c r="J286" s="54">
        <v>43121</v>
      </c>
      <c r="K286" s="54" t="s">
        <v>148</v>
      </c>
    </row>
    <row r="287" spans="3:11" x14ac:dyDescent="0.25">
      <c r="C287" s="54">
        <v>43097</v>
      </c>
      <c r="D287" s="55" t="s">
        <v>153</v>
      </c>
      <c r="E287" s="55" t="s">
        <v>147</v>
      </c>
      <c r="F287" s="56">
        <v>26</v>
      </c>
      <c r="G287" s="57">
        <v>1.0900000000000001</v>
      </c>
      <c r="H287" s="57">
        <f t="shared" si="8"/>
        <v>28.340000000000003</v>
      </c>
      <c r="I287" s="54">
        <f t="shared" si="9"/>
        <v>43122</v>
      </c>
      <c r="J287" s="54">
        <v>43121</v>
      </c>
      <c r="K287" s="54" t="s">
        <v>148</v>
      </c>
    </row>
    <row r="288" spans="3:11" x14ac:dyDescent="0.25">
      <c r="C288" s="54">
        <v>43100</v>
      </c>
      <c r="D288" s="55" t="s">
        <v>153</v>
      </c>
      <c r="E288" s="55" t="s">
        <v>147</v>
      </c>
      <c r="F288" s="56">
        <v>16</v>
      </c>
      <c r="G288" s="57">
        <v>1.0900000000000001</v>
      </c>
      <c r="H288" s="57">
        <f t="shared" si="8"/>
        <v>17.440000000000001</v>
      </c>
      <c r="I288" s="54">
        <f t="shared" si="9"/>
        <v>43125</v>
      </c>
      <c r="J288" s="54">
        <v>43123</v>
      </c>
      <c r="K288" s="54" t="s">
        <v>148</v>
      </c>
    </row>
    <row r="289" spans="3:11" x14ac:dyDescent="0.25">
      <c r="C289" s="54">
        <v>43101</v>
      </c>
      <c r="D289" s="55" t="s">
        <v>146</v>
      </c>
      <c r="E289" s="55" t="s">
        <v>147</v>
      </c>
      <c r="F289" s="56">
        <v>26</v>
      </c>
      <c r="G289" s="57">
        <v>1.55</v>
      </c>
      <c r="H289" s="57">
        <f t="shared" si="8"/>
        <v>40.300000000000004</v>
      </c>
      <c r="I289" s="54">
        <f t="shared" si="9"/>
        <v>43126</v>
      </c>
      <c r="J289" s="54">
        <v>43124</v>
      </c>
      <c r="K289" s="54" t="s">
        <v>148</v>
      </c>
    </row>
    <row r="290" spans="3:11" x14ac:dyDescent="0.25">
      <c r="C290" s="54">
        <v>43101</v>
      </c>
      <c r="D290" s="55" t="s">
        <v>146</v>
      </c>
      <c r="E290" s="55" t="s">
        <v>147</v>
      </c>
      <c r="F290" s="328">
        <v>8</v>
      </c>
      <c r="G290" s="57">
        <v>1.55</v>
      </c>
      <c r="H290" s="57">
        <f t="shared" si="8"/>
        <v>12.4</v>
      </c>
      <c r="I290" s="54">
        <f t="shared" si="9"/>
        <v>43126</v>
      </c>
      <c r="J290" s="54">
        <v>43126</v>
      </c>
      <c r="K290" s="54" t="s">
        <v>148</v>
      </c>
    </row>
    <row r="291" spans="3:11" x14ac:dyDescent="0.25">
      <c r="C291" s="54">
        <v>43102</v>
      </c>
      <c r="D291" s="55" t="s">
        <v>153</v>
      </c>
      <c r="E291" s="55" t="s">
        <v>147</v>
      </c>
      <c r="F291" s="56">
        <v>26</v>
      </c>
      <c r="G291" s="57">
        <v>1.0900000000000001</v>
      </c>
      <c r="H291" s="57">
        <f t="shared" si="8"/>
        <v>28.340000000000003</v>
      </c>
      <c r="I291" s="54">
        <f t="shared" si="9"/>
        <v>43127</v>
      </c>
      <c r="J291" s="54">
        <v>43126</v>
      </c>
      <c r="K291" s="54" t="s">
        <v>148</v>
      </c>
    </row>
    <row r="292" spans="3:11" x14ac:dyDescent="0.25">
      <c r="C292" s="54">
        <v>43103</v>
      </c>
      <c r="D292" s="55" t="s">
        <v>149</v>
      </c>
      <c r="E292" s="55" t="s">
        <v>150</v>
      </c>
      <c r="F292" s="56">
        <v>25</v>
      </c>
      <c r="G292" s="57">
        <v>2.12</v>
      </c>
      <c r="H292" s="57">
        <f t="shared" si="8"/>
        <v>53</v>
      </c>
      <c r="I292" s="54">
        <f t="shared" si="9"/>
        <v>43128</v>
      </c>
      <c r="J292" s="54">
        <v>43127</v>
      </c>
      <c r="K292" s="54" t="s">
        <v>148</v>
      </c>
    </row>
    <row r="293" spans="3:11" x14ac:dyDescent="0.25">
      <c r="C293" s="54">
        <v>43106</v>
      </c>
      <c r="D293" s="55" t="s">
        <v>152</v>
      </c>
      <c r="E293" s="55" t="s">
        <v>147</v>
      </c>
      <c r="F293" s="56">
        <v>11</v>
      </c>
      <c r="G293" s="57">
        <v>1.4</v>
      </c>
      <c r="H293" s="57">
        <f t="shared" si="8"/>
        <v>15.399999999999999</v>
      </c>
      <c r="I293" s="54">
        <f t="shared" si="9"/>
        <v>43131</v>
      </c>
      <c r="J293" s="54">
        <v>43129</v>
      </c>
      <c r="K293" s="54" t="s">
        <v>148</v>
      </c>
    </row>
    <row r="294" spans="3:11" x14ac:dyDescent="0.25">
      <c r="C294" s="54">
        <v>43107</v>
      </c>
      <c r="D294" s="55" t="s">
        <v>153</v>
      </c>
      <c r="E294" s="55" t="s">
        <v>147</v>
      </c>
      <c r="F294" s="330">
        <v>16</v>
      </c>
      <c r="G294" s="57">
        <v>1.0900000000000001</v>
      </c>
      <c r="H294" s="57">
        <f t="shared" si="8"/>
        <v>17.440000000000001</v>
      </c>
      <c r="I294" s="54">
        <f t="shared" si="9"/>
        <v>43132</v>
      </c>
      <c r="J294" s="54">
        <v>43132</v>
      </c>
      <c r="K294" s="54" t="s">
        <v>148</v>
      </c>
    </row>
    <row r="295" spans="3:11" x14ac:dyDescent="0.25">
      <c r="C295" s="54">
        <v>43108</v>
      </c>
      <c r="D295" s="55" t="s">
        <v>153</v>
      </c>
      <c r="E295" s="55" t="s">
        <v>147</v>
      </c>
      <c r="F295" s="56">
        <v>26</v>
      </c>
      <c r="G295" s="57">
        <v>1.0900000000000001</v>
      </c>
      <c r="H295" s="57">
        <f t="shared" si="8"/>
        <v>28.340000000000003</v>
      </c>
      <c r="I295" s="54">
        <f t="shared" si="9"/>
        <v>43133</v>
      </c>
      <c r="J295" s="54">
        <v>43131</v>
      </c>
      <c r="K295" s="54" t="s">
        <v>148</v>
      </c>
    </row>
    <row r="296" spans="3:11" x14ac:dyDescent="0.25">
      <c r="C296" s="54">
        <v>43109</v>
      </c>
      <c r="D296" s="55" t="s">
        <v>153</v>
      </c>
      <c r="E296" s="55" t="s">
        <v>147</v>
      </c>
      <c r="F296" s="56">
        <v>16</v>
      </c>
      <c r="G296" s="57">
        <v>1.0900000000000001</v>
      </c>
      <c r="H296" s="57">
        <f t="shared" si="8"/>
        <v>17.440000000000001</v>
      </c>
      <c r="I296" s="54">
        <f t="shared" si="9"/>
        <v>43134</v>
      </c>
      <c r="J296" s="54">
        <v>43134</v>
      </c>
      <c r="K296" s="54" t="s">
        <v>148</v>
      </c>
    </row>
    <row r="297" spans="3:11" x14ac:dyDescent="0.25">
      <c r="C297" s="54">
        <v>43110</v>
      </c>
      <c r="D297" s="55" t="s">
        <v>152</v>
      </c>
      <c r="E297" s="55" t="s">
        <v>147</v>
      </c>
      <c r="F297" s="327">
        <v>13</v>
      </c>
      <c r="G297" s="57">
        <v>1.4</v>
      </c>
      <c r="H297" s="57">
        <f t="shared" si="8"/>
        <v>18.2</v>
      </c>
      <c r="I297" s="54">
        <f t="shared" si="9"/>
        <v>43135</v>
      </c>
      <c r="J297" s="54">
        <v>43134</v>
      </c>
      <c r="K297" s="54" t="s">
        <v>148</v>
      </c>
    </row>
    <row r="298" spans="3:11" x14ac:dyDescent="0.25">
      <c r="C298" s="54">
        <v>43113</v>
      </c>
      <c r="D298" s="55" t="s">
        <v>146</v>
      </c>
      <c r="E298" s="55" t="s">
        <v>147</v>
      </c>
      <c r="F298" s="329">
        <v>24</v>
      </c>
      <c r="G298" s="57">
        <v>1.55</v>
      </c>
      <c r="H298" s="57">
        <f t="shared" si="8"/>
        <v>37.200000000000003</v>
      </c>
      <c r="I298" s="54">
        <f t="shared" si="9"/>
        <v>43138</v>
      </c>
      <c r="J298" s="54">
        <v>43136</v>
      </c>
      <c r="K298" s="54" t="s">
        <v>148</v>
      </c>
    </row>
    <row r="299" spans="3:11" x14ac:dyDescent="0.25">
      <c r="C299" s="54">
        <v>43114</v>
      </c>
      <c r="D299" s="55" t="s">
        <v>153</v>
      </c>
      <c r="E299" s="55" t="s">
        <v>147</v>
      </c>
      <c r="F299" s="56">
        <v>9</v>
      </c>
      <c r="G299" s="57">
        <v>1.0900000000000001</v>
      </c>
      <c r="H299" s="57">
        <f t="shared" si="8"/>
        <v>9.81</v>
      </c>
      <c r="I299" s="54">
        <f t="shared" si="9"/>
        <v>43139</v>
      </c>
      <c r="J299" s="54">
        <v>43137</v>
      </c>
      <c r="K299" s="54" t="s">
        <v>148</v>
      </c>
    </row>
    <row r="300" spans="3:11" x14ac:dyDescent="0.25">
      <c r="C300" s="54">
        <v>43115</v>
      </c>
      <c r="D300" s="55" t="s">
        <v>146</v>
      </c>
      <c r="E300" s="55" t="s">
        <v>147</v>
      </c>
      <c r="F300" s="327">
        <v>10</v>
      </c>
      <c r="G300" s="57">
        <v>1.55</v>
      </c>
      <c r="H300" s="57">
        <f t="shared" si="8"/>
        <v>15.5</v>
      </c>
      <c r="I300" s="54">
        <f t="shared" si="9"/>
        <v>43140</v>
      </c>
      <c r="J300" s="54">
        <v>43140</v>
      </c>
      <c r="K300" s="54" t="s">
        <v>148</v>
      </c>
    </row>
    <row r="301" spans="3:11" x14ac:dyDescent="0.25">
      <c r="C301" s="54">
        <v>43116</v>
      </c>
      <c r="D301" s="55" t="s">
        <v>153</v>
      </c>
      <c r="E301" s="55" t="s">
        <v>147</v>
      </c>
      <c r="F301" s="56">
        <v>22</v>
      </c>
      <c r="G301" s="57">
        <v>1.0900000000000001</v>
      </c>
      <c r="H301" s="57">
        <f t="shared" si="8"/>
        <v>23.98</v>
      </c>
      <c r="I301" s="54">
        <f t="shared" si="9"/>
        <v>43141</v>
      </c>
      <c r="J301" s="54">
        <v>43140</v>
      </c>
      <c r="K301" s="54" t="s">
        <v>148</v>
      </c>
    </row>
    <row r="302" spans="3:11" x14ac:dyDescent="0.25">
      <c r="C302" s="54">
        <v>43117</v>
      </c>
      <c r="D302" s="55" t="s">
        <v>153</v>
      </c>
      <c r="E302" s="55" t="s">
        <v>147</v>
      </c>
      <c r="F302" s="331">
        <v>11</v>
      </c>
      <c r="G302" s="57">
        <v>1.0900000000000001</v>
      </c>
      <c r="H302" s="57">
        <f t="shared" si="8"/>
        <v>11.99</v>
      </c>
      <c r="I302" s="54">
        <f t="shared" si="9"/>
        <v>43142</v>
      </c>
      <c r="J302" s="54">
        <v>43142</v>
      </c>
      <c r="K302" s="54" t="s">
        <v>148</v>
      </c>
    </row>
    <row r="303" spans="3:11" x14ac:dyDescent="0.25">
      <c r="C303" s="54">
        <v>43120</v>
      </c>
      <c r="D303" s="55" t="s">
        <v>152</v>
      </c>
      <c r="E303" s="55" t="s">
        <v>147</v>
      </c>
      <c r="F303" s="56">
        <v>10</v>
      </c>
      <c r="G303" s="57">
        <v>1.4</v>
      </c>
      <c r="H303" s="57">
        <f t="shared" si="8"/>
        <v>14</v>
      </c>
      <c r="I303" s="54">
        <f t="shared" si="9"/>
        <v>43145</v>
      </c>
      <c r="J303" s="54">
        <v>43144</v>
      </c>
      <c r="K303" s="54" t="s">
        <v>148</v>
      </c>
    </row>
    <row r="304" spans="3:11" x14ac:dyDescent="0.25">
      <c r="C304" s="54">
        <v>43121</v>
      </c>
      <c r="D304" s="55" t="s">
        <v>154</v>
      </c>
      <c r="E304" s="55" t="s">
        <v>150</v>
      </c>
      <c r="F304" s="56">
        <v>17</v>
      </c>
      <c r="G304" s="57">
        <v>1.37</v>
      </c>
      <c r="H304" s="57">
        <f t="shared" si="8"/>
        <v>23.290000000000003</v>
      </c>
      <c r="I304" s="54">
        <f t="shared" si="9"/>
        <v>43146</v>
      </c>
      <c r="J304" s="54">
        <v>43144</v>
      </c>
      <c r="K304" s="54" t="s">
        <v>148</v>
      </c>
    </row>
    <row r="305" spans="3:11" x14ac:dyDescent="0.25">
      <c r="C305" s="54">
        <v>43122</v>
      </c>
      <c r="D305" s="55" t="s">
        <v>152</v>
      </c>
      <c r="E305" s="55" t="s">
        <v>147</v>
      </c>
      <c r="F305" s="56">
        <v>14</v>
      </c>
      <c r="G305" s="57">
        <v>1.4</v>
      </c>
      <c r="H305" s="57">
        <f t="shared" si="8"/>
        <v>19.599999999999998</v>
      </c>
      <c r="I305" s="54">
        <f t="shared" si="9"/>
        <v>43147</v>
      </c>
      <c r="J305" s="54">
        <v>43146</v>
      </c>
      <c r="K305" s="54" t="s">
        <v>148</v>
      </c>
    </row>
    <row r="306" spans="3:11" x14ac:dyDescent="0.25">
      <c r="C306" s="54">
        <v>43123</v>
      </c>
      <c r="D306" s="55" t="s">
        <v>146</v>
      </c>
      <c r="E306" s="55" t="s">
        <v>147</v>
      </c>
      <c r="F306" s="56">
        <v>12</v>
      </c>
      <c r="G306" s="57">
        <v>1.55</v>
      </c>
      <c r="H306" s="57">
        <f t="shared" si="8"/>
        <v>18.600000000000001</v>
      </c>
      <c r="I306" s="54">
        <f t="shared" si="9"/>
        <v>43148</v>
      </c>
      <c r="J306" s="54">
        <v>43149</v>
      </c>
      <c r="K306" s="54" t="s">
        <v>148</v>
      </c>
    </row>
    <row r="307" spans="3:11" x14ac:dyDescent="0.25">
      <c r="C307" s="54">
        <v>43124</v>
      </c>
      <c r="D307" s="55" t="s">
        <v>146</v>
      </c>
      <c r="E307" s="55" t="s">
        <v>147</v>
      </c>
      <c r="F307" s="56">
        <v>25</v>
      </c>
      <c r="G307" s="57">
        <v>1.55</v>
      </c>
      <c r="H307" s="57">
        <f t="shared" si="8"/>
        <v>38.75</v>
      </c>
      <c r="I307" s="54">
        <f t="shared" si="9"/>
        <v>43149</v>
      </c>
      <c r="J307" s="54">
        <v>43148</v>
      </c>
      <c r="K307" s="54" t="s">
        <v>148</v>
      </c>
    </row>
    <row r="308" spans="3:11" x14ac:dyDescent="0.25">
      <c r="C308" s="54">
        <v>43127</v>
      </c>
      <c r="D308" s="55" t="s">
        <v>153</v>
      </c>
      <c r="E308" s="55" t="s">
        <v>147</v>
      </c>
      <c r="F308" s="56">
        <v>25</v>
      </c>
      <c r="G308" s="57">
        <v>1.0900000000000001</v>
      </c>
      <c r="H308" s="57">
        <f t="shared" si="8"/>
        <v>27.250000000000004</v>
      </c>
      <c r="I308" s="54">
        <f t="shared" si="9"/>
        <v>43152</v>
      </c>
      <c r="J308" s="54">
        <v>43151</v>
      </c>
      <c r="K308" s="54" t="s">
        <v>148</v>
      </c>
    </row>
    <row r="309" spans="3:11" x14ac:dyDescent="0.25">
      <c r="C309" s="54">
        <v>43128</v>
      </c>
      <c r="D309" s="55" t="s">
        <v>146</v>
      </c>
      <c r="E309" s="55" t="s">
        <v>147</v>
      </c>
      <c r="F309" s="56">
        <v>9</v>
      </c>
      <c r="G309" s="57">
        <v>1.55</v>
      </c>
      <c r="H309" s="57">
        <f t="shared" si="8"/>
        <v>13.950000000000001</v>
      </c>
      <c r="I309" s="54">
        <f t="shared" si="9"/>
        <v>43153</v>
      </c>
      <c r="J309" s="54">
        <v>43151</v>
      </c>
      <c r="K309" s="54" t="s">
        <v>148</v>
      </c>
    </row>
    <row r="310" spans="3:11" x14ac:dyDescent="0.25">
      <c r="C310" s="54">
        <v>43129</v>
      </c>
      <c r="D310" s="55" t="s">
        <v>146</v>
      </c>
      <c r="E310" s="55" t="s">
        <v>147</v>
      </c>
      <c r="F310" s="56">
        <v>14</v>
      </c>
      <c r="G310" s="57">
        <v>1.55</v>
      </c>
      <c r="H310" s="57">
        <f t="shared" si="8"/>
        <v>21.7</v>
      </c>
      <c r="I310" s="54">
        <f t="shared" si="9"/>
        <v>43154</v>
      </c>
      <c r="J310" s="54">
        <v>43154</v>
      </c>
      <c r="K310" s="54" t="s">
        <v>148</v>
      </c>
    </row>
    <row r="311" spans="3:11" x14ac:dyDescent="0.25">
      <c r="C311" s="54">
        <v>43130</v>
      </c>
      <c r="D311" s="55" t="s">
        <v>146</v>
      </c>
      <c r="E311" s="55" t="s">
        <v>147</v>
      </c>
      <c r="F311" s="56">
        <v>11</v>
      </c>
      <c r="G311" s="57">
        <v>1.55</v>
      </c>
      <c r="H311" s="57">
        <f t="shared" si="8"/>
        <v>17.05</v>
      </c>
      <c r="I311" s="54">
        <f t="shared" si="9"/>
        <v>43155</v>
      </c>
      <c r="J311" s="54">
        <v>43155</v>
      </c>
      <c r="K311" s="54" t="s">
        <v>148</v>
      </c>
    </row>
    <row r="312" spans="3:11" x14ac:dyDescent="0.25">
      <c r="C312" s="54">
        <v>43131</v>
      </c>
      <c r="D312" s="55" t="s">
        <v>153</v>
      </c>
      <c r="E312" s="55" t="s">
        <v>147</v>
      </c>
      <c r="F312" s="56">
        <v>26</v>
      </c>
      <c r="G312" s="57">
        <v>1.0900000000000001</v>
      </c>
      <c r="H312" s="57">
        <f t="shared" si="8"/>
        <v>28.340000000000003</v>
      </c>
      <c r="I312" s="54">
        <f t="shared" si="9"/>
        <v>43156</v>
      </c>
      <c r="J312" s="54">
        <v>43156</v>
      </c>
      <c r="K312" s="54" t="s">
        <v>148</v>
      </c>
    </row>
    <row r="313" spans="3:11" x14ac:dyDescent="0.25">
      <c r="C313" s="54">
        <v>43134</v>
      </c>
      <c r="D313" s="55" t="s">
        <v>152</v>
      </c>
      <c r="E313" s="55" t="s">
        <v>147</v>
      </c>
      <c r="F313" s="56">
        <v>11</v>
      </c>
      <c r="G313" s="57">
        <v>1.4</v>
      </c>
      <c r="H313" s="57">
        <f t="shared" si="8"/>
        <v>15.399999999999999</v>
      </c>
      <c r="I313" s="54">
        <f t="shared" si="9"/>
        <v>43159</v>
      </c>
      <c r="J313" s="54">
        <v>43158</v>
      </c>
      <c r="K313" s="54" t="s">
        <v>148</v>
      </c>
    </row>
    <row r="314" spans="3:11" x14ac:dyDescent="0.25">
      <c r="C314" s="54">
        <v>43135</v>
      </c>
      <c r="D314" s="55" t="s">
        <v>151</v>
      </c>
      <c r="E314" s="55" t="s">
        <v>150</v>
      </c>
      <c r="F314" s="56">
        <v>13</v>
      </c>
      <c r="G314" s="57">
        <v>2.02</v>
      </c>
      <c r="H314" s="57">
        <f t="shared" si="8"/>
        <v>26.26</v>
      </c>
      <c r="I314" s="54">
        <f t="shared" si="9"/>
        <v>43160</v>
      </c>
      <c r="J314" s="54">
        <v>43158</v>
      </c>
      <c r="K314" s="54" t="s">
        <v>148</v>
      </c>
    </row>
    <row r="315" spans="3:11" x14ac:dyDescent="0.25">
      <c r="C315" s="54">
        <v>43136</v>
      </c>
      <c r="D315" s="55" t="s">
        <v>146</v>
      </c>
      <c r="E315" s="55" t="s">
        <v>147</v>
      </c>
      <c r="F315" s="56">
        <v>8</v>
      </c>
      <c r="G315" s="57">
        <v>1.55</v>
      </c>
      <c r="H315" s="57">
        <f t="shared" si="8"/>
        <v>12.4</v>
      </c>
      <c r="I315" s="54">
        <f t="shared" si="9"/>
        <v>43161</v>
      </c>
      <c r="J315" s="54">
        <v>43161</v>
      </c>
      <c r="K315" s="54" t="s">
        <v>148</v>
      </c>
    </row>
    <row r="316" spans="3:11" x14ac:dyDescent="0.25">
      <c r="C316" s="54">
        <v>43137</v>
      </c>
      <c r="D316" s="55" t="s">
        <v>146</v>
      </c>
      <c r="E316" s="55" t="s">
        <v>147</v>
      </c>
      <c r="F316" s="56">
        <v>8</v>
      </c>
      <c r="G316" s="57">
        <v>1.55</v>
      </c>
      <c r="H316" s="57">
        <f t="shared" si="8"/>
        <v>12.4</v>
      </c>
      <c r="I316" s="54">
        <f t="shared" si="9"/>
        <v>43162</v>
      </c>
      <c r="J316" s="54">
        <v>43162</v>
      </c>
      <c r="K316" s="54" t="s">
        <v>148</v>
      </c>
    </row>
    <row r="317" spans="3:11" x14ac:dyDescent="0.25">
      <c r="C317" s="54">
        <v>43138</v>
      </c>
      <c r="D317" s="55" t="s">
        <v>146</v>
      </c>
      <c r="E317" s="55" t="s">
        <v>147</v>
      </c>
      <c r="F317" s="56">
        <v>19</v>
      </c>
      <c r="G317" s="57">
        <v>1.55</v>
      </c>
      <c r="H317" s="57">
        <f t="shared" si="8"/>
        <v>29.45</v>
      </c>
      <c r="I317" s="54">
        <f t="shared" si="9"/>
        <v>43163</v>
      </c>
      <c r="J317" s="54">
        <v>43163</v>
      </c>
      <c r="K317" s="54" t="s">
        <v>148</v>
      </c>
    </row>
    <row r="318" spans="3:11" x14ac:dyDescent="0.25">
      <c r="C318" s="54">
        <v>43141</v>
      </c>
      <c r="D318" s="55" t="s">
        <v>149</v>
      </c>
      <c r="E318" s="55" t="s">
        <v>150</v>
      </c>
      <c r="F318" s="56">
        <v>21</v>
      </c>
      <c r="G318" s="57">
        <v>2.12</v>
      </c>
      <c r="H318" s="57">
        <f t="shared" si="8"/>
        <v>44.52</v>
      </c>
      <c r="I318" s="54">
        <f t="shared" si="9"/>
        <v>43166</v>
      </c>
      <c r="J318" s="54">
        <v>43165</v>
      </c>
      <c r="K318" s="54" t="s">
        <v>148</v>
      </c>
    </row>
    <row r="319" spans="3:11" x14ac:dyDescent="0.25">
      <c r="C319" s="54">
        <v>43142</v>
      </c>
      <c r="D319" s="55" t="s">
        <v>149</v>
      </c>
      <c r="E319" s="55" t="s">
        <v>150</v>
      </c>
      <c r="F319" s="56">
        <v>13</v>
      </c>
      <c r="G319" s="57">
        <v>2.12</v>
      </c>
      <c r="H319" s="57">
        <f t="shared" si="8"/>
        <v>27.560000000000002</v>
      </c>
      <c r="I319" s="54">
        <f t="shared" si="9"/>
        <v>43167</v>
      </c>
      <c r="J319" s="54">
        <v>43165</v>
      </c>
      <c r="K319" s="54" t="s">
        <v>148</v>
      </c>
    </row>
    <row r="320" spans="3:11" x14ac:dyDescent="0.25">
      <c r="C320" s="54">
        <v>43143</v>
      </c>
      <c r="D320" s="55" t="s">
        <v>153</v>
      </c>
      <c r="E320" s="55" t="s">
        <v>147</v>
      </c>
      <c r="F320" s="56">
        <v>24</v>
      </c>
      <c r="G320" s="57">
        <v>1.0900000000000001</v>
      </c>
      <c r="H320" s="57">
        <f t="shared" si="8"/>
        <v>26.160000000000004</v>
      </c>
      <c r="I320" s="54">
        <f t="shared" si="9"/>
        <v>43168</v>
      </c>
      <c r="J320" s="54">
        <v>43167</v>
      </c>
      <c r="K320" s="54" t="s">
        <v>148</v>
      </c>
    </row>
    <row r="321" spans="3:11" x14ac:dyDescent="0.25">
      <c r="C321" s="54">
        <v>43144</v>
      </c>
      <c r="D321" s="55" t="s">
        <v>151</v>
      </c>
      <c r="E321" s="55" t="s">
        <v>150</v>
      </c>
      <c r="F321" s="56">
        <v>18</v>
      </c>
      <c r="G321" s="57">
        <v>2.02</v>
      </c>
      <c r="H321" s="57">
        <f t="shared" si="8"/>
        <v>36.36</v>
      </c>
      <c r="I321" s="54">
        <f t="shared" si="9"/>
        <v>43169</v>
      </c>
      <c r="J321" s="54">
        <v>43170</v>
      </c>
      <c r="K321" s="54" t="s">
        <v>148</v>
      </c>
    </row>
    <row r="322" spans="3:11" x14ac:dyDescent="0.25">
      <c r="C322" s="54">
        <v>43145</v>
      </c>
      <c r="D322" s="55" t="s">
        <v>146</v>
      </c>
      <c r="E322" s="55" t="s">
        <v>147</v>
      </c>
      <c r="F322" s="56">
        <v>21</v>
      </c>
      <c r="G322" s="57">
        <v>1.55</v>
      </c>
      <c r="H322" s="57">
        <f t="shared" si="8"/>
        <v>32.550000000000004</v>
      </c>
      <c r="I322" s="54">
        <f t="shared" si="9"/>
        <v>43170</v>
      </c>
      <c r="J322" s="54">
        <v>43169</v>
      </c>
      <c r="K322" s="54" t="s">
        <v>148</v>
      </c>
    </row>
    <row r="323" spans="3:11" x14ac:dyDescent="0.25">
      <c r="C323" s="54">
        <v>43148</v>
      </c>
      <c r="D323" s="55" t="s">
        <v>149</v>
      </c>
      <c r="E323" s="55" t="s">
        <v>150</v>
      </c>
      <c r="F323" s="56">
        <v>10</v>
      </c>
      <c r="G323" s="57">
        <v>2.12</v>
      </c>
      <c r="H323" s="57">
        <f t="shared" si="8"/>
        <v>21.200000000000003</v>
      </c>
      <c r="I323" s="54">
        <f t="shared" si="9"/>
        <v>43173</v>
      </c>
      <c r="J323" s="54">
        <v>43172</v>
      </c>
      <c r="K323" s="54" t="s">
        <v>148</v>
      </c>
    </row>
    <row r="324" spans="3:11" x14ac:dyDescent="0.25">
      <c r="C324" s="54">
        <v>43149</v>
      </c>
      <c r="D324" s="55" t="s">
        <v>146</v>
      </c>
      <c r="E324" s="55" t="s">
        <v>147</v>
      </c>
      <c r="F324" s="56">
        <v>21</v>
      </c>
      <c r="G324" s="57">
        <v>1.55</v>
      </c>
      <c r="H324" s="57">
        <f t="shared" si="8"/>
        <v>32.550000000000004</v>
      </c>
      <c r="I324" s="54">
        <f t="shared" si="9"/>
        <v>43174</v>
      </c>
      <c r="J324" s="54">
        <v>43172</v>
      </c>
      <c r="K324" s="54" t="s">
        <v>148</v>
      </c>
    </row>
    <row r="325" spans="3:11" x14ac:dyDescent="0.25">
      <c r="C325" s="54">
        <v>43150</v>
      </c>
      <c r="D325" s="55" t="s">
        <v>152</v>
      </c>
      <c r="E325" s="55" t="s">
        <v>147</v>
      </c>
      <c r="F325" s="56">
        <v>16</v>
      </c>
      <c r="G325" s="57">
        <v>1.4</v>
      </c>
      <c r="H325" s="57">
        <f t="shared" si="8"/>
        <v>22.4</v>
      </c>
      <c r="I325" s="54">
        <f t="shared" si="9"/>
        <v>43175</v>
      </c>
      <c r="J325" s="54">
        <v>43175</v>
      </c>
      <c r="K325" s="54" t="s">
        <v>148</v>
      </c>
    </row>
    <row r="326" spans="3:11" x14ac:dyDescent="0.25">
      <c r="C326" s="54">
        <v>43151</v>
      </c>
      <c r="D326" s="55" t="s">
        <v>153</v>
      </c>
      <c r="E326" s="55" t="s">
        <v>147</v>
      </c>
      <c r="F326" s="56">
        <v>17</v>
      </c>
      <c r="G326" s="57">
        <v>1.0900000000000001</v>
      </c>
      <c r="H326" s="57">
        <f t="shared" si="8"/>
        <v>18.53</v>
      </c>
      <c r="I326" s="54">
        <f t="shared" si="9"/>
        <v>43176</v>
      </c>
      <c r="J326" s="54">
        <v>43176</v>
      </c>
      <c r="K326" s="54" t="s">
        <v>148</v>
      </c>
    </row>
    <row r="327" spans="3:11" x14ac:dyDescent="0.25">
      <c r="C327" s="54">
        <v>43152</v>
      </c>
      <c r="D327" s="55" t="s">
        <v>153</v>
      </c>
      <c r="E327" s="55" t="s">
        <v>147</v>
      </c>
      <c r="F327" s="56">
        <v>26</v>
      </c>
      <c r="G327" s="57">
        <v>1.0900000000000001</v>
      </c>
      <c r="H327" s="57">
        <f t="shared" si="8"/>
        <v>28.340000000000003</v>
      </c>
      <c r="I327" s="54">
        <f t="shared" si="9"/>
        <v>43177</v>
      </c>
      <c r="J327" s="54">
        <v>43177</v>
      </c>
      <c r="K327" s="54" t="s">
        <v>148</v>
      </c>
    </row>
    <row r="328" spans="3:11" x14ac:dyDescent="0.25">
      <c r="C328" s="54">
        <v>43155</v>
      </c>
      <c r="D328" s="55" t="s">
        <v>154</v>
      </c>
      <c r="E328" s="55" t="s">
        <v>150</v>
      </c>
      <c r="F328" s="56">
        <v>11</v>
      </c>
      <c r="G328" s="57">
        <v>1.37</v>
      </c>
      <c r="H328" s="57">
        <f t="shared" si="8"/>
        <v>15.07</v>
      </c>
      <c r="I328" s="54">
        <f t="shared" si="9"/>
        <v>43180</v>
      </c>
      <c r="J328" s="54">
        <v>43179</v>
      </c>
      <c r="K328" s="54" t="s">
        <v>148</v>
      </c>
    </row>
    <row r="329" spans="3:11" x14ac:dyDescent="0.25">
      <c r="C329" s="54">
        <v>43156</v>
      </c>
      <c r="D329" s="55" t="s">
        <v>146</v>
      </c>
      <c r="E329" s="55" t="s">
        <v>147</v>
      </c>
      <c r="F329" s="56">
        <v>17</v>
      </c>
      <c r="G329" s="57">
        <v>1.55</v>
      </c>
      <c r="H329" s="57">
        <f t="shared" si="8"/>
        <v>26.35</v>
      </c>
      <c r="I329" s="54">
        <f t="shared" si="9"/>
        <v>43181</v>
      </c>
      <c r="J329" s="54">
        <v>43184</v>
      </c>
      <c r="K329" s="54" t="s">
        <v>148</v>
      </c>
    </row>
    <row r="330" spans="3:11" x14ac:dyDescent="0.25">
      <c r="C330" s="54">
        <v>43157</v>
      </c>
      <c r="D330" s="55" t="s">
        <v>146</v>
      </c>
      <c r="E330" s="55" t="s">
        <v>147</v>
      </c>
      <c r="F330" s="56">
        <v>26</v>
      </c>
      <c r="G330" s="57">
        <v>1.55</v>
      </c>
      <c r="H330" s="57">
        <f t="shared" si="8"/>
        <v>40.300000000000004</v>
      </c>
      <c r="I330" s="54">
        <f t="shared" si="9"/>
        <v>43182</v>
      </c>
      <c r="J330" s="54">
        <v>43181</v>
      </c>
      <c r="K330" s="54" t="s">
        <v>148</v>
      </c>
    </row>
    <row r="331" spans="3:11" x14ac:dyDescent="0.25">
      <c r="C331" s="54">
        <v>43158</v>
      </c>
      <c r="D331" s="55" t="s">
        <v>149</v>
      </c>
      <c r="E331" s="55" t="s">
        <v>150</v>
      </c>
      <c r="F331" s="56">
        <v>9</v>
      </c>
      <c r="G331" s="57">
        <v>2.12</v>
      </c>
      <c r="H331" s="57">
        <f t="shared" si="8"/>
        <v>19.080000000000002</v>
      </c>
      <c r="I331" s="54">
        <f t="shared" si="9"/>
        <v>43183</v>
      </c>
      <c r="J331" s="54">
        <v>43182</v>
      </c>
      <c r="K331" s="54" t="s">
        <v>148</v>
      </c>
    </row>
    <row r="332" spans="3:11" x14ac:dyDescent="0.25">
      <c r="C332" s="54">
        <v>43159</v>
      </c>
      <c r="D332" s="55" t="s">
        <v>149</v>
      </c>
      <c r="E332" s="55" t="s">
        <v>150</v>
      </c>
      <c r="F332" s="56">
        <v>23</v>
      </c>
      <c r="G332" s="57">
        <v>2.12</v>
      </c>
      <c r="H332" s="57">
        <f t="shared" si="8"/>
        <v>48.760000000000005</v>
      </c>
      <c r="I332" s="54">
        <f t="shared" si="9"/>
        <v>43184</v>
      </c>
      <c r="J332" s="54">
        <v>43182</v>
      </c>
      <c r="K332" s="54" t="s">
        <v>148</v>
      </c>
    </row>
    <row r="333" spans="3:11" x14ac:dyDescent="0.25">
      <c r="C333" s="54">
        <v>43162</v>
      </c>
      <c r="D333" s="55" t="s">
        <v>149</v>
      </c>
      <c r="E333" s="55" t="s">
        <v>150</v>
      </c>
      <c r="F333" s="56">
        <v>22</v>
      </c>
      <c r="G333" s="57">
        <v>2.12</v>
      </c>
      <c r="H333" s="57">
        <f t="shared" si="8"/>
        <v>46.64</v>
      </c>
      <c r="I333" s="54">
        <f t="shared" si="9"/>
        <v>43187</v>
      </c>
      <c r="J333" s="54">
        <v>43187</v>
      </c>
      <c r="K333" s="54" t="s">
        <v>148</v>
      </c>
    </row>
    <row r="334" spans="3:11" x14ac:dyDescent="0.25">
      <c r="C334" s="54">
        <v>43163</v>
      </c>
      <c r="D334" s="55" t="s">
        <v>152</v>
      </c>
      <c r="E334" s="55" t="s">
        <v>147</v>
      </c>
      <c r="F334" s="56">
        <v>10</v>
      </c>
      <c r="G334" s="57">
        <v>1.4</v>
      </c>
      <c r="H334" s="57">
        <f t="shared" si="8"/>
        <v>14</v>
      </c>
      <c r="I334" s="54">
        <f t="shared" si="9"/>
        <v>43188</v>
      </c>
      <c r="J334" s="54">
        <v>43187</v>
      </c>
      <c r="K334" s="54" t="s">
        <v>148</v>
      </c>
    </row>
    <row r="335" spans="3:11" x14ac:dyDescent="0.25">
      <c r="C335" s="54">
        <v>43164</v>
      </c>
      <c r="D335" s="55" t="s">
        <v>146</v>
      </c>
      <c r="E335" s="55" t="s">
        <v>147</v>
      </c>
      <c r="F335" s="56">
        <v>18</v>
      </c>
      <c r="G335" s="57">
        <v>1.55</v>
      </c>
      <c r="H335" s="57">
        <f t="shared" si="8"/>
        <v>27.900000000000002</v>
      </c>
      <c r="I335" s="54">
        <f t="shared" si="9"/>
        <v>43189</v>
      </c>
      <c r="J335" s="54">
        <v>43189</v>
      </c>
      <c r="K335" s="54" t="s">
        <v>148</v>
      </c>
    </row>
    <row r="336" spans="3:11" x14ac:dyDescent="0.25">
      <c r="C336" s="54">
        <v>43165</v>
      </c>
      <c r="D336" s="55" t="s">
        <v>146</v>
      </c>
      <c r="E336" s="55" t="s">
        <v>147</v>
      </c>
      <c r="F336" s="56">
        <v>22</v>
      </c>
      <c r="G336" s="57">
        <v>1.55</v>
      </c>
      <c r="H336" s="57">
        <f t="shared" si="8"/>
        <v>34.1</v>
      </c>
      <c r="I336" s="54">
        <f t="shared" si="9"/>
        <v>43190</v>
      </c>
      <c r="J336" s="54">
        <v>43189</v>
      </c>
      <c r="K336" s="54" t="s">
        <v>148</v>
      </c>
    </row>
    <row r="337" spans="3:11" x14ac:dyDescent="0.25">
      <c r="C337" s="54">
        <v>43166</v>
      </c>
      <c r="D337" s="55" t="s">
        <v>153</v>
      </c>
      <c r="E337" s="55" t="s">
        <v>147</v>
      </c>
      <c r="F337" s="56">
        <v>14</v>
      </c>
      <c r="G337" s="57">
        <v>1.0900000000000001</v>
      </c>
      <c r="H337" s="57">
        <f t="shared" si="8"/>
        <v>15.260000000000002</v>
      </c>
      <c r="I337" s="54">
        <f t="shared" si="9"/>
        <v>43191</v>
      </c>
      <c r="J337" s="54">
        <v>43189</v>
      </c>
      <c r="K337" s="54" t="s">
        <v>148</v>
      </c>
    </row>
    <row r="338" spans="3:11" x14ac:dyDescent="0.25">
      <c r="C338" s="54">
        <v>43169</v>
      </c>
      <c r="D338" s="55" t="s">
        <v>151</v>
      </c>
      <c r="E338" s="55" t="s">
        <v>150</v>
      </c>
      <c r="F338" s="56">
        <v>6</v>
      </c>
      <c r="G338" s="57">
        <v>2.02</v>
      </c>
      <c r="H338" s="57">
        <f t="shared" si="8"/>
        <v>12.120000000000001</v>
      </c>
      <c r="I338" s="54">
        <f t="shared" si="9"/>
        <v>43194</v>
      </c>
      <c r="J338" s="54">
        <v>43194</v>
      </c>
      <c r="K338" s="54" t="s">
        <v>148</v>
      </c>
    </row>
    <row r="339" spans="3:11" x14ac:dyDescent="0.25">
      <c r="C339" s="54">
        <v>43170</v>
      </c>
      <c r="D339" s="55" t="s">
        <v>151</v>
      </c>
      <c r="E339" s="55" t="s">
        <v>150</v>
      </c>
      <c r="F339" s="56">
        <v>19</v>
      </c>
      <c r="G339" s="57">
        <v>2.02</v>
      </c>
      <c r="H339" s="57">
        <f t="shared" si="8"/>
        <v>38.380000000000003</v>
      </c>
      <c r="I339" s="54">
        <f t="shared" si="9"/>
        <v>43195</v>
      </c>
      <c r="J339" s="54">
        <v>43193</v>
      </c>
      <c r="K339" s="54" t="s">
        <v>148</v>
      </c>
    </row>
    <row r="340" spans="3:11" x14ac:dyDescent="0.25">
      <c r="C340" s="54">
        <v>43171</v>
      </c>
      <c r="D340" s="55" t="s">
        <v>146</v>
      </c>
      <c r="E340" s="55" t="s">
        <v>147</v>
      </c>
      <c r="F340" s="56">
        <v>12</v>
      </c>
      <c r="G340" s="57">
        <v>1.55</v>
      </c>
      <c r="H340" s="57">
        <f t="shared" si="8"/>
        <v>18.600000000000001</v>
      </c>
      <c r="I340" s="54">
        <f t="shared" si="9"/>
        <v>43196</v>
      </c>
      <c r="J340" s="54">
        <v>43196</v>
      </c>
      <c r="K340" s="54" t="s">
        <v>148</v>
      </c>
    </row>
    <row r="341" spans="3:11" x14ac:dyDescent="0.25">
      <c r="C341" s="54">
        <v>43172</v>
      </c>
      <c r="D341" s="55" t="s">
        <v>146</v>
      </c>
      <c r="E341" s="55" t="s">
        <v>147</v>
      </c>
      <c r="F341" s="56">
        <v>14</v>
      </c>
      <c r="G341" s="57">
        <v>1.55</v>
      </c>
      <c r="H341" s="57">
        <f t="shared" si="8"/>
        <v>21.7</v>
      </c>
      <c r="I341" s="54">
        <f t="shared" si="9"/>
        <v>43197</v>
      </c>
      <c r="J341" s="54">
        <v>43196</v>
      </c>
      <c r="K341" s="54" t="s">
        <v>148</v>
      </c>
    </row>
    <row r="342" spans="3:11" x14ac:dyDescent="0.25">
      <c r="C342" s="54">
        <v>43173</v>
      </c>
      <c r="D342" s="55" t="s">
        <v>154</v>
      </c>
      <c r="E342" s="55" t="s">
        <v>150</v>
      </c>
      <c r="F342" s="56">
        <v>21</v>
      </c>
      <c r="G342" s="57">
        <v>1.37</v>
      </c>
      <c r="H342" s="57">
        <f t="shared" si="8"/>
        <v>28.770000000000003</v>
      </c>
      <c r="I342" s="54">
        <f t="shared" si="9"/>
        <v>43198</v>
      </c>
      <c r="J342" s="54">
        <v>43196</v>
      </c>
      <c r="K342" s="54" t="s">
        <v>148</v>
      </c>
    </row>
    <row r="343" spans="3:11" x14ac:dyDescent="0.25">
      <c r="C343" s="54">
        <v>43176</v>
      </c>
      <c r="D343" s="55" t="s">
        <v>149</v>
      </c>
      <c r="E343" s="55" t="s">
        <v>150</v>
      </c>
      <c r="F343" s="56">
        <v>13</v>
      </c>
      <c r="G343" s="57">
        <v>2.12</v>
      </c>
      <c r="H343" s="57">
        <f t="shared" si="8"/>
        <v>27.560000000000002</v>
      </c>
      <c r="I343" s="54">
        <f t="shared" si="9"/>
        <v>43201</v>
      </c>
      <c r="J343" s="54">
        <v>43201</v>
      </c>
      <c r="K343" s="54" t="s">
        <v>148</v>
      </c>
    </row>
    <row r="344" spans="3:11" x14ac:dyDescent="0.25">
      <c r="C344" s="54">
        <v>43177</v>
      </c>
      <c r="D344" s="55" t="s">
        <v>152</v>
      </c>
      <c r="E344" s="55" t="s">
        <v>147</v>
      </c>
      <c r="F344" s="56">
        <v>8</v>
      </c>
      <c r="G344" s="57">
        <v>1.4</v>
      </c>
      <c r="H344" s="57">
        <f t="shared" si="8"/>
        <v>11.2</v>
      </c>
      <c r="I344" s="54">
        <f t="shared" si="9"/>
        <v>43202</v>
      </c>
      <c r="J344" s="54">
        <v>43200</v>
      </c>
      <c r="K344" s="54" t="s">
        <v>148</v>
      </c>
    </row>
    <row r="345" spans="3:11" x14ac:dyDescent="0.25">
      <c r="C345" s="54">
        <v>43178</v>
      </c>
      <c r="D345" s="55" t="s">
        <v>153</v>
      </c>
      <c r="E345" s="55" t="s">
        <v>147</v>
      </c>
      <c r="F345" s="56">
        <v>25</v>
      </c>
      <c r="G345" s="57">
        <v>1.0900000000000001</v>
      </c>
      <c r="H345" s="57">
        <f t="shared" si="8"/>
        <v>27.250000000000004</v>
      </c>
      <c r="I345" s="54">
        <f t="shared" si="9"/>
        <v>43203</v>
      </c>
      <c r="J345" s="54">
        <v>43203</v>
      </c>
      <c r="K345" s="54" t="s">
        <v>148</v>
      </c>
    </row>
    <row r="346" spans="3:11" x14ac:dyDescent="0.25">
      <c r="C346" s="54">
        <v>43179</v>
      </c>
      <c r="D346" s="55" t="s">
        <v>146</v>
      </c>
      <c r="E346" s="55" t="s">
        <v>147</v>
      </c>
      <c r="F346" s="56">
        <v>15</v>
      </c>
      <c r="G346" s="57">
        <v>1.55</v>
      </c>
      <c r="H346" s="57">
        <f t="shared" si="8"/>
        <v>23.25</v>
      </c>
      <c r="I346" s="54">
        <f t="shared" si="9"/>
        <v>43204</v>
      </c>
      <c r="J346" s="54">
        <v>43202</v>
      </c>
      <c r="K346" s="54" t="s">
        <v>148</v>
      </c>
    </row>
    <row r="347" spans="3:11" x14ac:dyDescent="0.25">
      <c r="C347" s="54">
        <v>43180</v>
      </c>
      <c r="D347" s="55" t="s">
        <v>151</v>
      </c>
      <c r="E347" s="55" t="s">
        <v>150</v>
      </c>
      <c r="F347" s="56">
        <v>17</v>
      </c>
      <c r="G347" s="57">
        <v>2.02</v>
      </c>
      <c r="H347" s="57">
        <f t="shared" si="8"/>
        <v>34.340000000000003</v>
      </c>
      <c r="I347" s="54">
        <f t="shared" si="9"/>
        <v>43205</v>
      </c>
      <c r="J347" s="54">
        <v>43205</v>
      </c>
      <c r="K347" s="54" t="s">
        <v>148</v>
      </c>
    </row>
    <row r="348" spans="3:11" x14ac:dyDescent="0.25">
      <c r="C348" s="54">
        <v>43183</v>
      </c>
      <c r="D348" s="55" t="s">
        <v>149</v>
      </c>
      <c r="E348" s="55" t="s">
        <v>150</v>
      </c>
      <c r="F348" s="56">
        <v>7</v>
      </c>
      <c r="G348" s="57">
        <v>2.12</v>
      </c>
      <c r="H348" s="57">
        <f t="shared" si="8"/>
        <v>14.84</v>
      </c>
      <c r="I348" s="54">
        <f t="shared" si="9"/>
        <v>43208</v>
      </c>
      <c r="J348" s="54">
        <v>43207</v>
      </c>
      <c r="K348" s="54" t="s">
        <v>148</v>
      </c>
    </row>
    <row r="349" spans="3:11" x14ac:dyDescent="0.25">
      <c r="C349" s="54">
        <v>43184</v>
      </c>
      <c r="D349" s="55" t="s">
        <v>152</v>
      </c>
      <c r="E349" s="55" t="s">
        <v>147</v>
      </c>
      <c r="F349" s="56">
        <v>8</v>
      </c>
      <c r="G349" s="57">
        <v>1.4</v>
      </c>
      <c r="H349" s="57">
        <f t="shared" ref="H349:H412" si="10">F349*G349</f>
        <v>11.2</v>
      </c>
      <c r="I349" s="54">
        <f t="shared" si="9"/>
        <v>43209</v>
      </c>
      <c r="J349" s="54">
        <v>43207</v>
      </c>
      <c r="K349" s="54" t="s">
        <v>148</v>
      </c>
    </row>
    <row r="350" spans="3:11" x14ac:dyDescent="0.25">
      <c r="C350" s="54">
        <v>43185</v>
      </c>
      <c r="D350" s="55" t="s">
        <v>154</v>
      </c>
      <c r="E350" s="55" t="s">
        <v>150</v>
      </c>
      <c r="F350" s="56">
        <v>19</v>
      </c>
      <c r="G350" s="57">
        <v>1.37</v>
      </c>
      <c r="H350" s="57">
        <f t="shared" si="10"/>
        <v>26.03</v>
      </c>
      <c r="I350" s="54">
        <f t="shared" ref="I350:I413" si="11">+C350+25</f>
        <v>43210</v>
      </c>
      <c r="J350" s="54">
        <v>43209</v>
      </c>
      <c r="K350" s="54" t="s">
        <v>148</v>
      </c>
    </row>
    <row r="351" spans="3:11" x14ac:dyDescent="0.25">
      <c r="C351" s="54">
        <v>43186</v>
      </c>
      <c r="D351" s="55" t="s">
        <v>149</v>
      </c>
      <c r="E351" s="55" t="s">
        <v>150</v>
      </c>
      <c r="F351" s="56">
        <v>21</v>
      </c>
      <c r="G351" s="57">
        <v>2.12</v>
      </c>
      <c r="H351" s="57">
        <f t="shared" si="10"/>
        <v>44.52</v>
      </c>
      <c r="I351" s="54">
        <f t="shared" si="11"/>
        <v>43211</v>
      </c>
      <c r="J351" s="54">
        <v>43211</v>
      </c>
      <c r="K351" s="54" t="s">
        <v>148</v>
      </c>
    </row>
    <row r="352" spans="3:11" x14ac:dyDescent="0.25">
      <c r="C352" s="54">
        <v>43187</v>
      </c>
      <c r="D352" s="55" t="s">
        <v>146</v>
      </c>
      <c r="E352" s="55" t="s">
        <v>147</v>
      </c>
      <c r="F352" s="56">
        <v>8</v>
      </c>
      <c r="G352" s="57">
        <v>1.55</v>
      </c>
      <c r="H352" s="57">
        <f t="shared" si="10"/>
        <v>12.4</v>
      </c>
      <c r="I352" s="54">
        <f t="shared" si="11"/>
        <v>43212</v>
      </c>
      <c r="J352" s="54">
        <v>43211</v>
      </c>
      <c r="K352" s="54" t="s">
        <v>148</v>
      </c>
    </row>
    <row r="353" spans="3:11" x14ac:dyDescent="0.25">
      <c r="C353" s="54">
        <v>43190</v>
      </c>
      <c r="D353" s="55" t="s">
        <v>149</v>
      </c>
      <c r="E353" s="55" t="s">
        <v>150</v>
      </c>
      <c r="F353" s="56">
        <v>24</v>
      </c>
      <c r="G353" s="57">
        <v>2.12</v>
      </c>
      <c r="H353" s="57">
        <f t="shared" si="10"/>
        <v>50.88</v>
      </c>
      <c r="I353" s="54">
        <f t="shared" si="11"/>
        <v>43215</v>
      </c>
      <c r="J353" s="54">
        <v>43214</v>
      </c>
      <c r="K353" s="54" t="s">
        <v>148</v>
      </c>
    </row>
    <row r="354" spans="3:11" x14ac:dyDescent="0.25">
      <c r="C354" s="54">
        <v>43191</v>
      </c>
      <c r="D354" s="55" t="s">
        <v>149</v>
      </c>
      <c r="E354" s="55" t="s">
        <v>150</v>
      </c>
      <c r="F354" s="56">
        <v>21</v>
      </c>
      <c r="G354" s="57">
        <v>2.12</v>
      </c>
      <c r="H354" s="57">
        <f t="shared" si="10"/>
        <v>44.52</v>
      </c>
      <c r="I354" s="54">
        <f t="shared" si="11"/>
        <v>43216</v>
      </c>
      <c r="J354" s="54">
        <v>43214</v>
      </c>
      <c r="K354" s="54" t="s">
        <v>148</v>
      </c>
    </row>
    <row r="355" spans="3:11" x14ac:dyDescent="0.25">
      <c r="C355" s="54">
        <v>43192</v>
      </c>
      <c r="D355" s="55" t="s">
        <v>149</v>
      </c>
      <c r="E355" s="55" t="s">
        <v>150</v>
      </c>
      <c r="F355" s="56">
        <v>20</v>
      </c>
      <c r="G355" s="57">
        <v>2.12</v>
      </c>
      <c r="H355" s="57">
        <f t="shared" si="10"/>
        <v>42.400000000000006</v>
      </c>
      <c r="I355" s="54">
        <f t="shared" si="11"/>
        <v>43217</v>
      </c>
      <c r="J355" s="54">
        <v>43217</v>
      </c>
      <c r="K355" s="54" t="s">
        <v>148</v>
      </c>
    </row>
    <row r="356" spans="3:11" x14ac:dyDescent="0.25">
      <c r="C356" s="54">
        <v>43193</v>
      </c>
      <c r="D356" s="55" t="s">
        <v>146</v>
      </c>
      <c r="E356" s="55" t="s">
        <v>147</v>
      </c>
      <c r="F356" s="56">
        <v>9</v>
      </c>
      <c r="G356" s="57">
        <v>1.55</v>
      </c>
      <c r="H356" s="57">
        <f t="shared" si="10"/>
        <v>13.950000000000001</v>
      </c>
      <c r="I356" s="54">
        <f t="shared" si="11"/>
        <v>43218</v>
      </c>
      <c r="J356" s="54">
        <v>43219</v>
      </c>
      <c r="K356" s="54" t="s">
        <v>148</v>
      </c>
    </row>
    <row r="357" spans="3:11" x14ac:dyDescent="0.25">
      <c r="C357" s="54">
        <v>43194</v>
      </c>
      <c r="D357" s="55" t="s">
        <v>153</v>
      </c>
      <c r="E357" s="55" t="s">
        <v>147</v>
      </c>
      <c r="F357" s="56">
        <v>17</v>
      </c>
      <c r="G357" s="57">
        <v>1.0900000000000001</v>
      </c>
      <c r="H357" s="57">
        <f t="shared" si="10"/>
        <v>18.53</v>
      </c>
      <c r="I357" s="54">
        <f t="shared" si="11"/>
        <v>43219</v>
      </c>
      <c r="J357" s="54">
        <v>43219</v>
      </c>
      <c r="K357" s="54" t="s">
        <v>148</v>
      </c>
    </row>
    <row r="358" spans="3:11" x14ac:dyDescent="0.25">
      <c r="C358" s="54">
        <v>43197</v>
      </c>
      <c r="D358" s="55" t="s">
        <v>149</v>
      </c>
      <c r="E358" s="55" t="s">
        <v>150</v>
      </c>
      <c r="F358" s="56">
        <v>17</v>
      </c>
      <c r="G358" s="57">
        <v>2.12</v>
      </c>
      <c r="H358" s="57">
        <f t="shared" si="10"/>
        <v>36.04</v>
      </c>
      <c r="I358" s="54">
        <f t="shared" si="11"/>
        <v>43222</v>
      </c>
      <c r="J358" s="54">
        <v>43221</v>
      </c>
      <c r="K358" s="54" t="s">
        <v>148</v>
      </c>
    </row>
    <row r="359" spans="3:11" x14ac:dyDescent="0.25">
      <c r="C359" s="54">
        <v>43198</v>
      </c>
      <c r="D359" s="55" t="s">
        <v>151</v>
      </c>
      <c r="E359" s="55" t="s">
        <v>150</v>
      </c>
      <c r="F359" s="56">
        <v>25</v>
      </c>
      <c r="G359" s="57">
        <v>2.02</v>
      </c>
      <c r="H359" s="57">
        <f t="shared" si="10"/>
        <v>50.5</v>
      </c>
      <c r="I359" s="54">
        <f t="shared" si="11"/>
        <v>43223</v>
      </c>
      <c r="J359" s="54">
        <v>43221</v>
      </c>
      <c r="K359" s="54" t="s">
        <v>148</v>
      </c>
    </row>
    <row r="360" spans="3:11" x14ac:dyDescent="0.25">
      <c r="C360" s="54">
        <v>43199</v>
      </c>
      <c r="D360" s="55" t="s">
        <v>154</v>
      </c>
      <c r="E360" s="55" t="s">
        <v>150</v>
      </c>
      <c r="F360" s="56">
        <v>21</v>
      </c>
      <c r="G360" s="57">
        <v>1.37</v>
      </c>
      <c r="H360" s="57">
        <f t="shared" si="10"/>
        <v>28.770000000000003</v>
      </c>
      <c r="I360" s="54">
        <f t="shared" si="11"/>
        <v>43224</v>
      </c>
      <c r="J360" s="54">
        <v>43222</v>
      </c>
      <c r="K360" s="54" t="s">
        <v>148</v>
      </c>
    </row>
    <row r="361" spans="3:11" x14ac:dyDescent="0.25">
      <c r="C361" s="54">
        <v>43200</v>
      </c>
      <c r="D361" s="55" t="s">
        <v>149</v>
      </c>
      <c r="E361" s="55" t="s">
        <v>150</v>
      </c>
      <c r="F361" s="56">
        <v>24</v>
      </c>
      <c r="G361" s="57">
        <v>2.12</v>
      </c>
      <c r="H361" s="57">
        <f t="shared" si="10"/>
        <v>50.88</v>
      </c>
      <c r="I361" s="54">
        <f t="shared" si="11"/>
        <v>43225</v>
      </c>
      <c r="J361" s="54">
        <v>43225</v>
      </c>
      <c r="K361" s="54" t="s">
        <v>148</v>
      </c>
    </row>
    <row r="362" spans="3:11" x14ac:dyDescent="0.25">
      <c r="C362" s="54">
        <v>43201</v>
      </c>
      <c r="D362" s="55" t="s">
        <v>151</v>
      </c>
      <c r="E362" s="55" t="s">
        <v>150</v>
      </c>
      <c r="F362" s="56">
        <v>18</v>
      </c>
      <c r="G362" s="57">
        <v>2.02</v>
      </c>
      <c r="H362" s="57">
        <f t="shared" si="10"/>
        <v>36.36</v>
      </c>
      <c r="I362" s="54">
        <f t="shared" si="11"/>
        <v>43226</v>
      </c>
      <c r="J362" s="54">
        <v>43227</v>
      </c>
      <c r="K362" s="54" t="s">
        <v>148</v>
      </c>
    </row>
    <row r="363" spans="3:11" x14ac:dyDescent="0.25">
      <c r="C363" s="54">
        <v>43204</v>
      </c>
      <c r="D363" s="55" t="s">
        <v>154</v>
      </c>
      <c r="E363" s="55" t="s">
        <v>150</v>
      </c>
      <c r="F363" s="56">
        <v>6</v>
      </c>
      <c r="G363" s="57">
        <v>1.37</v>
      </c>
      <c r="H363" s="57">
        <f t="shared" si="10"/>
        <v>8.2200000000000006</v>
      </c>
      <c r="I363" s="54">
        <f t="shared" si="11"/>
        <v>43229</v>
      </c>
      <c r="J363" s="54">
        <v>43229</v>
      </c>
      <c r="K363" s="54" t="s">
        <v>148</v>
      </c>
    </row>
    <row r="364" spans="3:11" x14ac:dyDescent="0.25">
      <c r="C364" s="54">
        <v>43205</v>
      </c>
      <c r="D364" s="55" t="s">
        <v>153</v>
      </c>
      <c r="E364" s="55" t="s">
        <v>147</v>
      </c>
      <c r="F364" s="56">
        <v>7</v>
      </c>
      <c r="G364" s="57">
        <v>1.0900000000000001</v>
      </c>
      <c r="H364" s="57">
        <f t="shared" si="10"/>
        <v>7.6300000000000008</v>
      </c>
      <c r="I364" s="54">
        <f t="shared" si="11"/>
        <v>43230</v>
      </c>
      <c r="J364" s="54">
        <v>43229</v>
      </c>
      <c r="K364" s="54" t="s">
        <v>148</v>
      </c>
    </row>
    <row r="365" spans="3:11" x14ac:dyDescent="0.25">
      <c r="C365" s="54">
        <v>43206</v>
      </c>
      <c r="D365" s="55" t="s">
        <v>151</v>
      </c>
      <c r="E365" s="55" t="s">
        <v>150</v>
      </c>
      <c r="F365" s="56">
        <v>8</v>
      </c>
      <c r="G365" s="57">
        <v>2.02</v>
      </c>
      <c r="H365" s="57">
        <f t="shared" si="10"/>
        <v>16.16</v>
      </c>
      <c r="I365" s="54">
        <f t="shared" si="11"/>
        <v>43231</v>
      </c>
      <c r="J365" s="54">
        <v>43229</v>
      </c>
      <c r="K365" s="54" t="s">
        <v>148</v>
      </c>
    </row>
    <row r="366" spans="3:11" x14ac:dyDescent="0.25">
      <c r="C366" s="54">
        <v>43207</v>
      </c>
      <c r="D366" s="55" t="s">
        <v>153</v>
      </c>
      <c r="E366" s="55" t="s">
        <v>147</v>
      </c>
      <c r="F366" s="56">
        <v>23</v>
      </c>
      <c r="G366" s="57">
        <v>1.0900000000000001</v>
      </c>
      <c r="H366" s="57">
        <f t="shared" si="10"/>
        <v>25.07</v>
      </c>
      <c r="I366" s="54">
        <f t="shared" si="11"/>
        <v>43232</v>
      </c>
      <c r="J366" s="54">
        <v>43230</v>
      </c>
      <c r="K366" s="54" t="s">
        <v>148</v>
      </c>
    </row>
    <row r="367" spans="3:11" x14ac:dyDescent="0.25">
      <c r="C367" s="54">
        <v>43208</v>
      </c>
      <c r="D367" s="55" t="s">
        <v>152</v>
      </c>
      <c r="E367" s="55" t="s">
        <v>147</v>
      </c>
      <c r="F367" s="56">
        <v>21</v>
      </c>
      <c r="G367" s="57">
        <v>1.4</v>
      </c>
      <c r="H367" s="57">
        <f t="shared" si="10"/>
        <v>29.4</v>
      </c>
      <c r="I367" s="54">
        <f t="shared" si="11"/>
        <v>43233</v>
      </c>
      <c r="J367" s="54">
        <v>43234</v>
      </c>
      <c r="K367" s="54" t="s">
        <v>148</v>
      </c>
    </row>
    <row r="368" spans="3:11" x14ac:dyDescent="0.25">
      <c r="C368" s="54">
        <v>43211</v>
      </c>
      <c r="D368" s="55" t="s">
        <v>146</v>
      </c>
      <c r="E368" s="55" t="s">
        <v>147</v>
      </c>
      <c r="F368" s="56">
        <v>23</v>
      </c>
      <c r="G368" s="57">
        <v>1.55</v>
      </c>
      <c r="H368" s="57">
        <f t="shared" si="10"/>
        <v>35.65</v>
      </c>
      <c r="I368" s="54">
        <f t="shared" si="11"/>
        <v>43236</v>
      </c>
      <c r="J368" s="54">
        <v>43235</v>
      </c>
      <c r="K368" s="54" t="s">
        <v>148</v>
      </c>
    </row>
    <row r="369" spans="3:11" x14ac:dyDescent="0.25">
      <c r="C369" s="54">
        <v>43212</v>
      </c>
      <c r="D369" s="55" t="s">
        <v>149</v>
      </c>
      <c r="E369" s="55" t="s">
        <v>150</v>
      </c>
      <c r="F369" s="56">
        <v>15</v>
      </c>
      <c r="G369" s="57">
        <v>2.12</v>
      </c>
      <c r="H369" s="57">
        <f t="shared" si="10"/>
        <v>31.8</v>
      </c>
      <c r="I369" s="54">
        <f t="shared" si="11"/>
        <v>43237</v>
      </c>
      <c r="J369" s="54">
        <v>43236</v>
      </c>
      <c r="K369" s="54" t="s">
        <v>148</v>
      </c>
    </row>
    <row r="370" spans="3:11" x14ac:dyDescent="0.25">
      <c r="C370" s="54">
        <v>43213</v>
      </c>
      <c r="D370" s="55" t="s">
        <v>151</v>
      </c>
      <c r="E370" s="55" t="s">
        <v>150</v>
      </c>
      <c r="F370" s="56">
        <v>26</v>
      </c>
      <c r="G370" s="57">
        <v>2.02</v>
      </c>
      <c r="H370" s="57">
        <f t="shared" si="10"/>
        <v>52.52</v>
      </c>
      <c r="I370" s="54">
        <f t="shared" si="11"/>
        <v>43238</v>
      </c>
      <c r="J370" s="54">
        <v>43236</v>
      </c>
      <c r="K370" s="54" t="s">
        <v>148</v>
      </c>
    </row>
    <row r="371" spans="3:11" x14ac:dyDescent="0.25">
      <c r="C371" s="54">
        <v>43214</v>
      </c>
      <c r="D371" s="55" t="s">
        <v>152</v>
      </c>
      <c r="E371" s="55" t="s">
        <v>147</v>
      </c>
      <c r="F371" s="56">
        <v>18</v>
      </c>
      <c r="G371" s="57">
        <v>1.4</v>
      </c>
      <c r="H371" s="57">
        <f t="shared" si="10"/>
        <v>25.2</v>
      </c>
      <c r="I371" s="54">
        <f t="shared" si="11"/>
        <v>43239</v>
      </c>
      <c r="J371" s="54">
        <v>43239</v>
      </c>
      <c r="K371" s="54" t="s">
        <v>148</v>
      </c>
    </row>
    <row r="372" spans="3:11" x14ac:dyDescent="0.25">
      <c r="C372" s="54">
        <v>43215</v>
      </c>
      <c r="D372" s="55" t="s">
        <v>152</v>
      </c>
      <c r="E372" s="55" t="s">
        <v>147</v>
      </c>
      <c r="F372" s="56">
        <v>9</v>
      </c>
      <c r="G372" s="57">
        <v>1.4</v>
      </c>
      <c r="H372" s="57">
        <f t="shared" si="10"/>
        <v>12.6</v>
      </c>
      <c r="I372" s="54">
        <f t="shared" si="11"/>
        <v>43240</v>
      </c>
      <c r="J372" s="54">
        <v>43240</v>
      </c>
      <c r="K372" s="54" t="s">
        <v>148</v>
      </c>
    </row>
    <row r="373" spans="3:11" x14ac:dyDescent="0.25">
      <c r="C373" s="54">
        <v>43218</v>
      </c>
      <c r="D373" s="55" t="s">
        <v>146</v>
      </c>
      <c r="E373" s="55" t="s">
        <v>147</v>
      </c>
      <c r="F373" s="56">
        <v>21</v>
      </c>
      <c r="G373" s="57">
        <v>1.55</v>
      </c>
      <c r="H373" s="57">
        <f t="shared" si="10"/>
        <v>32.550000000000004</v>
      </c>
      <c r="I373" s="54">
        <f t="shared" si="11"/>
        <v>43243</v>
      </c>
      <c r="J373" s="54">
        <v>43243</v>
      </c>
      <c r="K373" s="54" t="s">
        <v>148</v>
      </c>
    </row>
    <row r="374" spans="3:11" x14ac:dyDescent="0.25">
      <c r="C374" s="54">
        <v>43219</v>
      </c>
      <c r="D374" s="55" t="s">
        <v>153</v>
      </c>
      <c r="E374" s="55" t="s">
        <v>147</v>
      </c>
      <c r="F374" s="56">
        <v>8</v>
      </c>
      <c r="G374" s="57">
        <v>1.0900000000000001</v>
      </c>
      <c r="H374" s="57">
        <f t="shared" si="10"/>
        <v>8.7200000000000006</v>
      </c>
      <c r="I374" s="54">
        <f t="shared" si="11"/>
        <v>43244</v>
      </c>
      <c r="J374" s="54">
        <v>43243</v>
      </c>
      <c r="K374" s="54" t="s">
        <v>148</v>
      </c>
    </row>
    <row r="375" spans="3:11" x14ac:dyDescent="0.25">
      <c r="C375" s="54">
        <v>43220</v>
      </c>
      <c r="D375" s="55" t="s">
        <v>151</v>
      </c>
      <c r="E375" s="55" t="s">
        <v>150</v>
      </c>
      <c r="F375" s="56">
        <v>17</v>
      </c>
      <c r="G375" s="57">
        <v>2.02</v>
      </c>
      <c r="H375" s="57">
        <f t="shared" si="10"/>
        <v>34.340000000000003</v>
      </c>
      <c r="I375" s="54">
        <f t="shared" si="11"/>
        <v>43245</v>
      </c>
      <c r="J375" s="54">
        <v>43243</v>
      </c>
      <c r="K375" s="54" t="s">
        <v>148</v>
      </c>
    </row>
    <row r="376" spans="3:11" x14ac:dyDescent="0.25">
      <c r="C376" s="54">
        <v>43221</v>
      </c>
      <c r="D376" s="55" t="s">
        <v>149</v>
      </c>
      <c r="E376" s="55" t="s">
        <v>150</v>
      </c>
      <c r="F376" s="56">
        <v>19</v>
      </c>
      <c r="G376" s="57">
        <v>2.12</v>
      </c>
      <c r="H376" s="57">
        <f t="shared" si="10"/>
        <v>40.28</v>
      </c>
      <c r="I376" s="54">
        <f t="shared" si="11"/>
        <v>43246</v>
      </c>
      <c r="J376" s="54">
        <v>43246</v>
      </c>
      <c r="K376" s="54" t="s">
        <v>148</v>
      </c>
    </row>
    <row r="377" spans="3:11" x14ac:dyDescent="0.25">
      <c r="C377" s="54">
        <v>43222</v>
      </c>
      <c r="D377" s="55" t="s">
        <v>146</v>
      </c>
      <c r="E377" s="55" t="s">
        <v>147</v>
      </c>
      <c r="F377" s="56">
        <v>10</v>
      </c>
      <c r="G377" s="57">
        <v>1.55</v>
      </c>
      <c r="H377" s="57">
        <f t="shared" si="10"/>
        <v>15.5</v>
      </c>
      <c r="I377" s="54">
        <f t="shared" si="11"/>
        <v>43247</v>
      </c>
      <c r="J377" s="54">
        <v>43245</v>
      </c>
      <c r="K377" s="54" t="s">
        <v>148</v>
      </c>
    </row>
    <row r="378" spans="3:11" x14ac:dyDescent="0.25">
      <c r="C378" s="54">
        <v>43225</v>
      </c>
      <c r="D378" s="55" t="s">
        <v>146</v>
      </c>
      <c r="E378" s="55" t="s">
        <v>147</v>
      </c>
      <c r="F378" s="56">
        <v>8</v>
      </c>
      <c r="G378" s="57">
        <v>1.55</v>
      </c>
      <c r="H378" s="57">
        <f t="shared" si="10"/>
        <v>12.4</v>
      </c>
      <c r="I378" s="54">
        <f t="shared" si="11"/>
        <v>43250</v>
      </c>
      <c r="J378" s="54">
        <v>43250</v>
      </c>
      <c r="K378" s="54" t="s">
        <v>148</v>
      </c>
    </row>
    <row r="379" spans="3:11" x14ac:dyDescent="0.25">
      <c r="C379" s="54">
        <v>43226</v>
      </c>
      <c r="D379" s="55" t="s">
        <v>146</v>
      </c>
      <c r="E379" s="55" t="s">
        <v>147</v>
      </c>
      <c r="F379" s="56">
        <v>16</v>
      </c>
      <c r="G379" s="57">
        <v>1.55</v>
      </c>
      <c r="H379" s="57">
        <f t="shared" si="10"/>
        <v>24.8</v>
      </c>
      <c r="I379" s="54">
        <f t="shared" si="11"/>
        <v>43251</v>
      </c>
      <c r="J379" s="54">
        <v>43250</v>
      </c>
      <c r="K379" s="54" t="s">
        <v>148</v>
      </c>
    </row>
    <row r="380" spans="3:11" x14ac:dyDescent="0.25">
      <c r="C380" s="54">
        <v>43227</v>
      </c>
      <c r="D380" s="55" t="s">
        <v>146</v>
      </c>
      <c r="E380" s="55" t="s">
        <v>147</v>
      </c>
      <c r="F380" s="56">
        <v>23</v>
      </c>
      <c r="G380" s="57">
        <v>1.55</v>
      </c>
      <c r="H380" s="57">
        <f t="shared" si="10"/>
        <v>35.65</v>
      </c>
      <c r="I380" s="54">
        <f t="shared" si="11"/>
        <v>43252</v>
      </c>
      <c r="J380" s="54">
        <v>43250</v>
      </c>
      <c r="K380" s="54" t="s">
        <v>148</v>
      </c>
    </row>
    <row r="381" spans="3:11" x14ac:dyDescent="0.25">
      <c r="C381" s="54">
        <v>43228</v>
      </c>
      <c r="D381" s="55" t="s">
        <v>146</v>
      </c>
      <c r="E381" s="55" t="s">
        <v>147</v>
      </c>
      <c r="F381" s="56">
        <v>17</v>
      </c>
      <c r="G381" s="57">
        <v>1.55</v>
      </c>
      <c r="H381" s="57">
        <f t="shared" si="10"/>
        <v>26.35</v>
      </c>
      <c r="I381" s="54">
        <f t="shared" si="11"/>
        <v>43253</v>
      </c>
      <c r="J381" s="54">
        <v>43252</v>
      </c>
      <c r="K381" s="54" t="s">
        <v>148</v>
      </c>
    </row>
    <row r="382" spans="3:11" x14ac:dyDescent="0.25">
      <c r="C382" s="54">
        <v>43229</v>
      </c>
      <c r="D382" s="55" t="s">
        <v>152</v>
      </c>
      <c r="E382" s="55" t="s">
        <v>147</v>
      </c>
      <c r="F382" s="56">
        <v>23</v>
      </c>
      <c r="G382" s="57">
        <v>1.4</v>
      </c>
      <c r="H382" s="57">
        <f t="shared" si="10"/>
        <v>32.199999999999996</v>
      </c>
      <c r="I382" s="54">
        <f t="shared" si="11"/>
        <v>43254</v>
      </c>
      <c r="J382" s="54">
        <v>43254</v>
      </c>
      <c r="K382" s="54" t="s">
        <v>148</v>
      </c>
    </row>
    <row r="383" spans="3:11" x14ac:dyDescent="0.25">
      <c r="C383" s="54">
        <v>43232</v>
      </c>
      <c r="D383" s="55" t="s">
        <v>149</v>
      </c>
      <c r="E383" s="55" t="s">
        <v>150</v>
      </c>
      <c r="F383" s="56">
        <v>16</v>
      </c>
      <c r="G383" s="57">
        <v>2.12</v>
      </c>
      <c r="H383" s="57">
        <f t="shared" si="10"/>
        <v>33.92</v>
      </c>
      <c r="I383" s="54">
        <f t="shared" si="11"/>
        <v>43257</v>
      </c>
      <c r="J383" s="54">
        <v>43256</v>
      </c>
      <c r="K383" s="54" t="s">
        <v>148</v>
      </c>
    </row>
    <row r="384" spans="3:11" x14ac:dyDescent="0.25">
      <c r="C384" s="54">
        <v>43233</v>
      </c>
      <c r="D384" s="55" t="s">
        <v>151</v>
      </c>
      <c r="E384" s="55" t="s">
        <v>150</v>
      </c>
      <c r="F384" s="56">
        <v>8</v>
      </c>
      <c r="G384" s="57">
        <v>2.02</v>
      </c>
      <c r="H384" s="57">
        <f t="shared" si="10"/>
        <v>16.16</v>
      </c>
      <c r="I384" s="54">
        <f t="shared" si="11"/>
        <v>43258</v>
      </c>
      <c r="J384" s="54">
        <v>43257</v>
      </c>
      <c r="K384" s="54" t="s">
        <v>148</v>
      </c>
    </row>
    <row r="385" spans="3:11" x14ac:dyDescent="0.25">
      <c r="C385" s="54">
        <v>43234</v>
      </c>
      <c r="D385" s="55" t="s">
        <v>149</v>
      </c>
      <c r="E385" s="55" t="s">
        <v>150</v>
      </c>
      <c r="F385" s="56">
        <v>16</v>
      </c>
      <c r="G385" s="57">
        <v>2.12</v>
      </c>
      <c r="H385" s="57">
        <f t="shared" si="10"/>
        <v>33.92</v>
      </c>
      <c r="I385" s="54">
        <f t="shared" si="11"/>
        <v>43259</v>
      </c>
      <c r="J385" s="54">
        <v>43257</v>
      </c>
      <c r="K385" s="54" t="s">
        <v>148</v>
      </c>
    </row>
    <row r="386" spans="3:11" x14ac:dyDescent="0.25">
      <c r="C386" s="54">
        <v>43235</v>
      </c>
      <c r="D386" s="55" t="s">
        <v>149</v>
      </c>
      <c r="E386" s="55" t="s">
        <v>150</v>
      </c>
      <c r="F386" s="56">
        <v>25</v>
      </c>
      <c r="G386" s="57">
        <v>2.12</v>
      </c>
      <c r="H386" s="57">
        <f t="shared" si="10"/>
        <v>53</v>
      </c>
      <c r="I386" s="54">
        <f t="shared" si="11"/>
        <v>43260</v>
      </c>
      <c r="J386" s="54">
        <v>43260</v>
      </c>
      <c r="K386" s="54" t="s">
        <v>148</v>
      </c>
    </row>
    <row r="387" spans="3:11" x14ac:dyDescent="0.25">
      <c r="C387" s="54">
        <v>43236</v>
      </c>
      <c r="D387" s="55" t="s">
        <v>153</v>
      </c>
      <c r="E387" s="55" t="s">
        <v>147</v>
      </c>
      <c r="F387" s="56">
        <v>13</v>
      </c>
      <c r="G387" s="57">
        <v>1.0900000000000001</v>
      </c>
      <c r="H387" s="57">
        <f t="shared" si="10"/>
        <v>14.170000000000002</v>
      </c>
      <c r="I387" s="54">
        <f t="shared" si="11"/>
        <v>43261</v>
      </c>
      <c r="J387" s="54">
        <v>43258</v>
      </c>
      <c r="K387" s="54" t="s">
        <v>148</v>
      </c>
    </row>
    <row r="388" spans="3:11" x14ac:dyDescent="0.25">
      <c r="C388" s="54">
        <v>43239</v>
      </c>
      <c r="D388" s="55" t="s">
        <v>146</v>
      </c>
      <c r="E388" s="55" t="s">
        <v>147</v>
      </c>
      <c r="F388" s="56">
        <v>23</v>
      </c>
      <c r="G388" s="57">
        <v>1.55</v>
      </c>
      <c r="H388" s="57">
        <f t="shared" si="10"/>
        <v>35.65</v>
      </c>
      <c r="I388" s="54">
        <f t="shared" si="11"/>
        <v>43264</v>
      </c>
      <c r="J388" s="54">
        <v>43264</v>
      </c>
      <c r="K388" s="54" t="s">
        <v>148</v>
      </c>
    </row>
    <row r="389" spans="3:11" x14ac:dyDescent="0.25">
      <c r="C389" s="54">
        <v>43240</v>
      </c>
      <c r="D389" s="55" t="s">
        <v>149</v>
      </c>
      <c r="E389" s="55" t="s">
        <v>150</v>
      </c>
      <c r="F389" s="56">
        <v>18</v>
      </c>
      <c r="G389" s="57">
        <v>2.12</v>
      </c>
      <c r="H389" s="57">
        <f t="shared" si="10"/>
        <v>38.160000000000004</v>
      </c>
      <c r="I389" s="54">
        <f t="shared" si="11"/>
        <v>43265</v>
      </c>
      <c r="J389" s="54">
        <v>43264</v>
      </c>
      <c r="K389" s="54" t="s">
        <v>148</v>
      </c>
    </row>
    <row r="390" spans="3:11" x14ac:dyDescent="0.25">
      <c r="C390" s="54">
        <v>43241</v>
      </c>
      <c r="D390" s="55" t="s">
        <v>152</v>
      </c>
      <c r="E390" s="55" t="s">
        <v>147</v>
      </c>
      <c r="F390" s="56">
        <v>15</v>
      </c>
      <c r="G390" s="57">
        <v>1.4</v>
      </c>
      <c r="H390" s="57">
        <f t="shared" si="10"/>
        <v>21</v>
      </c>
      <c r="I390" s="54">
        <f t="shared" si="11"/>
        <v>43266</v>
      </c>
      <c r="J390" s="54">
        <v>43269</v>
      </c>
      <c r="K390" s="54" t="s">
        <v>148</v>
      </c>
    </row>
    <row r="391" spans="3:11" x14ac:dyDescent="0.25">
      <c r="C391" s="54">
        <v>43242</v>
      </c>
      <c r="D391" s="55" t="s">
        <v>149</v>
      </c>
      <c r="E391" s="55" t="s">
        <v>150</v>
      </c>
      <c r="F391" s="56">
        <v>13</v>
      </c>
      <c r="G391" s="57">
        <v>2.12</v>
      </c>
      <c r="H391" s="57">
        <f t="shared" si="10"/>
        <v>27.560000000000002</v>
      </c>
      <c r="I391" s="54">
        <f t="shared" si="11"/>
        <v>43267</v>
      </c>
      <c r="J391" s="54">
        <v>43266</v>
      </c>
      <c r="K391" s="54" t="s">
        <v>148</v>
      </c>
    </row>
    <row r="392" spans="3:11" x14ac:dyDescent="0.25">
      <c r="C392" s="54">
        <v>43243</v>
      </c>
      <c r="D392" s="55" t="s">
        <v>146</v>
      </c>
      <c r="E392" s="55" t="s">
        <v>147</v>
      </c>
      <c r="F392" s="56">
        <v>12</v>
      </c>
      <c r="G392" s="57">
        <v>1.55</v>
      </c>
      <c r="H392" s="57">
        <f t="shared" si="10"/>
        <v>18.600000000000001</v>
      </c>
      <c r="I392" s="54">
        <f t="shared" si="11"/>
        <v>43268</v>
      </c>
      <c r="J392" s="54">
        <v>43267</v>
      </c>
      <c r="K392" s="54" t="s">
        <v>148</v>
      </c>
    </row>
    <row r="393" spans="3:11" x14ac:dyDescent="0.25">
      <c r="C393" s="54">
        <v>43246</v>
      </c>
      <c r="D393" s="55" t="s">
        <v>151</v>
      </c>
      <c r="E393" s="55" t="s">
        <v>150</v>
      </c>
      <c r="F393" s="56">
        <v>8</v>
      </c>
      <c r="G393" s="57">
        <v>2.02</v>
      </c>
      <c r="H393" s="57">
        <f t="shared" si="10"/>
        <v>16.16</v>
      </c>
      <c r="I393" s="54">
        <f t="shared" si="11"/>
        <v>43271</v>
      </c>
      <c r="J393" s="54">
        <v>43269</v>
      </c>
      <c r="K393" s="54" t="s">
        <v>148</v>
      </c>
    </row>
    <row r="394" spans="3:11" x14ac:dyDescent="0.25">
      <c r="C394" s="54">
        <v>43247</v>
      </c>
      <c r="D394" s="55" t="s">
        <v>146</v>
      </c>
      <c r="E394" s="55" t="s">
        <v>147</v>
      </c>
      <c r="F394" s="56">
        <v>9</v>
      </c>
      <c r="G394" s="57">
        <v>1.55</v>
      </c>
      <c r="H394" s="57">
        <f t="shared" si="10"/>
        <v>13.950000000000001</v>
      </c>
      <c r="I394" s="54">
        <f t="shared" si="11"/>
        <v>43272</v>
      </c>
      <c r="J394" s="54">
        <v>43272</v>
      </c>
      <c r="K394" s="54" t="s">
        <v>148</v>
      </c>
    </row>
    <row r="395" spans="3:11" x14ac:dyDescent="0.25">
      <c r="C395" s="54">
        <v>43248</v>
      </c>
      <c r="D395" s="55" t="s">
        <v>146</v>
      </c>
      <c r="E395" s="55" t="s">
        <v>147</v>
      </c>
      <c r="F395" s="56">
        <v>20</v>
      </c>
      <c r="G395" s="57">
        <v>1.55</v>
      </c>
      <c r="H395" s="57">
        <f t="shared" si="10"/>
        <v>31</v>
      </c>
      <c r="I395" s="54">
        <f t="shared" si="11"/>
        <v>43273</v>
      </c>
      <c r="J395" s="54">
        <v>43274</v>
      </c>
      <c r="K395" s="54" t="s">
        <v>148</v>
      </c>
    </row>
    <row r="396" spans="3:11" x14ac:dyDescent="0.25">
      <c r="C396" s="54">
        <v>43249</v>
      </c>
      <c r="D396" s="55" t="s">
        <v>154</v>
      </c>
      <c r="E396" s="55" t="s">
        <v>150</v>
      </c>
      <c r="F396" s="56">
        <v>11</v>
      </c>
      <c r="G396" s="57">
        <v>1.37</v>
      </c>
      <c r="H396" s="57">
        <f t="shared" si="10"/>
        <v>15.07</v>
      </c>
      <c r="I396" s="54">
        <f t="shared" si="11"/>
        <v>43274</v>
      </c>
      <c r="J396" s="54">
        <v>43274</v>
      </c>
      <c r="K396" s="54" t="s">
        <v>148</v>
      </c>
    </row>
    <row r="397" spans="3:11" x14ac:dyDescent="0.25">
      <c r="C397" s="54">
        <v>43250</v>
      </c>
      <c r="D397" s="55" t="s">
        <v>151</v>
      </c>
      <c r="E397" s="55" t="s">
        <v>150</v>
      </c>
      <c r="F397" s="56">
        <v>9</v>
      </c>
      <c r="G397" s="57">
        <v>2.02</v>
      </c>
      <c r="H397" s="57">
        <f t="shared" si="10"/>
        <v>18.18</v>
      </c>
      <c r="I397" s="54">
        <f t="shared" si="11"/>
        <v>43275</v>
      </c>
      <c r="J397" s="54">
        <v>43274</v>
      </c>
      <c r="K397" s="54" t="s">
        <v>148</v>
      </c>
    </row>
    <row r="398" spans="3:11" x14ac:dyDescent="0.25">
      <c r="C398" s="54">
        <v>43253</v>
      </c>
      <c r="D398" s="55" t="s">
        <v>154</v>
      </c>
      <c r="E398" s="55" t="s">
        <v>150</v>
      </c>
      <c r="F398" s="56">
        <v>16</v>
      </c>
      <c r="G398" s="57">
        <v>1.37</v>
      </c>
      <c r="H398" s="57">
        <f t="shared" si="10"/>
        <v>21.92</v>
      </c>
      <c r="I398" s="54">
        <f t="shared" si="11"/>
        <v>43278</v>
      </c>
      <c r="J398" s="54">
        <v>43276</v>
      </c>
      <c r="K398" s="54" t="s">
        <v>148</v>
      </c>
    </row>
    <row r="399" spans="3:11" x14ac:dyDescent="0.25">
      <c r="C399" s="54">
        <v>43254</v>
      </c>
      <c r="D399" s="55" t="s">
        <v>154</v>
      </c>
      <c r="E399" s="55" t="s">
        <v>150</v>
      </c>
      <c r="F399" s="56">
        <v>23</v>
      </c>
      <c r="G399" s="57">
        <v>1.37</v>
      </c>
      <c r="H399" s="57">
        <f t="shared" si="10"/>
        <v>31.51</v>
      </c>
      <c r="I399" s="54">
        <f t="shared" si="11"/>
        <v>43279</v>
      </c>
      <c r="J399" s="54">
        <v>43279</v>
      </c>
      <c r="K399" s="54" t="s">
        <v>148</v>
      </c>
    </row>
    <row r="400" spans="3:11" x14ac:dyDescent="0.25">
      <c r="C400" s="54">
        <v>43255</v>
      </c>
      <c r="D400" s="55" t="s">
        <v>153</v>
      </c>
      <c r="E400" s="55" t="s">
        <v>147</v>
      </c>
      <c r="F400" s="56">
        <v>9</v>
      </c>
      <c r="G400" s="57">
        <v>1.0900000000000001</v>
      </c>
      <c r="H400" s="57">
        <f t="shared" si="10"/>
        <v>9.81</v>
      </c>
      <c r="I400" s="54">
        <f t="shared" si="11"/>
        <v>43280</v>
      </c>
      <c r="J400" s="54">
        <v>43279</v>
      </c>
      <c r="K400" s="54" t="s">
        <v>148</v>
      </c>
    </row>
    <row r="401" spans="3:11" x14ac:dyDescent="0.25">
      <c r="C401" s="54">
        <v>43256</v>
      </c>
      <c r="D401" s="55" t="s">
        <v>146</v>
      </c>
      <c r="E401" s="55" t="s">
        <v>147</v>
      </c>
      <c r="F401" s="56">
        <v>10</v>
      </c>
      <c r="G401" s="57">
        <v>1.55</v>
      </c>
      <c r="H401" s="57">
        <f t="shared" si="10"/>
        <v>15.5</v>
      </c>
      <c r="I401" s="54">
        <f t="shared" si="11"/>
        <v>43281</v>
      </c>
      <c r="J401" s="54">
        <v>43281</v>
      </c>
      <c r="K401" s="54" t="s">
        <v>148</v>
      </c>
    </row>
    <row r="402" spans="3:11" x14ac:dyDescent="0.25">
      <c r="C402" s="54">
        <v>43257</v>
      </c>
      <c r="D402" s="55" t="s">
        <v>149</v>
      </c>
      <c r="E402" s="55" t="s">
        <v>150</v>
      </c>
      <c r="F402" s="56">
        <v>16</v>
      </c>
      <c r="G402" s="57">
        <v>2.12</v>
      </c>
      <c r="H402" s="57">
        <f t="shared" si="10"/>
        <v>33.92</v>
      </c>
      <c r="I402" s="54">
        <f t="shared" si="11"/>
        <v>43282</v>
      </c>
      <c r="J402" s="54">
        <v>43281</v>
      </c>
      <c r="K402" s="54" t="s">
        <v>148</v>
      </c>
    </row>
    <row r="403" spans="3:11" x14ac:dyDescent="0.25">
      <c r="C403" s="54">
        <v>43260</v>
      </c>
      <c r="D403" s="55" t="s">
        <v>149</v>
      </c>
      <c r="E403" s="55" t="s">
        <v>150</v>
      </c>
      <c r="F403" s="56">
        <v>18</v>
      </c>
      <c r="G403" s="57">
        <v>2.12</v>
      </c>
      <c r="H403" s="57">
        <f t="shared" si="10"/>
        <v>38.160000000000004</v>
      </c>
      <c r="I403" s="54">
        <f t="shared" si="11"/>
        <v>43285</v>
      </c>
      <c r="J403" s="54">
        <v>43283</v>
      </c>
      <c r="K403" s="54" t="s">
        <v>148</v>
      </c>
    </row>
    <row r="404" spans="3:11" x14ac:dyDescent="0.25">
      <c r="C404" s="54">
        <v>43261</v>
      </c>
      <c r="D404" s="55" t="s">
        <v>152</v>
      </c>
      <c r="E404" s="55" t="s">
        <v>147</v>
      </c>
      <c r="F404" s="56">
        <v>21</v>
      </c>
      <c r="G404" s="57">
        <v>1.4</v>
      </c>
      <c r="H404" s="57">
        <f t="shared" si="10"/>
        <v>29.4</v>
      </c>
      <c r="I404" s="54">
        <f t="shared" si="11"/>
        <v>43286</v>
      </c>
      <c r="J404" s="54">
        <v>43284</v>
      </c>
      <c r="K404" s="54" t="s">
        <v>148</v>
      </c>
    </row>
    <row r="405" spans="3:11" x14ac:dyDescent="0.25">
      <c r="C405" s="54">
        <v>43262</v>
      </c>
      <c r="D405" s="55" t="s">
        <v>149</v>
      </c>
      <c r="E405" s="55" t="s">
        <v>150</v>
      </c>
      <c r="F405" s="56">
        <v>18</v>
      </c>
      <c r="G405" s="57">
        <v>2.12</v>
      </c>
      <c r="H405" s="57">
        <f t="shared" si="10"/>
        <v>38.160000000000004</v>
      </c>
      <c r="I405" s="54">
        <f t="shared" si="11"/>
        <v>43287</v>
      </c>
      <c r="J405" s="54">
        <v>43285</v>
      </c>
      <c r="K405" s="54" t="s">
        <v>148</v>
      </c>
    </row>
    <row r="406" spans="3:11" x14ac:dyDescent="0.25">
      <c r="C406" s="54">
        <v>43263</v>
      </c>
      <c r="D406" s="55" t="s">
        <v>146</v>
      </c>
      <c r="E406" s="55" t="s">
        <v>147</v>
      </c>
      <c r="F406" s="56">
        <v>16</v>
      </c>
      <c r="G406" s="57">
        <v>1.55</v>
      </c>
      <c r="H406" s="57">
        <f t="shared" si="10"/>
        <v>24.8</v>
      </c>
      <c r="I406" s="54">
        <f t="shared" si="11"/>
        <v>43288</v>
      </c>
      <c r="J406" s="54">
        <v>43288</v>
      </c>
      <c r="K406" s="54" t="s">
        <v>148</v>
      </c>
    </row>
    <row r="407" spans="3:11" x14ac:dyDescent="0.25">
      <c r="C407" s="54">
        <v>43264</v>
      </c>
      <c r="D407" s="55" t="s">
        <v>146</v>
      </c>
      <c r="E407" s="55" t="s">
        <v>147</v>
      </c>
      <c r="F407" s="56">
        <v>24</v>
      </c>
      <c r="G407" s="57">
        <v>1.55</v>
      </c>
      <c r="H407" s="57">
        <f t="shared" si="10"/>
        <v>37.200000000000003</v>
      </c>
      <c r="I407" s="54">
        <f t="shared" si="11"/>
        <v>43289</v>
      </c>
      <c r="J407" s="54">
        <v>43289</v>
      </c>
      <c r="K407" s="54" t="s">
        <v>148</v>
      </c>
    </row>
    <row r="408" spans="3:11" x14ac:dyDescent="0.25">
      <c r="C408" s="54">
        <v>43267</v>
      </c>
      <c r="D408" s="55" t="s">
        <v>152</v>
      </c>
      <c r="E408" s="55" t="s">
        <v>147</v>
      </c>
      <c r="F408" s="56">
        <v>22</v>
      </c>
      <c r="G408" s="57">
        <v>1.4</v>
      </c>
      <c r="H408" s="57">
        <f t="shared" si="10"/>
        <v>30.799999999999997</v>
      </c>
      <c r="I408" s="54">
        <f t="shared" si="11"/>
        <v>43292</v>
      </c>
      <c r="J408" s="54">
        <v>43292</v>
      </c>
      <c r="K408" s="54" t="s">
        <v>148</v>
      </c>
    </row>
    <row r="409" spans="3:11" x14ac:dyDescent="0.25">
      <c r="C409" s="54">
        <v>43268</v>
      </c>
      <c r="D409" s="55" t="s">
        <v>149</v>
      </c>
      <c r="E409" s="55" t="s">
        <v>150</v>
      </c>
      <c r="F409" s="56">
        <v>13</v>
      </c>
      <c r="G409" s="57">
        <v>2.12</v>
      </c>
      <c r="H409" s="57">
        <f t="shared" si="10"/>
        <v>27.560000000000002</v>
      </c>
      <c r="I409" s="54">
        <f t="shared" si="11"/>
        <v>43293</v>
      </c>
      <c r="J409" s="54">
        <v>43292</v>
      </c>
      <c r="K409" s="54" t="s">
        <v>148</v>
      </c>
    </row>
    <row r="410" spans="3:11" x14ac:dyDescent="0.25">
      <c r="C410" s="54">
        <v>43269</v>
      </c>
      <c r="D410" s="55" t="s">
        <v>146</v>
      </c>
      <c r="E410" s="55" t="s">
        <v>147</v>
      </c>
      <c r="F410" s="56">
        <v>9</v>
      </c>
      <c r="G410" s="57">
        <v>1.55</v>
      </c>
      <c r="H410" s="57">
        <f t="shared" si="10"/>
        <v>13.950000000000001</v>
      </c>
      <c r="I410" s="54">
        <f t="shared" si="11"/>
        <v>43294</v>
      </c>
      <c r="J410" s="54">
        <v>43292</v>
      </c>
      <c r="K410" s="54" t="s">
        <v>148</v>
      </c>
    </row>
    <row r="411" spans="3:11" x14ac:dyDescent="0.25">
      <c r="C411" s="54">
        <v>43270</v>
      </c>
      <c r="D411" s="55" t="s">
        <v>149</v>
      </c>
      <c r="E411" s="55" t="s">
        <v>150</v>
      </c>
      <c r="F411" s="56">
        <v>11</v>
      </c>
      <c r="G411" s="57">
        <v>2.12</v>
      </c>
      <c r="H411" s="57">
        <f t="shared" si="10"/>
        <v>23.32</v>
      </c>
      <c r="I411" s="54">
        <f t="shared" si="11"/>
        <v>43295</v>
      </c>
      <c r="J411" s="54">
        <v>43293</v>
      </c>
      <c r="K411" s="54" t="s">
        <v>148</v>
      </c>
    </row>
    <row r="412" spans="3:11" x14ac:dyDescent="0.25">
      <c r="C412" s="54">
        <v>43271</v>
      </c>
      <c r="D412" s="55" t="s">
        <v>153</v>
      </c>
      <c r="E412" s="55" t="s">
        <v>147</v>
      </c>
      <c r="F412" s="56">
        <v>23</v>
      </c>
      <c r="G412" s="57">
        <v>1.0900000000000001</v>
      </c>
      <c r="H412" s="57">
        <f t="shared" si="10"/>
        <v>25.07</v>
      </c>
      <c r="I412" s="54">
        <f t="shared" si="11"/>
        <v>43296</v>
      </c>
      <c r="J412" s="54">
        <v>43297</v>
      </c>
      <c r="K412" s="54" t="s">
        <v>148</v>
      </c>
    </row>
    <row r="413" spans="3:11" x14ac:dyDescent="0.25">
      <c r="C413" s="54">
        <v>43274</v>
      </c>
      <c r="D413" s="55" t="s">
        <v>152</v>
      </c>
      <c r="E413" s="55" t="s">
        <v>147</v>
      </c>
      <c r="F413" s="56">
        <v>16</v>
      </c>
      <c r="G413" s="57">
        <v>1.4</v>
      </c>
      <c r="H413" s="57">
        <f t="shared" ref="H413:H476" si="12">F413*G413</f>
        <v>22.4</v>
      </c>
      <c r="I413" s="54">
        <f t="shared" si="11"/>
        <v>43299</v>
      </c>
      <c r="J413" s="54">
        <v>43298</v>
      </c>
      <c r="K413" s="54" t="s">
        <v>148</v>
      </c>
    </row>
    <row r="414" spans="3:11" x14ac:dyDescent="0.25">
      <c r="C414" s="54">
        <v>43275</v>
      </c>
      <c r="D414" s="55" t="s">
        <v>149</v>
      </c>
      <c r="E414" s="55" t="s">
        <v>150</v>
      </c>
      <c r="F414" s="56">
        <v>19</v>
      </c>
      <c r="G414" s="57">
        <v>2.12</v>
      </c>
      <c r="H414" s="57">
        <f t="shared" si="12"/>
        <v>40.28</v>
      </c>
      <c r="I414" s="54">
        <f t="shared" ref="I414:I477" si="13">+C414+25</f>
        <v>43300</v>
      </c>
      <c r="J414" s="54">
        <v>43299</v>
      </c>
      <c r="K414" s="54" t="s">
        <v>148</v>
      </c>
    </row>
    <row r="415" spans="3:11" x14ac:dyDescent="0.25">
      <c r="C415" s="54">
        <v>43276</v>
      </c>
      <c r="D415" s="55" t="s">
        <v>146</v>
      </c>
      <c r="E415" s="55" t="s">
        <v>147</v>
      </c>
      <c r="F415" s="56">
        <v>17</v>
      </c>
      <c r="G415" s="57">
        <v>1.55</v>
      </c>
      <c r="H415" s="57">
        <f t="shared" si="12"/>
        <v>26.35</v>
      </c>
      <c r="I415" s="54">
        <f t="shared" si="13"/>
        <v>43301</v>
      </c>
      <c r="J415" s="54">
        <v>43299</v>
      </c>
      <c r="K415" s="54" t="s">
        <v>148</v>
      </c>
    </row>
    <row r="416" spans="3:11" x14ac:dyDescent="0.25">
      <c r="C416" s="54">
        <v>43277</v>
      </c>
      <c r="D416" s="55" t="s">
        <v>149</v>
      </c>
      <c r="E416" s="55" t="s">
        <v>150</v>
      </c>
      <c r="F416" s="56">
        <v>23</v>
      </c>
      <c r="G416" s="57">
        <v>2.12</v>
      </c>
      <c r="H416" s="57">
        <f t="shared" si="12"/>
        <v>48.760000000000005</v>
      </c>
      <c r="I416" s="54">
        <f t="shared" si="13"/>
        <v>43302</v>
      </c>
      <c r="J416" s="54">
        <v>43302</v>
      </c>
      <c r="K416" s="54" t="s">
        <v>148</v>
      </c>
    </row>
    <row r="417" spans="3:11" x14ac:dyDescent="0.25">
      <c r="C417" s="54">
        <v>43278</v>
      </c>
      <c r="D417" s="55" t="s">
        <v>151</v>
      </c>
      <c r="E417" s="55" t="s">
        <v>150</v>
      </c>
      <c r="F417" s="56">
        <v>24</v>
      </c>
      <c r="G417" s="57">
        <v>2.02</v>
      </c>
      <c r="H417" s="57">
        <f t="shared" si="12"/>
        <v>48.480000000000004</v>
      </c>
      <c r="I417" s="54">
        <f t="shared" si="13"/>
        <v>43303</v>
      </c>
      <c r="J417" s="54">
        <v>43303</v>
      </c>
      <c r="K417" s="54" t="s">
        <v>148</v>
      </c>
    </row>
    <row r="418" spans="3:11" x14ac:dyDescent="0.25">
      <c r="C418" s="54">
        <v>43281</v>
      </c>
      <c r="D418" s="55" t="s">
        <v>146</v>
      </c>
      <c r="E418" s="55" t="s">
        <v>147</v>
      </c>
      <c r="F418" s="56">
        <v>10</v>
      </c>
      <c r="G418" s="57">
        <v>1.55</v>
      </c>
      <c r="H418" s="57">
        <f t="shared" si="12"/>
        <v>15.5</v>
      </c>
      <c r="I418" s="54">
        <f t="shared" si="13"/>
        <v>43306</v>
      </c>
      <c r="J418" s="54">
        <v>43306</v>
      </c>
      <c r="K418" s="54" t="s">
        <v>148</v>
      </c>
    </row>
    <row r="419" spans="3:11" x14ac:dyDescent="0.25">
      <c r="C419" s="54">
        <v>43282</v>
      </c>
      <c r="D419" s="55" t="s">
        <v>153</v>
      </c>
      <c r="E419" s="55" t="s">
        <v>147</v>
      </c>
      <c r="F419" s="56">
        <v>17</v>
      </c>
      <c r="G419" s="57">
        <v>1.0900000000000001</v>
      </c>
      <c r="H419" s="57">
        <f t="shared" si="12"/>
        <v>18.53</v>
      </c>
      <c r="I419" s="54">
        <f t="shared" si="13"/>
        <v>43307</v>
      </c>
      <c r="J419" s="54">
        <v>43306</v>
      </c>
      <c r="K419" s="54" t="s">
        <v>148</v>
      </c>
    </row>
    <row r="420" spans="3:11" x14ac:dyDescent="0.25">
      <c r="C420" s="54">
        <v>43283</v>
      </c>
      <c r="D420" s="55" t="s">
        <v>153</v>
      </c>
      <c r="E420" s="55" t="s">
        <v>147</v>
      </c>
      <c r="F420" s="56">
        <v>23</v>
      </c>
      <c r="G420" s="57">
        <v>1.0900000000000001</v>
      </c>
      <c r="H420" s="57">
        <f t="shared" si="12"/>
        <v>25.07</v>
      </c>
      <c r="I420" s="54">
        <f t="shared" si="13"/>
        <v>43308</v>
      </c>
      <c r="J420" s="54">
        <v>43306</v>
      </c>
      <c r="K420" s="54" t="s">
        <v>148</v>
      </c>
    </row>
    <row r="421" spans="3:11" x14ac:dyDescent="0.25">
      <c r="C421" s="54">
        <v>43284</v>
      </c>
      <c r="D421" s="55" t="s">
        <v>146</v>
      </c>
      <c r="E421" s="55" t="s">
        <v>147</v>
      </c>
      <c r="F421" s="56">
        <v>22</v>
      </c>
      <c r="G421" s="57">
        <v>1.55</v>
      </c>
      <c r="H421" s="57">
        <f t="shared" si="12"/>
        <v>34.1</v>
      </c>
      <c r="I421" s="54">
        <f t="shared" si="13"/>
        <v>43309</v>
      </c>
      <c r="J421" s="54">
        <v>43307</v>
      </c>
      <c r="K421" s="54" t="s">
        <v>148</v>
      </c>
    </row>
    <row r="422" spans="3:11" x14ac:dyDescent="0.25">
      <c r="C422" s="54">
        <v>43285</v>
      </c>
      <c r="D422" s="55" t="s">
        <v>152</v>
      </c>
      <c r="E422" s="55" t="s">
        <v>147</v>
      </c>
      <c r="F422" s="56">
        <v>12</v>
      </c>
      <c r="G422" s="57">
        <v>1.4</v>
      </c>
      <c r="H422" s="57">
        <f t="shared" si="12"/>
        <v>16.799999999999997</v>
      </c>
      <c r="I422" s="54">
        <f t="shared" si="13"/>
        <v>43310</v>
      </c>
      <c r="J422" s="54">
        <v>43310</v>
      </c>
      <c r="K422" s="54" t="s">
        <v>148</v>
      </c>
    </row>
    <row r="423" spans="3:11" x14ac:dyDescent="0.25">
      <c r="C423" s="54">
        <v>43288</v>
      </c>
      <c r="D423" s="55" t="s">
        <v>146</v>
      </c>
      <c r="E423" s="55" t="s">
        <v>147</v>
      </c>
      <c r="F423" s="56">
        <v>12</v>
      </c>
      <c r="G423" s="57">
        <v>1.55</v>
      </c>
      <c r="H423" s="57">
        <f t="shared" si="12"/>
        <v>18.600000000000001</v>
      </c>
      <c r="I423" s="54">
        <f t="shared" si="13"/>
        <v>43313</v>
      </c>
      <c r="J423" s="54">
        <v>43312</v>
      </c>
      <c r="K423" s="54" t="s">
        <v>148</v>
      </c>
    </row>
    <row r="424" spans="3:11" x14ac:dyDescent="0.25">
      <c r="C424" s="54">
        <v>43289</v>
      </c>
      <c r="D424" s="55" t="s">
        <v>149</v>
      </c>
      <c r="E424" s="55" t="s">
        <v>150</v>
      </c>
      <c r="F424" s="56">
        <v>11</v>
      </c>
      <c r="G424" s="57">
        <v>2.12</v>
      </c>
      <c r="H424" s="57">
        <f t="shared" si="12"/>
        <v>23.32</v>
      </c>
      <c r="I424" s="54">
        <f t="shared" si="13"/>
        <v>43314</v>
      </c>
      <c r="J424" s="54">
        <v>43314</v>
      </c>
      <c r="K424" s="54" t="s">
        <v>148</v>
      </c>
    </row>
    <row r="425" spans="3:11" x14ac:dyDescent="0.25">
      <c r="C425" s="54">
        <v>43290</v>
      </c>
      <c r="D425" s="55" t="s">
        <v>146</v>
      </c>
      <c r="E425" s="55" t="s">
        <v>147</v>
      </c>
      <c r="F425" s="56">
        <v>17</v>
      </c>
      <c r="G425" s="57">
        <v>1.55</v>
      </c>
      <c r="H425" s="57">
        <f t="shared" si="12"/>
        <v>26.35</v>
      </c>
      <c r="I425" s="54">
        <f t="shared" si="13"/>
        <v>43315</v>
      </c>
      <c r="J425" s="54">
        <v>43314</v>
      </c>
      <c r="K425" s="54" t="s">
        <v>148</v>
      </c>
    </row>
    <row r="426" spans="3:11" x14ac:dyDescent="0.25">
      <c r="C426" s="54">
        <v>43291</v>
      </c>
      <c r="D426" s="55" t="s">
        <v>151</v>
      </c>
      <c r="E426" s="55" t="s">
        <v>150</v>
      </c>
      <c r="F426" s="56">
        <v>26</v>
      </c>
      <c r="G426" s="57">
        <v>2.02</v>
      </c>
      <c r="H426" s="57">
        <f t="shared" si="12"/>
        <v>52.52</v>
      </c>
      <c r="I426" s="54">
        <f t="shared" si="13"/>
        <v>43316</v>
      </c>
      <c r="J426" s="54">
        <v>43314</v>
      </c>
      <c r="K426" s="54" t="s">
        <v>148</v>
      </c>
    </row>
    <row r="427" spans="3:11" x14ac:dyDescent="0.25">
      <c r="C427" s="54">
        <v>43292</v>
      </c>
      <c r="D427" s="55" t="s">
        <v>151</v>
      </c>
      <c r="E427" s="55" t="s">
        <v>150</v>
      </c>
      <c r="F427" s="56">
        <v>8</v>
      </c>
      <c r="G427" s="57">
        <v>2.02</v>
      </c>
      <c r="H427" s="57">
        <f t="shared" si="12"/>
        <v>16.16</v>
      </c>
      <c r="I427" s="54">
        <f t="shared" si="13"/>
        <v>43317</v>
      </c>
      <c r="J427" s="54">
        <v>43315</v>
      </c>
      <c r="K427" s="54" t="s">
        <v>148</v>
      </c>
    </row>
    <row r="428" spans="3:11" x14ac:dyDescent="0.25">
      <c r="C428" s="54">
        <v>43295</v>
      </c>
      <c r="D428" s="55" t="s">
        <v>151</v>
      </c>
      <c r="E428" s="55" t="s">
        <v>150</v>
      </c>
      <c r="F428" s="56">
        <v>16</v>
      </c>
      <c r="G428" s="57">
        <v>2.02</v>
      </c>
      <c r="H428" s="57">
        <f t="shared" si="12"/>
        <v>32.32</v>
      </c>
      <c r="I428" s="54">
        <f t="shared" si="13"/>
        <v>43320</v>
      </c>
      <c r="J428" s="54">
        <v>43323</v>
      </c>
      <c r="K428" s="54" t="s">
        <v>148</v>
      </c>
    </row>
    <row r="429" spans="3:11" x14ac:dyDescent="0.25">
      <c r="C429" s="54">
        <v>43296</v>
      </c>
      <c r="D429" s="55" t="s">
        <v>146</v>
      </c>
      <c r="E429" s="55" t="s">
        <v>147</v>
      </c>
      <c r="F429" s="56">
        <v>9</v>
      </c>
      <c r="G429" s="57">
        <v>1.55</v>
      </c>
      <c r="H429" s="57">
        <f t="shared" si="12"/>
        <v>13.950000000000001</v>
      </c>
      <c r="I429" s="54">
        <f t="shared" si="13"/>
        <v>43321</v>
      </c>
      <c r="J429" s="54">
        <v>43320</v>
      </c>
      <c r="K429" s="54" t="s">
        <v>148</v>
      </c>
    </row>
    <row r="430" spans="3:11" x14ac:dyDescent="0.25">
      <c r="C430" s="54">
        <v>43297</v>
      </c>
      <c r="D430" s="55" t="s">
        <v>146</v>
      </c>
      <c r="E430" s="55" t="s">
        <v>147</v>
      </c>
      <c r="F430" s="56">
        <v>24</v>
      </c>
      <c r="G430" s="57">
        <v>1.55</v>
      </c>
      <c r="H430" s="57">
        <f t="shared" si="12"/>
        <v>37.200000000000003</v>
      </c>
      <c r="I430" s="54">
        <f t="shared" si="13"/>
        <v>43322</v>
      </c>
      <c r="J430" s="54">
        <v>43321</v>
      </c>
      <c r="K430" s="54" t="s">
        <v>148</v>
      </c>
    </row>
    <row r="431" spans="3:11" x14ac:dyDescent="0.25">
      <c r="C431" s="54">
        <v>43298</v>
      </c>
      <c r="D431" s="55" t="s">
        <v>149</v>
      </c>
      <c r="E431" s="55" t="s">
        <v>150</v>
      </c>
      <c r="F431" s="56">
        <v>6</v>
      </c>
      <c r="G431" s="57">
        <v>2.12</v>
      </c>
      <c r="H431" s="57">
        <f t="shared" si="12"/>
        <v>12.72</v>
      </c>
      <c r="I431" s="54">
        <f t="shared" si="13"/>
        <v>43323</v>
      </c>
      <c r="J431" s="54">
        <v>43321</v>
      </c>
      <c r="K431" s="54" t="s">
        <v>148</v>
      </c>
    </row>
    <row r="432" spans="3:11" x14ac:dyDescent="0.25">
      <c r="C432" s="54">
        <v>43299</v>
      </c>
      <c r="D432" s="55" t="s">
        <v>146</v>
      </c>
      <c r="E432" s="55" t="s">
        <v>147</v>
      </c>
      <c r="F432" s="56">
        <v>15</v>
      </c>
      <c r="G432" s="57">
        <v>1.55</v>
      </c>
      <c r="H432" s="57">
        <f t="shared" si="12"/>
        <v>23.25</v>
      </c>
      <c r="I432" s="54">
        <f t="shared" si="13"/>
        <v>43324</v>
      </c>
      <c r="J432" s="54">
        <v>43324</v>
      </c>
      <c r="K432" s="54" t="s">
        <v>148</v>
      </c>
    </row>
    <row r="433" spans="3:11" x14ac:dyDescent="0.25">
      <c r="C433" s="54">
        <v>43302</v>
      </c>
      <c r="D433" s="55" t="s">
        <v>146</v>
      </c>
      <c r="E433" s="55" t="s">
        <v>147</v>
      </c>
      <c r="F433" s="56">
        <v>12</v>
      </c>
      <c r="G433" s="57">
        <v>1.55</v>
      </c>
      <c r="H433" s="57">
        <f t="shared" si="12"/>
        <v>18.600000000000001</v>
      </c>
      <c r="I433" s="54">
        <f t="shared" si="13"/>
        <v>43327</v>
      </c>
      <c r="J433" s="54">
        <v>43325</v>
      </c>
      <c r="K433" s="54" t="s">
        <v>148</v>
      </c>
    </row>
    <row r="434" spans="3:11" x14ac:dyDescent="0.25">
      <c r="C434" s="54">
        <v>43303</v>
      </c>
      <c r="D434" s="55" t="s">
        <v>151</v>
      </c>
      <c r="E434" s="55" t="s">
        <v>150</v>
      </c>
      <c r="F434" s="56">
        <v>17</v>
      </c>
      <c r="G434" s="57">
        <v>2.02</v>
      </c>
      <c r="H434" s="57">
        <f t="shared" si="12"/>
        <v>34.340000000000003</v>
      </c>
      <c r="I434" s="54">
        <f t="shared" si="13"/>
        <v>43328</v>
      </c>
      <c r="J434" s="54">
        <v>43328</v>
      </c>
      <c r="K434" s="54" t="s">
        <v>148</v>
      </c>
    </row>
    <row r="435" spans="3:11" x14ac:dyDescent="0.25">
      <c r="C435" s="54">
        <v>43304</v>
      </c>
      <c r="D435" s="55" t="s">
        <v>154</v>
      </c>
      <c r="E435" s="55" t="s">
        <v>150</v>
      </c>
      <c r="F435" s="56">
        <v>26</v>
      </c>
      <c r="G435" s="57">
        <v>1.37</v>
      </c>
      <c r="H435" s="57">
        <f t="shared" si="12"/>
        <v>35.620000000000005</v>
      </c>
      <c r="I435" s="54">
        <f t="shared" si="13"/>
        <v>43329</v>
      </c>
      <c r="J435" s="54">
        <v>43328</v>
      </c>
      <c r="K435" s="54" t="s">
        <v>148</v>
      </c>
    </row>
    <row r="436" spans="3:11" x14ac:dyDescent="0.25">
      <c r="C436" s="54">
        <v>43305</v>
      </c>
      <c r="D436" s="55" t="s">
        <v>152</v>
      </c>
      <c r="E436" s="55" t="s">
        <v>147</v>
      </c>
      <c r="F436" s="56">
        <v>19</v>
      </c>
      <c r="G436" s="57">
        <v>1.4</v>
      </c>
      <c r="H436" s="57">
        <f t="shared" si="12"/>
        <v>26.599999999999998</v>
      </c>
      <c r="I436" s="54">
        <f t="shared" si="13"/>
        <v>43330</v>
      </c>
      <c r="J436" s="54">
        <v>43328</v>
      </c>
      <c r="K436" s="54" t="s">
        <v>148</v>
      </c>
    </row>
    <row r="437" spans="3:11" x14ac:dyDescent="0.25">
      <c r="C437" s="54">
        <v>43306</v>
      </c>
      <c r="D437" s="55" t="s">
        <v>153</v>
      </c>
      <c r="E437" s="55" t="s">
        <v>147</v>
      </c>
      <c r="F437" s="56">
        <v>15</v>
      </c>
      <c r="G437" s="57">
        <v>1.0900000000000001</v>
      </c>
      <c r="H437" s="57">
        <f t="shared" si="12"/>
        <v>16.350000000000001</v>
      </c>
      <c r="I437" s="54">
        <f t="shared" si="13"/>
        <v>43331</v>
      </c>
      <c r="J437" s="54">
        <v>43331</v>
      </c>
      <c r="K437" s="54" t="s">
        <v>148</v>
      </c>
    </row>
    <row r="438" spans="3:11" x14ac:dyDescent="0.25">
      <c r="C438" s="54">
        <v>43309</v>
      </c>
      <c r="D438" s="55" t="s">
        <v>149</v>
      </c>
      <c r="E438" s="55" t="s">
        <v>150</v>
      </c>
      <c r="F438" s="56">
        <v>7</v>
      </c>
      <c r="G438" s="57">
        <v>2.12</v>
      </c>
      <c r="H438" s="57">
        <f t="shared" si="12"/>
        <v>14.84</v>
      </c>
      <c r="I438" s="54">
        <f t="shared" si="13"/>
        <v>43334</v>
      </c>
      <c r="J438" s="54">
        <v>43333</v>
      </c>
      <c r="K438" s="54" t="s">
        <v>148</v>
      </c>
    </row>
    <row r="439" spans="3:11" x14ac:dyDescent="0.25">
      <c r="C439" s="54">
        <v>43310</v>
      </c>
      <c r="D439" s="55" t="s">
        <v>146</v>
      </c>
      <c r="E439" s="55" t="s">
        <v>147</v>
      </c>
      <c r="F439" s="56">
        <v>24</v>
      </c>
      <c r="G439" s="57">
        <v>1.55</v>
      </c>
      <c r="H439" s="57">
        <f t="shared" si="12"/>
        <v>37.200000000000003</v>
      </c>
      <c r="I439" s="54">
        <f t="shared" si="13"/>
        <v>43335</v>
      </c>
      <c r="J439" s="54">
        <v>43335</v>
      </c>
      <c r="K439" s="54" t="s">
        <v>148</v>
      </c>
    </row>
    <row r="440" spans="3:11" x14ac:dyDescent="0.25">
      <c r="C440" s="54">
        <v>43311</v>
      </c>
      <c r="D440" s="55" t="s">
        <v>151</v>
      </c>
      <c r="E440" s="55" t="s">
        <v>150</v>
      </c>
      <c r="F440" s="56">
        <v>19</v>
      </c>
      <c r="G440" s="57">
        <v>2.02</v>
      </c>
      <c r="H440" s="57">
        <f t="shared" si="12"/>
        <v>38.380000000000003</v>
      </c>
      <c r="I440" s="54">
        <f t="shared" si="13"/>
        <v>43336</v>
      </c>
      <c r="J440" s="54">
        <v>43335</v>
      </c>
      <c r="K440" s="54" t="s">
        <v>148</v>
      </c>
    </row>
    <row r="441" spans="3:11" x14ac:dyDescent="0.25">
      <c r="C441" s="54">
        <v>43312</v>
      </c>
      <c r="D441" s="55" t="s">
        <v>149</v>
      </c>
      <c r="E441" s="55" t="s">
        <v>150</v>
      </c>
      <c r="F441" s="56">
        <v>6</v>
      </c>
      <c r="G441" s="57">
        <v>2.12</v>
      </c>
      <c r="H441" s="57">
        <f t="shared" si="12"/>
        <v>12.72</v>
      </c>
      <c r="I441" s="54">
        <f t="shared" si="13"/>
        <v>43337</v>
      </c>
      <c r="J441" s="54">
        <v>43335</v>
      </c>
      <c r="K441" s="54" t="s">
        <v>148</v>
      </c>
    </row>
    <row r="442" spans="3:11" x14ac:dyDescent="0.25">
      <c r="C442" s="54">
        <v>43313</v>
      </c>
      <c r="D442" s="55" t="s">
        <v>149</v>
      </c>
      <c r="E442" s="55" t="s">
        <v>150</v>
      </c>
      <c r="F442" s="56">
        <v>17</v>
      </c>
      <c r="G442" s="57">
        <v>2.12</v>
      </c>
      <c r="H442" s="57">
        <f t="shared" si="12"/>
        <v>36.04</v>
      </c>
      <c r="I442" s="54">
        <f t="shared" si="13"/>
        <v>43338</v>
      </c>
      <c r="J442" s="54">
        <v>43338</v>
      </c>
      <c r="K442" s="54" t="s">
        <v>148</v>
      </c>
    </row>
    <row r="443" spans="3:11" x14ac:dyDescent="0.25">
      <c r="C443" s="54">
        <v>43316</v>
      </c>
      <c r="D443" s="55" t="s">
        <v>146</v>
      </c>
      <c r="E443" s="55" t="s">
        <v>147</v>
      </c>
      <c r="F443" s="56">
        <v>22</v>
      </c>
      <c r="G443" s="57">
        <v>1.55</v>
      </c>
      <c r="H443" s="57">
        <f t="shared" si="12"/>
        <v>34.1</v>
      </c>
      <c r="I443" s="54">
        <f t="shared" si="13"/>
        <v>43341</v>
      </c>
      <c r="J443" s="54">
        <v>43341</v>
      </c>
      <c r="K443" s="54" t="s">
        <v>148</v>
      </c>
    </row>
    <row r="444" spans="3:11" x14ac:dyDescent="0.25">
      <c r="C444" s="54">
        <v>43317</v>
      </c>
      <c r="D444" s="55" t="s">
        <v>146</v>
      </c>
      <c r="E444" s="55" t="s">
        <v>147</v>
      </c>
      <c r="F444" s="56">
        <v>26</v>
      </c>
      <c r="G444" s="57">
        <v>1.55</v>
      </c>
      <c r="H444" s="57">
        <f t="shared" si="12"/>
        <v>40.300000000000004</v>
      </c>
      <c r="I444" s="54">
        <f t="shared" si="13"/>
        <v>43342</v>
      </c>
      <c r="J444" s="54">
        <v>43341</v>
      </c>
      <c r="K444" s="54" t="s">
        <v>148</v>
      </c>
    </row>
    <row r="445" spans="3:11" x14ac:dyDescent="0.25">
      <c r="C445" s="54">
        <v>43318</v>
      </c>
      <c r="D445" s="55" t="s">
        <v>146</v>
      </c>
      <c r="E445" s="55" t="s">
        <v>147</v>
      </c>
      <c r="F445" s="56">
        <v>18</v>
      </c>
      <c r="G445" s="57">
        <v>1.55</v>
      </c>
      <c r="H445" s="57">
        <f t="shared" si="12"/>
        <v>27.900000000000002</v>
      </c>
      <c r="I445" s="54">
        <f t="shared" si="13"/>
        <v>43343</v>
      </c>
      <c r="J445" s="54">
        <v>43342</v>
      </c>
      <c r="K445" s="54" t="s">
        <v>148</v>
      </c>
    </row>
    <row r="446" spans="3:11" x14ac:dyDescent="0.25">
      <c r="C446" s="54">
        <v>43319</v>
      </c>
      <c r="D446" s="55" t="s">
        <v>153</v>
      </c>
      <c r="E446" s="55" t="s">
        <v>147</v>
      </c>
      <c r="F446" s="56">
        <v>8</v>
      </c>
      <c r="G446" s="57">
        <v>1.0900000000000001</v>
      </c>
      <c r="H446" s="57">
        <f t="shared" si="12"/>
        <v>8.7200000000000006</v>
      </c>
      <c r="I446" s="54">
        <f t="shared" si="13"/>
        <v>43344</v>
      </c>
      <c r="J446" s="54">
        <v>43342</v>
      </c>
      <c r="K446" s="54" t="s">
        <v>148</v>
      </c>
    </row>
    <row r="447" spans="3:11" x14ac:dyDescent="0.25">
      <c r="C447" s="54">
        <v>43320</v>
      </c>
      <c r="D447" s="55" t="s">
        <v>146</v>
      </c>
      <c r="E447" s="55" t="s">
        <v>147</v>
      </c>
      <c r="F447" s="56">
        <v>17</v>
      </c>
      <c r="G447" s="57">
        <v>1.55</v>
      </c>
      <c r="H447" s="57">
        <f t="shared" si="12"/>
        <v>26.35</v>
      </c>
      <c r="I447" s="54">
        <f t="shared" si="13"/>
        <v>43345</v>
      </c>
      <c r="J447" s="54">
        <v>43345</v>
      </c>
      <c r="K447" s="54" t="s">
        <v>148</v>
      </c>
    </row>
    <row r="448" spans="3:11" x14ac:dyDescent="0.25">
      <c r="C448" s="54">
        <v>43323</v>
      </c>
      <c r="D448" s="55" t="s">
        <v>152</v>
      </c>
      <c r="E448" s="55" t="s">
        <v>147</v>
      </c>
      <c r="F448" s="56">
        <v>12</v>
      </c>
      <c r="G448" s="57">
        <v>1.4</v>
      </c>
      <c r="H448" s="57">
        <f t="shared" si="12"/>
        <v>16.799999999999997</v>
      </c>
      <c r="I448" s="54">
        <f t="shared" si="13"/>
        <v>43348</v>
      </c>
      <c r="J448" s="54">
        <v>43347</v>
      </c>
      <c r="K448" s="54" t="s">
        <v>148</v>
      </c>
    </row>
    <row r="449" spans="3:11" x14ac:dyDescent="0.25">
      <c r="C449" s="54">
        <v>43324</v>
      </c>
      <c r="D449" s="55" t="s">
        <v>154</v>
      </c>
      <c r="E449" s="55" t="s">
        <v>150</v>
      </c>
      <c r="F449" s="56">
        <v>18</v>
      </c>
      <c r="G449" s="57">
        <v>1.37</v>
      </c>
      <c r="H449" s="57">
        <f t="shared" si="12"/>
        <v>24.660000000000004</v>
      </c>
      <c r="I449" s="54">
        <f t="shared" si="13"/>
        <v>43349</v>
      </c>
      <c r="J449" s="54">
        <v>43349</v>
      </c>
      <c r="K449" s="54" t="s">
        <v>148</v>
      </c>
    </row>
    <row r="450" spans="3:11" x14ac:dyDescent="0.25">
      <c r="C450" s="54">
        <v>43325</v>
      </c>
      <c r="D450" s="55" t="s">
        <v>154</v>
      </c>
      <c r="E450" s="55" t="s">
        <v>150</v>
      </c>
      <c r="F450" s="56">
        <v>9</v>
      </c>
      <c r="G450" s="57">
        <v>1.37</v>
      </c>
      <c r="H450" s="57">
        <f t="shared" si="12"/>
        <v>12.330000000000002</v>
      </c>
      <c r="I450" s="54">
        <f t="shared" si="13"/>
        <v>43350</v>
      </c>
      <c r="J450" s="54">
        <v>43349</v>
      </c>
      <c r="K450" s="54" t="s">
        <v>148</v>
      </c>
    </row>
    <row r="451" spans="3:11" x14ac:dyDescent="0.25">
      <c r="C451" s="54">
        <v>43326</v>
      </c>
      <c r="D451" s="55" t="s">
        <v>154</v>
      </c>
      <c r="E451" s="55" t="s">
        <v>150</v>
      </c>
      <c r="F451" s="56">
        <v>16</v>
      </c>
      <c r="G451" s="57">
        <v>1.37</v>
      </c>
      <c r="H451" s="57">
        <f t="shared" si="12"/>
        <v>21.92</v>
      </c>
      <c r="I451" s="54">
        <f t="shared" si="13"/>
        <v>43351</v>
      </c>
      <c r="J451" s="54">
        <v>43353</v>
      </c>
      <c r="K451" s="54" t="s">
        <v>148</v>
      </c>
    </row>
    <row r="452" spans="3:11" x14ac:dyDescent="0.25">
      <c r="C452" s="54">
        <v>43327</v>
      </c>
      <c r="D452" s="55" t="s">
        <v>151</v>
      </c>
      <c r="E452" s="55" t="s">
        <v>150</v>
      </c>
      <c r="F452" s="56">
        <v>17</v>
      </c>
      <c r="G452" s="57">
        <v>2.02</v>
      </c>
      <c r="H452" s="57">
        <f t="shared" si="12"/>
        <v>34.340000000000003</v>
      </c>
      <c r="I452" s="54">
        <f t="shared" si="13"/>
        <v>43352</v>
      </c>
      <c r="J452" s="54">
        <v>43351</v>
      </c>
      <c r="K452" s="54" t="s">
        <v>148</v>
      </c>
    </row>
    <row r="453" spans="3:11" x14ac:dyDescent="0.25">
      <c r="C453" s="54">
        <v>43330</v>
      </c>
      <c r="D453" s="55" t="s">
        <v>146</v>
      </c>
      <c r="E453" s="55" t="s">
        <v>147</v>
      </c>
      <c r="F453" s="56">
        <v>23</v>
      </c>
      <c r="G453" s="57">
        <v>1.55</v>
      </c>
      <c r="H453" s="57">
        <f t="shared" si="12"/>
        <v>35.65</v>
      </c>
      <c r="I453" s="54">
        <f t="shared" si="13"/>
        <v>43355</v>
      </c>
      <c r="J453" s="54">
        <v>43354</v>
      </c>
      <c r="K453" s="54" t="s">
        <v>148</v>
      </c>
    </row>
    <row r="454" spans="3:11" x14ac:dyDescent="0.25">
      <c r="C454" s="54">
        <v>43331</v>
      </c>
      <c r="D454" s="55" t="s">
        <v>149</v>
      </c>
      <c r="E454" s="55" t="s">
        <v>150</v>
      </c>
      <c r="F454" s="56">
        <v>12</v>
      </c>
      <c r="G454" s="57">
        <v>2.12</v>
      </c>
      <c r="H454" s="57">
        <f t="shared" si="12"/>
        <v>25.44</v>
      </c>
      <c r="I454" s="54">
        <f t="shared" si="13"/>
        <v>43356</v>
      </c>
      <c r="J454" s="54">
        <v>43354</v>
      </c>
      <c r="K454" s="54" t="s">
        <v>148</v>
      </c>
    </row>
    <row r="455" spans="3:11" x14ac:dyDescent="0.25">
      <c r="C455" s="54">
        <v>43332</v>
      </c>
      <c r="D455" s="55" t="s">
        <v>146</v>
      </c>
      <c r="E455" s="55" t="s">
        <v>147</v>
      </c>
      <c r="F455" s="56">
        <v>7</v>
      </c>
      <c r="G455" s="57">
        <v>1.55</v>
      </c>
      <c r="H455" s="57">
        <f t="shared" si="12"/>
        <v>10.85</v>
      </c>
      <c r="I455" s="54">
        <f t="shared" si="13"/>
        <v>43357</v>
      </c>
      <c r="J455" s="54">
        <v>43357</v>
      </c>
      <c r="K455" s="54" t="s">
        <v>148</v>
      </c>
    </row>
    <row r="456" spans="3:11" x14ac:dyDescent="0.25">
      <c r="C456" s="54">
        <v>43333</v>
      </c>
      <c r="D456" s="55" t="s">
        <v>146</v>
      </c>
      <c r="E456" s="55" t="s">
        <v>147</v>
      </c>
      <c r="F456" s="56">
        <v>26</v>
      </c>
      <c r="G456" s="57">
        <v>1.55</v>
      </c>
      <c r="H456" s="57">
        <f t="shared" si="12"/>
        <v>40.300000000000004</v>
      </c>
      <c r="I456" s="54">
        <f t="shared" si="13"/>
        <v>43358</v>
      </c>
      <c r="J456" s="54">
        <v>43359</v>
      </c>
      <c r="K456" s="54" t="s">
        <v>148</v>
      </c>
    </row>
    <row r="457" spans="3:11" x14ac:dyDescent="0.25">
      <c r="C457" s="54">
        <v>43334</v>
      </c>
      <c r="D457" s="55" t="s">
        <v>149</v>
      </c>
      <c r="E457" s="55" t="s">
        <v>150</v>
      </c>
      <c r="F457" s="56">
        <v>21</v>
      </c>
      <c r="G457" s="57">
        <v>2.12</v>
      </c>
      <c r="H457" s="57">
        <f t="shared" si="12"/>
        <v>44.52</v>
      </c>
      <c r="I457" s="54">
        <f t="shared" si="13"/>
        <v>43359</v>
      </c>
      <c r="J457" s="54">
        <v>43359</v>
      </c>
      <c r="K457" s="54" t="s">
        <v>148</v>
      </c>
    </row>
    <row r="458" spans="3:11" x14ac:dyDescent="0.25">
      <c r="C458" s="54">
        <v>43337</v>
      </c>
      <c r="D458" s="55" t="s">
        <v>152</v>
      </c>
      <c r="E458" s="55" t="s">
        <v>147</v>
      </c>
      <c r="F458" s="56">
        <v>22</v>
      </c>
      <c r="G458" s="57">
        <v>1.4</v>
      </c>
      <c r="H458" s="57">
        <f t="shared" si="12"/>
        <v>30.799999999999997</v>
      </c>
      <c r="I458" s="54">
        <f t="shared" si="13"/>
        <v>43362</v>
      </c>
      <c r="J458" s="54">
        <v>43361</v>
      </c>
      <c r="K458" s="54" t="s">
        <v>148</v>
      </c>
    </row>
    <row r="459" spans="3:11" x14ac:dyDescent="0.25">
      <c r="C459" s="54">
        <v>43338</v>
      </c>
      <c r="D459" s="55" t="s">
        <v>151</v>
      </c>
      <c r="E459" s="55" t="s">
        <v>150</v>
      </c>
      <c r="F459" s="56">
        <v>6</v>
      </c>
      <c r="G459" s="57">
        <v>2.02</v>
      </c>
      <c r="H459" s="57">
        <f t="shared" si="12"/>
        <v>12.120000000000001</v>
      </c>
      <c r="I459" s="54">
        <f t="shared" si="13"/>
        <v>43363</v>
      </c>
      <c r="J459" s="54">
        <v>43361</v>
      </c>
      <c r="K459" s="54" t="s">
        <v>148</v>
      </c>
    </row>
    <row r="460" spans="3:11" x14ac:dyDescent="0.25">
      <c r="C460" s="54">
        <v>43339</v>
      </c>
      <c r="D460" s="55" t="s">
        <v>154</v>
      </c>
      <c r="E460" s="55" t="s">
        <v>150</v>
      </c>
      <c r="F460" s="56">
        <v>24</v>
      </c>
      <c r="G460" s="57">
        <v>1.37</v>
      </c>
      <c r="H460" s="57">
        <f t="shared" si="12"/>
        <v>32.880000000000003</v>
      </c>
      <c r="I460" s="54">
        <f t="shared" si="13"/>
        <v>43364</v>
      </c>
      <c r="J460" s="54">
        <v>43364</v>
      </c>
      <c r="K460" s="54" t="s">
        <v>148</v>
      </c>
    </row>
    <row r="461" spans="3:11" x14ac:dyDescent="0.25">
      <c r="C461" s="54">
        <v>43340</v>
      </c>
      <c r="D461" s="55" t="s">
        <v>153</v>
      </c>
      <c r="E461" s="55" t="s">
        <v>147</v>
      </c>
      <c r="F461" s="56">
        <v>12</v>
      </c>
      <c r="G461" s="57">
        <v>1.0900000000000001</v>
      </c>
      <c r="H461" s="57">
        <f t="shared" si="12"/>
        <v>13.080000000000002</v>
      </c>
      <c r="I461" s="54">
        <f t="shared" si="13"/>
        <v>43365</v>
      </c>
      <c r="J461" s="54">
        <v>43366</v>
      </c>
      <c r="K461" s="54" t="s">
        <v>148</v>
      </c>
    </row>
    <row r="462" spans="3:11" x14ac:dyDescent="0.25">
      <c r="C462" s="54">
        <v>43341</v>
      </c>
      <c r="D462" s="55" t="s">
        <v>146</v>
      </c>
      <c r="E462" s="55" t="s">
        <v>147</v>
      </c>
      <c r="F462" s="56">
        <v>18</v>
      </c>
      <c r="G462" s="57">
        <v>1.55</v>
      </c>
      <c r="H462" s="57">
        <f t="shared" si="12"/>
        <v>27.900000000000002</v>
      </c>
      <c r="I462" s="54">
        <f t="shared" si="13"/>
        <v>43366</v>
      </c>
      <c r="J462" s="54">
        <v>43366</v>
      </c>
      <c r="K462" s="54" t="s">
        <v>148</v>
      </c>
    </row>
    <row r="463" spans="3:11" x14ac:dyDescent="0.25">
      <c r="C463" s="54">
        <v>43344</v>
      </c>
      <c r="D463" s="55" t="s">
        <v>146</v>
      </c>
      <c r="E463" s="55" t="s">
        <v>147</v>
      </c>
      <c r="F463" s="56">
        <v>10</v>
      </c>
      <c r="G463" s="57">
        <v>1.55</v>
      </c>
      <c r="H463" s="57">
        <f t="shared" si="12"/>
        <v>15.5</v>
      </c>
      <c r="I463" s="54">
        <f t="shared" si="13"/>
        <v>43369</v>
      </c>
      <c r="J463" s="54">
        <v>43368</v>
      </c>
      <c r="K463" s="54" t="s">
        <v>148</v>
      </c>
    </row>
    <row r="464" spans="3:11" x14ac:dyDescent="0.25">
      <c r="C464" s="54">
        <v>43345</v>
      </c>
      <c r="D464" s="55" t="s">
        <v>149</v>
      </c>
      <c r="E464" s="55" t="s">
        <v>150</v>
      </c>
      <c r="F464" s="56">
        <v>22</v>
      </c>
      <c r="G464" s="57">
        <v>2.12</v>
      </c>
      <c r="H464" s="57">
        <f t="shared" si="12"/>
        <v>46.64</v>
      </c>
      <c r="I464" s="54">
        <f t="shared" si="13"/>
        <v>43370</v>
      </c>
      <c r="J464" s="54">
        <v>43368</v>
      </c>
      <c r="K464" s="54" t="s">
        <v>148</v>
      </c>
    </row>
    <row r="465" spans="3:11" x14ac:dyDescent="0.25">
      <c r="C465" s="54">
        <v>43346</v>
      </c>
      <c r="D465" s="55" t="s">
        <v>152</v>
      </c>
      <c r="E465" s="55" t="s">
        <v>147</v>
      </c>
      <c r="F465" s="56">
        <v>12</v>
      </c>
      <c r="G465" s="57">
        <v>1.4</v>
      </c>
      <c r="H465" s="57">
        <f t="shared" si="12"/>
        <v>16.799999999999997</v>
      </c>
      <c r="I465" s="54">
        <f t="shared" si="13"/>
        <v>43371</v>
      </c>
      <c r="J465" s="54">
        <v>43370</v>
      </c>
      <c r="K465" s="54" t="s">
        <v>148</v>
      </c>
    </row>
    <row r="466" spans="3:11" x14ac:dyDescent="0.25">
      <c r="C466" s="54">
        <v>43347</v>
      </c>
      <c r="D466" s="55" t="s">
        <v>149</v>
      </c>
      <c r="E466" s="55" t="s">
        <v>150</v>
      </c>
      <c r="F466" s="56">
        <v>8</v>
      </c>
      <c r="G466" s="57">
        <v>2.12</v>
      </c>
      <c r="H466" s="57">
        <f t="shared" si="12"/>
        <v>16.96</v>
      </c>
      <c r="I466" s="54">
        <f t="shared" si="13"/>
        <v>43372</v>
      </c>
      <c r="J466" s="54">
        <v>43371</v>
      </c>
      <c r="K466" s="54" t="s">
        <v>148</v>
      </c>
    </row>
    <row r="467" spans="3:11" x14ac:dyDescent="0.25">
      <c r="C467" s="54">
        <v>43348</v>
      </c>
      <c r="D467" s="55" t="s">
        <v>152</v>
      </c>
      <c r="E467" s="55" t="s">
        <v>147</v>
      </c>
      <c r="F467" s="56">
        <v>9</v>
      </c>
      <c r="G467" s="57">
        <v>1.4</v>
      </c>
      <c r="H467" s="57">
        <f t="shared" si="12"/>
        <v>12.6</v>
      </c>
      <c r="I467" s="54">
        <f t="shared" si="13"/>
        <v>43373</v>
      </c>
      <c r="J467" s="54">
        <v>43371</v>
      </c>
      <c r="K467" s="54" t="s">
        <v>148</v>
      </c>
    </row>
    <row r="468" spans="3:11" x14ac:dyDescent="0.25">
      <c r="C468" s="54">
        <v>43351</v>
      </c>
      <c r="D468" s="55" t="s">
        <v>153</v>
      </c>
      <c r="E468" s="55" t="s">
        <v>147</v>
      </c>
      <c r="F468" s="56">
        <v>8</v>
      </c>
      <c r="G468" s="57">
        <v>1.0900000000000001</v>
      </c>
      <c r="H468" s="57">
        <f t="shared" si="12"/>
        <v>8.7200000000000006</v>
      </c>
      <c r="I468" s="54">
        <f t="shared" si="13"/>
        <v>43376</v>
      </c>
      <c r="J468" s="54">
        <v>43374</v>
      </c>
      <c r="K468" s="54" t="s">
        <v>148</v>
      </c>
    </row>
    <row r="469" spans="3:11" x14ac:dyDescent="0.25">
      <c r="C469" s="54">
        <v>43352</v>
      </c>
      <c r="D469" s="55" t="s">
        <v>153</v>
      </c>
      <c r="E469" s="55" t="s">
        <v>147</v>
      </c>
      <c r="F469" s="56">
        <v>9</v>
      </c>
      <c r="G469" s="57">
        <v>1.0900000000000001</v>
      </c>
      <c r="H469" s="57">
        <f t="shared" si="12"/>
        <v>9.81</v>
      </c>
      <c r="I469" s="54">
        <f t="shared" si="13"/>
        <v>43377</v>
      </c>
      <c r="J469" s="54">
        <v>43378</v>
      </c>
      <c r="K469" s="54" t="s">
        <v>148</v>
      </c>
    </row>
    <row r="470" spans="3:11" x14ac:dyDescent="0.25">
      <c r="C470" s="54">
        <v>43353</v>
      </c>
      <c r="D470" s="55" t="s">
        <v>146</v>
      </c>
      <c r="E470" s="55" t="s">
        <v>147</v>
      </c>
      <c r="F470" s="56">
        <v>11</v>
      </c>
      <c r="G470" s="57">
        <v>1.55</v>
      </c>
      <c r="H470" s="57">
        <f t="shared" si="12"/>
        <v>17.05</v>
      </c>
      <c r="I470" s="54">
        <f t="shared" si="13"/>
        <v>43378</v>
      </c>
      <c r="J470" s="54">
        <v>43377</v>
      </c>
      <c r="K470" s="54" t="s">
        <v>148</v>
      </c>
    </row>
    <row r="471" spans="3:11" x14ac:dyDescent="0.25">
      <c r="C471" s="54">
        <v>43354</v>
      </c>
      <c r="D471" s="55" t="s">
        <v>153</v>
      </c>
      <c r="E471" s="55" t="s">
        <v>147</v>
      </c>
      <c r="F471" s="56">
        <v>18</v>
      </c>
      <c r="G471" s="57">
        <v>1.0900000000000001</v>
      </c>
      <c r="H471" s="57">
        <f t="shared" si="12"/>
        <v>19.62</v>
      </c>
      <c r="I471" s="54">
        <f t="shared" si="13"/>
        <v>43379</v>
      </c>
      <c r="J471" s="54">
        <v>43378</v>
      </c>
      <c r="K471" s="54" t="s">
        <v>148</v>
      </c>
    </row>
    <row r="472" spans="3:11" x14ac:dyDescent="0.25">
      <c r="C472" s="54">
        <v>43355</v>
      </c>
      <c r="D472" s="55" t="s">
        <v>146</v>
      </c>
      <c r="E472" s="55" t="s">
        <v>147</v>
      </c>
      <c r="F472" s="56">
        <v>13</v>
      </c>
      <c r="G472" s="57">
        <v>1.55</v>
      </c>
      <c r="H472" s="57">
        <f t="shared" si="12"/>
        <v>20.150000000000002</v>
      </c>
      <c r="I472" s="54">
        <f t="shared" si="13"/>
        <v>43380</v>
      </c>
      <c r="J472" s="54">
        <v>43378</v>
      </c>
      <c r="K472" s="54" t="s">
        <v>148</v>
      </c>
    </row>
    <row r="473" spans="3:11" x14ac:dyDescent="0.25">
      <c r="C473" s="54">
        <v>43358</v>
      </c>
      <c r="D473" s="55" t="s">
        <v>146</v>
      </c>
      <c r="E473" s="55" t="s">
        <v>147</v>
      </c>
      <c r="F473" s="56">
        <v>20</v>
      </c>
      <c r="G473" s="57">
        <v>1.55</v>
      </c>
      <c r="H473" s="57">
        <f t="shared" si="12"/>
        <v>31</v>
      </c>
      <c r="I473" s="54">
        <f t="shared" si="13"/>
        <v>43383</v>
      </c>
      <c r="J473" s="54">
        <v>43383</v>
      </c>
      <c r="K473" s="54" t="s">
        <v>148</v>
      </c>
    </row>
    <row r="474" spans="3:11" x14ac:dyDescent="0.25">
      <c r="C474" s="54">
        <v>43359</v>
      </c>
      <c r="D474" s="55" t="s">
        <v>152</v>
      </c>
      <c r="E474" s="55" t="s">
        <v>147</v>
      </c>
      <c r="F474" s="56">
        <v>21</v>
      </c>
      <c r="G474" s="57">
        <v>1.4</v>
      </c>
      <c r="H474" s="57">
        <f t="shared" si="12"/>
        <v>29.4</v>
      </c>
      <c r="I474" s="54">
        <f t="shared" si="13"/>
        <v>43384</v>
      </c>
      <c r="J474" s="54">
        <v>43384</v>
      </c>
      <c r="K474" s="54" t="s">
        <v>148</v>
      </c>
    </row>
    <row r="475" spans="3:11" x14ac:dyDescent="0.25">
      <c r="C475" s="54">
        <v>43360</v>
      </c>
      <c r="D475" s="55" t="s">
        <v>151</v>
      </c>
      <c r="E475" s="55" t="s">
        <v>150</v>
      </c>
      <c r="F475" s="56">
        <v>12</v>
      </c>
      <c r="G475" s="57">
        <v>2.02</v>
      </c>
      <c r="H475" s="57">
        <f t="shared" si="12"/>
        <v>24.240000000000002</v>
      </c>
      <c r="I475" s="54">
        <f t="shared" si="13"/>
        <v>43385</v>
      </c>
      <c r="J475" s="54">
        <v>43385</v>
      </c>
      <c r="K475" s="54" t="s">
        <v>148</v>
      </c>
    </row>
    <row r="476" spans="3:11" x14ac:dyDescent="0.25">
      <c r="C476" s="54">
        <v>43361</v>
      </c>
      <c r="D476" s="55" t="s">
        <v>153</v>
      </c>
      <c r="E476" s="55" t="s">
        <v>147</v>
      </c>
      <c r="F476" s="56">
        <v>18</v>
      </c>
      <c r="G476" s="57">
        <v>1.0900000000000001</v>
      </c>
      <c r="H476" s="57">
        <f t="shared" si="12"/>
        <v>19.62</v>
      </c>
      <c r="I476" s="54">
        <f t="shared" si="13"/>
        <v>43386</v>
      </c>
      <c r="J476" s="54">
        <v>43385</v>
      </c>
      <c r="K476" s="54" t="s">
        <v>148</v>
      </c>
    </row>
    <row r="477" spans="3:11" x14ac:dyDescent="0.25">
      <c r="C477" s="54">
        <v>43362</v>
      </c>
      <c r="D477" s="55" t="s">
        <v>152</v>
      </c>
      <c r="E477" s="55" t="s">
        <v>147</v>
      </c>
      <c r="F477" s="56">
        <v>16</v>
      </c>
      <c r="G477" s="57">
        <v>1.4</v>
      </c>
      <c r="H477" s="57">
        <f t="shared" ref="H477:H540" si="14">F477*G477</f>
        <v>22.4</v>
      </c>
      <c r="I477" s="54">
        <f t="shared" si="13"/>
        <v>43387</v>
      </c>
      <c r="J477" s="54">
        <v>43387</v>
      </c>
      <c r="K477" s="54" t="s">
        <v>148</v>
      </c>
    </row>
    <row r="478" spans="3:11" x14ac:dyDescent="0.25">
      <c r="C478" s="54">
        <v>43365</v>
      </c>
      <c r="D478" s="55" t="s">
        <v>151</v>
      </c>
      <c r="E478" s="55" t="s">
        <v>150</v>
      </c>
      <c r="F478" s="56">
        <v>15</v>
      </c>
      <c r="G478" s="57">
        <v>2.02</v>
      </c>
      <c r="H478" s="57">
        <f t="shared" si="14"/>
        <v>30.3</v>
      </c>
      <c r="I478" s="54">
        <f t="shared" ref="I478:I541" si="15">+C478+25</f>
        <v>43390</v>
      </c>
      <c r="J478" s="54">
        <v>43389</v>
      </c>
      <c r="K478" s="54" t="s">
        <v>148</v>
      </c>
    </row>
    <row r="479" spans="3:11" x14ac:dyDescent="0.25">
      <c r="C479" s="54">
        <v>43366</v>
      </c>
      <c r="D479" s="55" t="s">
        <v>153</v>
      </c>
      <c r="E479" s="55" t="s">
        <v>147</v>
      </c>
      <c r="F479" s="56">
        <v>24</v>
      </c>
      <c r="G479" s="57">
        <v>1.0900000000000001</v>
      </c>
      <c r="H479" s="57">
        <f t="shared" si="14"/>
        <v>26.160000000000004</v>
      </c>
      <c r="I479" s="54">
        <f t="shared" si="15"/>
        <v>43391</v>
      </c>
      <c r="J479" s="54">
        <v>43390</v>
      </c>
      <c r="K479" s="54" t="s">
        <v>148</v>
      </c>
    </row>
    <row r="480" spans="3:11" x14ac:dyDescent="0.25">
      <c r="C480" s="54">
        <v>43367</v>
      </c>
      <c r="D480" s="55" t="s">
        <v>153</v>
      </c>
      <c r="E480" s="55" t="s">
        <v>147</v>
      </c>
      <c r="F480" s="56">
        <v>23</v>
      </c>
      <c r="G480" s="57">
        <v>1.0900000000000001</v>
      </c>
      <c r="H480" s="57">
        <f t="shared" si="14"/>
        <v>25.07</v>
      </c>
      <c r="I480" s="54">
        <f t="shared" si="15"/>
        <v>43392</v>
      </c>
      <c r="J480" s="54">
        <v>43390</v>
      </c>
      <c r="K480" s="54" t="s">
        <v>148</v>
      </c>
    </row>
    <row r="481" spans="3:11" x14ac:dyDescent="0.25">
      <c r="C481" s="54">
        <v>43368</v>
      </c>
      <c r="D481" s="55" t="s">
        <v>152</v>
      </c>
      <c r="E481" s="55" t="s">
        <v>147</v>
      </c>
      <c r="F481" s="56">
        <v>18</v>
      </c>
      <c r="G481" s="57">
        <v>1.4</v>
      </c>
      <c r="H481" s="57">
        <f t="shared" si="14"/>
        <v>25.2</v>
      </c>
      <c r="I481" s="54">
        <f t="shared" si="15"/>
        <v>43393</v>
      </c>
      <c r="J481" s="54">
        <v>43393</v>
      </c>
      <c r="K481" s="54" t="s">
        <v>148</v>
      </c>
    </row>
    <row r="482" spans="3:11" x14ac:dyDescent="0.25">
      <c r="C482" s="54">
        <v>43369</v>
      </c>
      <c r="D482" s="55" t="s">
        <v>154</v>
      </c>
      <c r="E482" s="55" t="s">
        <v>150</v>
      </c>
      <c r="F482" s="56">
        <v>26</v>
      </c>
      <c r="G482" s="57">
        <v>1.37</v>
      </c>
      <c r="H482" s="57">
        <f t="shared" si="14"/>
        <v>35.620000000000005</v>
      </c>
      <c r="I482" s="54">
        <f t="shared" si="15"/>
        <v>43394</v>
      </c>
      <c r="J482" s="54">
        <v>43393</v>
      </c>
      <c r="K482" s="54" t="s">
        <v>148</v>
      </c>
    </row>
    <row r="483" spans="3:11" x14ac:dyDescent="0.25">
      <c r="C483" s="54">
        <v>43372</v>
      </c>
      <c r="D483" s="55" t="s">
        <v>146</v>
      </c>
      <c r="E483" s="55" t="s">
        <v>147</v>
      </c>
      <c r="F483" s="56">
        <v>6</v>
      </c>
      <c r="G483" s="57">
        <v>1.55</v>
      </c>
      <c r="H483" s="57">
        <f t="shared" si="14"/>
        <v>9.3000000000000007</v>
      </c>
      <c r="I483" s="54">
        <f t="shared" si="15"/>
        <v>43397</v>
      </c>
      <c r="J483" s="54">
        <v>43397</v>
      </c>
      <c r="K483" s="54" t="s">
        <v>148</v>
      </c>
    </row>
    <row r="484" spans="3:11" x14ac:dyDescent="0.25">
      <c r="C484" s="54">
        <v>43373</v>
      </c>
      <c r="D484" s="55" t="s">
        <v>146</v>
      </c>
      <c r="E484" s="55" t="s">
        <v>147</v>
      </c>
      <c r="F484" s="56">
        <v>12</v>
      </c>
      <c r="G484" s="57">
        <v>1.55</v>
      </c>
      <c r="H484" s="57">
        <f t="shared" si="14"/>
        <v>18.600000000000001</v>
      </c>
      <c r="I484" s="54">
        <f t="shared" si="15"/>
        <v>43398</v>
      </c>
      <c r="J484" s="54">
        <v>43397</v>
      </c>
      <c r="K484" s="54" t="s">
        <v>148</v>
      </c>
    </row>
    <row r="485" spans="3:11" x14ac:dyDescent="0.25">
      <c r="C485" s="54">
        <v>43374</v>
      </c>
      <c r="D485" s="55" t="s">
        <v>149</v>
      </c>
      <c r="E485" s="55" t="s">
        <v>150</v>
      </c>
      <c r="F485" s="56">
        <v>15</v>
      </c>
      <c r="G485" s="57">
        <v>2.12</v>
      </c>
      <c r="H485" s="57">
        <f t="shared" si="14"/>
        <v>31.8</v>
      </c>
      <c r="I485" s="54">
        <f t="shared" si="15"/>
        <v>43399</v>
      </c>
      <c r="J485" s="54">
        <v>43397</v>
      </c>
      <c r="K485" s="54" t="s">
        <v>148</v>
      </c>
    </row>
    <row r="486" spans="3:11" x14ac:dyDescent="0.25">
      <c r="C486" s="54">
        <v>43375</v>
      </c>
      <c r="D486" s="55" t="s">
        <v>149</v>
      </c>
      <c r="E486" s="55" t="s">
        <v>150</v>
      </c>
      <c r="F486" s="56">
        <v>12</v>
      </c>
      <c r="G486" s="57">
        <v>2.12</v>
      </c>
      <c r="H486" s="57">
        <f t="shared" si="14"/>
        <v>25.44</v>
      </c>
      <c r="I486" s="54">
        <f t="shared" si="15"/>
        <v>43400</v>
      </c>
      <c r="J486" s="54">
        <v>43400</v>
      </c>
      <c r="K486" s="54" t="s">
        <v>148</v>
      </c>
    </row>
    <row r="487" spans="3:11" x14ac:dyDescent="0.25">
      <c r="C487" s="54">
        <v>43376</v>
      </c>
      <c r="D487" s="55" t="s">
        <v>146</v>
      </c>
      <c r="E487" s="55" t="s">
        <v>147</v>
      </c>
      <c r="F487" s="56">
        <v>24</v>
      </c>
      <c r="G487" s="57">
        <v>1.55</v>
      </c>
      <c r="H487" s="57">
        <f t="shared" si="14"/>
        <v>37.200000000000003</v>
      </c>
      <c r="I487" s="54">
        <f t="shared" si="15"/>
        <v>43401</v>
      </c>
      <c r="J487" s="54">
        <v>43399</v>
      </c>
      <c r="K487" s="54" t="s">
        <v>148</v>
      </c>
    </row>
    <row r="488" spans="3:11" x14ac:dyDescent="0.25">
      <c r="C488" s="54">
        <v>43379</v>
      </c>
      <c r="D488" s="55" t="s">
        <v>146</v>
      </c>
      <c r="E488" s="55" t="s">
        <v>147</v>
      </c>
      <c r="F488" s="56">
        <v>12</v>
      </c>
      <c r="G488" s="57">
        <v>1.55</v>
      </c>
      <c r="H488" s="57">
        <f t="shared" si="14"/>
        <v>18.600000000000001</v>
      </c>
      <c r="I488" s="54">
        <f t="shared" si="15"/>
        <v>43404</v>
      </c>
      <c r="J488" s="54">
        <v>43404</v>
      </c>
      <c r="K488" s="54" t="s">
        <v>148</v>
      </c>
    </row>
    <row r="489" spans="3:11" x14ac:dyDescent="0.25">
      <c r="C489" s="54">
        <v>43380</v>
      </c>
      <c r="D489" s="55" t="s">
        <v>153</v>
      </c>
      <c r="E489" s="55" t="s">
        <v>147</v>
      </c>
      <c r="F489" s="56">
        <v>20</v>
      </c>
      <c r="G489" s="57">
        <v>1.0900000000000001</v>
      </c>
      <c r="H489" s="57">
        <f t="shared" si="14"/>
        <v>21.8</v>
      </c>
      <c r="I489" s="54">
        <f t="shared" si="15"/>
        <v>43405</v>
      </c>
      <c r="J489" s="54">
        <v>43404</v>
      </c>
      <c r="K489" s="54" t="s">
        <v>148</v>
      </c>
    </row>
    <row r="490" spans="3:11" x14ac:dyDescent="0.25">
      <c r="C490" s="54">
        <v>43381</v>
      </c>
      <c r="D490" s="55" t="s">
        <v>153</v>
      </c>
      <c r="E490" s="55" t="s">
        <v>147</v>
      </c>
      <c r="F490" s="56">
        <v>11</v>
      </c>
      <c r="G490" s="57">
        <v>1.0900000000000001</v>
      </c>
      <c r="H490" s="57">
        <f t="shared" si="14"/>
        <v>11.99</v>
      </c>
      <c r="I490" s="54">
        <f t="shared" si="15"/>
        <v>43406</v>
      </c>
      <c r="J490" s="54">
        <v>43404</v>
      </c>
      <c r="K490" s="54" t="s">
        <v>148</v>
      </c>
    </row>
    <row r="491" spans="3:11" x14ac:dyDescent="0.25">
      <c r="C491" s="54">
        <v>43382</v>
      </c>
      <c r="D491" s="55" t="s">
        <v>153</v>
      </c>
      <c r="E491" s="55" t="s">
        <v>147</v>
      </c>
      <c r="F491" s="56">
        <v>18</v>
      </c>
      <c r="G491" s="57">
        <v>1.0900000000000001</v>
      </c>
      <c r="H491" s="57">
        <f t="shared" si="14"/>
        <v>19.62</v>
      </c>
      <c r="I491" s="54">
        <f t="shared" si="15"/>
        <v>43407</v>
      </c>
      <c r="J491" s="54">
        <v>43406</v>
      </c>
      <c r="K491" s="54" t="s">
        <v>148</v>
      </c>
    </row>
    <row r="492" spans="3:11" x14ac:dyDescent="0.25">
      <c r="C492" s="54">
        <v>43383</v>
      </c>
      <c r="D492" s="55" t="s">
        <v>153</v>
      </c>
      <c r="E492" s="55" t="s">
        <v>147</v>
      </c>
      <c r="F492" s="56">
        <v>18</v>
      </c>
      <c r="G492" s="57">
        <v>1.0900000000000001</v>
      </c>
      <c r="H492" s="57">
        <f t="shared" si="14"/>
        <v>19.62</v>
      </c>
      <c r="I492" s="54">
        <f t="shared" si="15"/>
        <v>43408</v>
      </c>
      <c r="J492" s="54">
        <v>43406</v>
      </c>
      <c r="K492" s="54" t="s">
        <v>148</v>
      </c>
    </row>
    <row r="493" spans="3:11" x14ac:dyDescent="0.25">
      <c r="C493" s="54">
        <v>43386</v>
      </c>
      <c r="D493" s="55" t="s">
        <v>146</v>
      </c>
      <c r="E493" s="55" t="s">
        <v>147</v>
      </c>
      <c r="F493" s="56">
        <v>17</v>
      </c>
      <c r="G493" s="57">
        <v>1.55</v>
      </c>
      <c r="H493" s="57">
        <f t="shared" si="14"/>
        <v>26.35</v>
      </c>
      <c r="I493" s="54">
        <f t="shared" si="15"/>
        <v>43411</v>
      </c>
      <c r="J493" s="54">
        <v>43411</v>
      </c>
      <c r="K493" s="54" t="s">
        <v>148</v>
      </c>
    </row>
    <row r="494" spans="3:11" x14ac:dyDescent="0.25">
      <c r="C494" s="54">
        <v>43387</v>
      </c>
      <c r="D494" s="55" t="s">
        <v>149</v>
      </c>
      <c r="E494" s="55" t="s">
        <v>150</v>
      </c>
      <c r="F494" s="56">
        <v>15</v>
      </c>
      <c r="G494" s="57">
        <v>2.12</v>
      </c>
      <c r="H494" s="57">
        <f t="shared" si="14"/>
        <v>31.8</v>
      </c>
      <c r="I494" s="54">
        <f t="shared" si="15"/>
        <v>43412</v>
      </c>
      <c r="J494" s="54">
        <v>43412</v>
      </c>
      <c r="K494" s="54" t="s">
        <v>148</v>
      </c>
    </row>
    <row r="495" spans="3:11" x14ac:dyDescent="0.25">
      <c r="C495" s="54">
        <v>43388</v>
      </c>
      <c r="D495" s="55" t="s">
        <v>152</v>
      </c>
      <c r="E495" s="55" t="s">
        <v>147</v>
      </c>
      <c r="F495" s="56">
        <v>7</v>
      </c>
      <c r="G495" s="57">
        <v>1.4</v>
      </c>
      <c r="H495" s="57">
        <f t="shared" si="14"/>
        <v>9.7999999999999989</v>
      </c>
      <c r="I495" s="54">
        <f t="shared" si="15"/>
        <v>43413</v>
      </c>
      <c r="J495" s="54">
        <v>43413</v>
      </c>
      <c r="K495" s="54" t="s">
        <v>148</v>
      </c>
    </row>
    <row r="496" spans="3:11" x14ac:dyDescent="0.25">
      <c r="C496" s="54">
        <v>43389</v>
      </c>
      <c r="D496" s="55" t="s">
        <v>146</v>
      </c>
      <c r="E496" s="55" t="s">
        <v>147</v>
      </c>
      <c r="F496" s="56">
        <v>26</v>
      </c>
      <c r="G496" s="57">
        <v>1.55</v>
      </c>
      <c r="H496" s="57">
        <f t="shared" si="14"/>
        <v>40.300000000000004</v>
      </c>
      <c r="I496" s="54">
        <f t="shared" si="15"/>
        <v>43414</v>
      </c>
      <c r="J496" s="54">
        <v>43413</v>
      </c>
      <c r="K496" s="54" t="s">
        <v>148</v>
      </c>
    </row>
    <row r="497" spans="3:11" x14ac:dyDescent="0.25">
      <c r="C497" s="54">
        <v>43390</v>
      </c>
      <c r="D497" s="55" t="s">
        <v>153</v>
      </c>
      <c r="E497" s="55" t="s">
        <v>147</v>
      </c>
      <c r="F497" s="56">
        <v>24</v>
      </c>
      <c r="G497" s="57">
        <v>1.0900000000000001</v>
      </c>
      <c r="H497" s="57">
        <f t="shared" si="14"/>
        <v>26.160000000000004</v>
      </c>
      <c r="I497" s="54">
        <f t="shared" si="15"/>
        <v>43415</v>
      </c>
      <c r="J497" s="54">
        <v>43413</v>
      </c>
      <c r="K497" s="54" t="s">
        <v>148</v>
      </c>
    </row>
    <row r="498" spans="3:11" x14ac:dyDescent="0.25">
      <c r="C498" s="54">
        <v>43393</v>
      </c>
      <c r="D498" s="55" t="s">
        <v>153</v>
      </c>
      <c r="E498" s="55" t="s">
        <v>147</v>
      </c>
      <c r="F498" s="56">
        <v>8</v>
      </c>
      <c r="G498" s="57">
        <v>1.0900000000000001</v>
      </c>
      <c r="H498" s="57">
        <f t="shared" si="14"/>
        <v>8.7200000000000006</v>
      </c>
      <c r="I498" s="54">
        <f t="shared" si="15"/>
        <v>43418</v>
      </c>
      <c r="J498" s="54">
        <v>43417</v>
      </c>
      <c r="K498" s="54" t="s">
        <v>148</v>
      </c>
    </row>
    <row r="499" spans="3:11" x14ac:dyDescent="0.25">
      <c r="C499" s="54">
        <v>43394</v>
      </c>
      <c r="D499" s="55" t="s">
        <v>146</v>
      </c>
      <c r="E499" s="55" t="s">
        <v>147</v>
      </c>
      <c r="F499" s="56">
        <v>23</v>
      </c>
      <c r="G499" s="57">
        <v>1.55</v>
      </c>
      <c r="H499" s="57">
        <f t="shared" si="14"/>
        <v>35.65</v>
      </c>
      <c r="I499" s="54">
        <f t="shared" si="15"/>
        <v>43419</v>
      </c>
      <c r="J499" s="54">
        <v>43422</v>
      </c>
      <c r="K499" s="54" t="s">
        <v>148</v>
      </c>
    </row>
    <row r="500" spans="3:11" x14ac:dyDescent="0.25">
      <c r="C500" s="54">
        <v>43395</v>
      </c>
      <c r="D500" s="55" t="s">
        <v>146</v>
      </c>
      <c r="E500" s="55" t="s">
        <v>147</v>
      </c>
      <c r="F500" s="56">
        <v>10</v>
      </c>
      <c r="G500" s="57">
        <v>1.55</v>
      </c>
      <c r="H500" s="57">
        <f t="shared" si="14"/>
        <v>15.5</v>
      </c>
      <c r="I500" s="54">
        <f t="shared" si="15"/>
        <v>43420</v>
      </c>
      <c r="J500" s="54">
        <v>43419</v>
      </c>
      <c r="K500" s="54" t="s">
        <v>148</v>
      </c>
    </row>
    <row r="501" spans="3:11" x14ac:dyDescent="0.25">
      <c r="C501" s="54">
        <v>43396</v>
      </c>
      <c r="D501" s="55" t="s">
        <v>146</v>
      </c>
      <c r="E501" s="55" t="s">
        <v>147</v>
      </c>
      <c r="F501" s="56">
        <v>12</v>
      </c>
      <c r="G501" s="57">
        <v>1.55</v>
      </c>
      <c r="H501" s="57">
        <f t="shared" si="14"/>
        <v>18.600000000000001</v>
      </c>
      <c r="I501" s="54">
        <f t="shared" si="15"/>
        <v>43421</v>
      </c>
      <c r="J501" s="54">
        <v>43420</v>
      </c>
      <c r="K501" s="54" t="s">
        <v>148</v>
      </c>
    </row>
    <row r="502" spans="3:11" x14ac:dyDescent="0.25">
      <c r="C502" s="54">
        <v>43397</v>
      </c>
      <c r="D502" s="55" t="s">
        <v>152</v>
      </c>
      <c r="E502" s="55" t="s">
        <v>147</v>
      </c>
      <c r="F502" s="56">
        <v>17</v>
      </c>
      <c r="G502" s="57">
        <v>1.4</v>
      </c>
      <c r="H502" s="57">
        <f t="shared" si="14"/>
        <v>23.799999999999997</v>
      </c>
      <c r="I502" s="54">
        <f t="shared" si="15"/>
        <v>43422</v>
      </c>
      <c r="J502" s="54">
        <v>43420</v>
      </c>
      <c r="K502" s="54" t="s">
        <v>148</v>
      </c>
    </row>
    <row r="503" spans="3:11" x14ac:dyDescent="0.25">
      <c r="C503" s="54">
        <v>43400</v>
      </c>
      <c r="D503" s="55" t="s">
        <v>146</v>
      </c>
      <c r="E503" s="55" t="s">
        <v>147</v>
      </c>
      <c r="F503" s="56">
        <v>17</v>
      </c>
      <c r="G503" s="57">
        <v>1.55</v>
      </c>
      <c r="H503" s="57">
        <f t="shared" si="14"/>
        <v>26.35</v>
      </c>
      <c r="I503" s="54">
        <f t="shared" si="15"/>
        <v>43425</v>
      </c>
      <c r="J503" s="54">
        <v>43425</v>
      </c>
      <c r="K503" s="54" t="s">
        <v>148</v>
      </c>
    </row>
    <row r="504" spans="3:11" x14ac:dyDescent="0.25">
      <c r="C504" s="54">
        <v>43401</v>
      </c>
      <c r="D504" s="55" t="s">
        <v>153</v>
      </c>
      <c r="E504" s="55" t="s">
        <v>147</v>
      </c>
      <c r="F504" s="56">
        <v>11</v>
      </c>
      <c r="G504" s="57">
        <v>1.0900000000000001</v>
      </c>
      <c r="H504" s="57">
        <f t="shared" si="14"/>
        <v>11.99</v>
      </c>
      <c r="I504" s="54">
        <f t="shared" si="15"/>
        <v>43426</v>
      </c>
      <c r="J504" s="54">
        <v>43427</v>
      </c>
      <c r="K504" s="54" t="s">
        <v>148</v>
      </c>
    </row>
    <row r="505" spans="3:11" x14ac:dyDescent="0.25">
      <c r="C505" s="54">
        <v>43402</v>
      </c>
      <c r="D505" s="55" t="s">
        <v>151</v>
      </c>
      <c r="E505" s="55" t="s">
        <v>150</v>
      </c>
      <c r="F505" s="56">
        <v>12</v>
      </c>
      <c r="G505" s="57">
        <v>2.02</v>
      </c>
      <c r="H505" s="57">
        <f t="shared" si="14"/>
        <v>24.240000000000002</v>
      </c>
      <c r="I505" s="54">
        <f t="shared" si="15"/>
        <v>43427</v>
      </c>
      <c r="J505" s="54">
        <v>43427</v>
      </c>
      <c r="K505" s="54" t="s">
        <v>148</v>
      </c>
    </row>
    <row r="506" spans="3:11" x14ac:dyDescent="0.25">
      <c r="C506" s="54">
        <v>43403</v>
      </c>
      <c r="D506" s="55" t="s">
        <v>146</v>
      </c>
      <c r="E506" s="55" t="s">
        <v>147</v>
      </c>
      <c r="F506" s="56">
        <v>23</v>
      </c>
      <c r="G506" s="57">
        <v>1.55</v>
      </c>
      <c r="H506" s="57">
        <f t="shared" si="14"/>
        <v>35.65</v>
      </c>
      <c r="I506" s="54">
        <f t="shared" si="15"/>
        <v>43428</v>
      </c>
      <c r="J506" s="54">
        <v>43427</v>
      </c>
      <c r="K506" s="54" t="s">
        <v>148</v>
      </c>
    </row>
    <row r="507" spans="3:11" x14ac:dyDescent="0.25">
      <c r="C507" s="54">
        <v>43404</v>
      </c>
      <c r="D507" s="55" t="s">
        <v>154</v>
      </c>
      <c r="E507" s="55" t="s">
        <v>150</v>
      </c>
      <c r="F507" s="56">
        <v>10</v>
      </c>
      <c r="G507" s="57">
        <v>1.37</v>
      </c>
      <c r="H507" s="57">
        <f t="shared" si="14"/>
        <v>13.700000000000001</v>
      </c>
      <c r="I507" s="54">
        <f t="shared" si="15"/>
        <v>43429</v>
      </c>
      <c r="J507" s="54">
        <v>43427</v>
      </c>
      <c r="K507" s="54" t="s">
        <v>148</v>
      </c>
    </row>
    <row r="508" spans="3:11" x14ac:dyDescent="0.25">
      <c r="C508" s="54">
        <v>43407</v>
      </c>
      <c r="D508" s="55" t="s">
        <v>146</v>
      </c>
      <c r="E508" s="55" t="s">
        <v>147</v>
      </c>
      <c r="F508" s="56">
        <v>19</v>
      </c>
      <c r="G508" s="57">
        <v>1.55</v>
      </c>
      <c r="H508" s="57">
        <f t="shared" si="14"/>
        <v>29.45</v>
      </c>
      <c r="I508" s="54">
        <f t="shared" si="15"/>
        <v>43432</v>
      </c>
      <c r="J508" s="54">
        <v>43430</v>
      </c>
      <c r="K508" s="54" t="s">
        <v>148</v>
      </c>
    </row>
    <row r="509" spans="3:11" x14ac:dyDescent="0.25">
      <c r="C509" s="54">
        <v>43408</v>
      </c>
      <c r="D509" s="55" t="s">
        <v>154</v>
      </c>
      <c r="E509" s="55" t="s">
        <v>150</v>
      </c>
      <c r="F509" s="56">
        <v>20</v>
      </c>
      <c r="G509" s="57">
        <v>1.37</v>
      </c>
      <c r="H509" s="57">
        <f t="shared" si="14"/>
        <v>27.400000000000002</v>
      </c>
      <c r="I509" s="54">
        <f t="shared" si="15"/>
        <v>43433</v>
      </c>
      <c r="J509" s="54">
        <v>43433</v>
      </c>
      <c r="K509" s="54" t="s">
        <v>148</v>
      </c>
    </row>
    <row r="510" spans="3:11" x14ac:dyDescent="0.25">
      <c r="C510" s="54">
        <v>43409</v>
      </c>
      <c r="D510" s="55" t="s">
        <v>152</v>
      </c>
      <c r="E510" s="55" t="s">
        <v>147</v>
      </c>
      <c r="F510" s="56">
        <v>23</v>
      </c>
      <c r="G510" s="57">
        <v>1.4</v>
      </c>
      <c r="H510" s="57">
        <f t="shared" si="14"/>
        <v>32.199999999999996</v>
      </c>
      <c r="I510" s="54">
        <f t="shared" si="15"/>
        <v>43434</v>
      </c>
      <c r="J510" s="54">
        <v>43435</v>
      </c>
      <c r="K510" s="54" t="s">
        <v>148</v>
      </c>
    </row>
    <row r="511" spans="3:11" x14ac:dyDescent="0.25">
      <c r="C511" s="54">
        <v>43410</v>
      </c>
      <c r="D511" s="55" t="s">
        <v>153</v>
      </c>
      <c r="E511" s="55" t="s">
        <v>147</v>
      </c>
      <c r="F511" s="56">
        <v>8</v>
      </c>
      <c r="G511" s="57">
        <v>1.0900000000000001</v>
      </c>
      <c r="H511" s="57">
        <f t="shared" si="14"/>
        <v>8.7200000000000006</v>
      </c>
      <c r="I511" s="54">
        <f t="shared" si="15"/>
        <v>43435</v>
      </c>
      <c r="J511" s="54">
        <v>43435</v>
      </c>
      <c r="K511" s="54" t="s">
        <v>148</v>
      </c>
    </row>
    <row r="512" spans="3:11" x14ac:dyDescent="0.25">
      <c r="C512" s="54">
        <v>43411</v>
      </c>
      <c r="D512" s="55" t="s">
        <v>153</v>
      </c>
      <c r="E512" s="55" t="s">
        <v>147</v>
      </c>
      <c r="F512" s="56">
        <v>23</v>
      </c>
      <c r="G512" s="57">
        <v>1.0900000000000001</v>
      </c>
      <c r="H512" s="57">
        <f t="shared" si="14"/>
        <v>25.07</v>
      </c>
      <c r="I512" s="54">
        <f t="shared" si="15"/>
        <v>43436</v>
      </c>
      <c r="J512" s="54">
        <v>43435</v>
      </c>
      <c r="K512" s="54" t="s">
        <v>148</v>
      </c>
    </row>
    <row r="513" spans="3:11" x14ac:dyDescent="0.25">
      <c r="C513" s="54">
        <v>43414</v>
      </c>
      <c r="D513" s="55" t="s">
        <v>146</v>
      </c>
      <c r="E513" s="55" t="s">
        <v>147</v>
      </c>
      <c r="F513" s="56">
        <v>20</v>
      </c>
      <c r="G513" s="57">
        <v>1.55</v>
      </c>
      <c r="H513" s="57">
        <f t="shared" si="14"/>
        <v>31</v>
      </c>
      <c r="I513" s="54">
        <f t="shared" si="15"/>
        <v>43439</v>
      </c>
      <c r="J513" s="54">
        <v>43437</v>
      </c>
      <c r="K513" s="54" t="s">
        <v>148</v>
      </c>
    </row>
    <row r="514" spans="3:11" x14ac:dyDescent="0.25">
      <c r="C514" s="54">
        <v>43415</v>
      </c>
      <c r="D514" s="55" t="s">
        <v>149</v>
      </c>
      <c r="E514" s="55" t="s">
        <v>150</v>
      </c>
      <c r="F514" s="56">
        <v>9</v>
      </c>
      <c r="G514" s="57">
        <v>2.12</v>
      </c>
      <c r="H514" s="57">
        <f t="shared" si="14"/>
        <v>19.080000000000002</v>
      </c>
      <c r="I514" s="54">
        <f t="shared" si="15"/>
        <v>43440</v>
      </c>
      <c r="J514" s="54">
        <v>43438</v>
      </c>
      <c r="K514" s="54" t="s">
        <v>148</v>
      </c>
    </row>
    <row r="515" spans="3:11" x14ac:dyDescent="0.25">
      <c r="C515" s="54">
        <v>43416</v>
      </c>
      <c r="D515" s="55" t="s">
        <v>151</v>
      </c>
      <c r="E515" s="55" t="s">
        <v>150</v>
      </c>
      <c r="F515" s="56">
        <v>15</v>
      </c>
      <c r="G515" s="57">
        <v>2.02</v>
      </c>
      <c r="H515" s="57">
        <f t="shared" si="14"/>
        <v>30.3</v>
      </c>
      <c r="I515" s="54">
        <f t="shared" si="15"/>
        <v>43441</v>
      </c>
      <c r="J515" s="54">
        <v>43442</v>
      </c>
      <c r="K515" s="54" t="s">
        <v>148</v>
      </c>
    </row>
    <row r="516" spans="3:11" x14ac:dyDescent="0.25">
      <c r="C516" s="54">
        <v>43417</v>
      </c>
      <c r="D516" s="55" t="s">
        <v>151</v>
      </c>
      <c r="E516" s="55" t="s">
        <v>150</v>
      </c>
      <c r="F516" s="56">
        <v>8</v>
      </c>
      <c r="G516" s="57">
        <v>2.02</v>
      </c>
      <c r="H516" s="57">
        <f t="shared" si="14"/>
        <v>16.16</v>
      </c>
      <c r="I516" s="54">
        <f t="shared" si="15"/>
        <v>43442</v>
      </c>
      <c r="J516" s="54">
        <v>43441</v>
      </c>
      <c r="K516" s="54" t="s">
        <v>148</v>
      </c>
    </row>
    <row r="517" spans="3:11" x14ac:dyDescent="0.25">
      <c r="C517" s="54">
        <v>43418</v>
      </c>
      <c r="D517" s="55" t="s">
        <v>149</v>
      </c>
      <c r="E517" s="55" t="s">
        <v>150</v>
      </c>
      <c r="F517" s="56">
        <v>25</v>
      </c>
      <c r="G517" s="57">
        <v>2.12</v>
      </c>
      <c r="H517" s="57">
        <f t="shared" si="14"/>
        <v>53</v>
      </c>
      <c r="I517" s="54">
        <f t="shared" si="15"/>
        <v>43443</v>
      </c>
      <c r="J517" s="54">
        <v>43442</v>
      </c>
      <c r="K517" s="54" t="s">
        <v>148</v>
      </c>
    </row>
    <row r="518" spans="3:11" x14ac:dyDescent="0.25">
      <c r="C518" s="54">
        <v>43421</v>
      </c>
      <c r="D518" s="55" t="s">
        <v>146</v>
      </c>
      <c r="E518" s="55" t="s">
        <v>147</v>
      </c>
      <c r="F518" s="56">
        <v>19</v>
      </c>
      <c r="G518" s="57">
        <v>1.55</v>
      </c>
      <c r="H518" s="57">
        <f t="shared" si="14"/>
        <v>29.45</v>
      </c>
      <c r="I518" s="54">
        <f t="shared" si="15"/>
        <v>43446</v>
      </c>
      <c r="J518" s="54">
        <v>43444</v>
      </c>
      <c r="K518" s="54" t="s">
        <v>148</v>
      </c>
    </row>
    <row r="519" spans="3:11" x14ac:dyDescent="0.25">
      <c r="C519" s="54">
        <v>43422</v>
      </c>
      <c r="D519" s="55" t="s">
        <v>149</v>
      </c>
      <c r="E519" s="55" t="s">
        <v>150</v>
      </c>
      <c r="F519" s="56">
        <v>17</v>
      </c>
      <c r="G519" s="57">
        <v>2.12</v>
      </c>
      <c r="H519" s="57">
        <f t="shared" si="14"/>
        <v>36.04</v>
      </c>
      <c r="I519" s="54">
        <f t="shared" si="15"/>
        <v>43447</v>
      </c>
      <c r="J519" s="54">
        <v>43447</v>
      </c>
      <c r="K519" s="54" t="s">
        <v>148</v>
      </c>
    </row>
    <row r="520" spans="3:11" x14ac:dyDescent="0.25">
      <c r="C520" s="54">
        <v>43423</v>
      </c>
      <c r="D520" s="55" t="s">
        <v>146</v>
      </c>
      <c r="E520" s="55" t="s">
        <v>147</v>
      </c>
      <c r="F520" s="56">
        <v>15</v>
      </c>
      <c r="G520" s="57">
        <v>1.55</v>
      </c>
      <c r="H520" s="57">
        <f t="shared" si="14"/>
        <v>23.25</v>
      </c>
      <c r="I520" s="54">
        <f t="shared" si="15"/>
        <v>43448</v>
      </c>
      <c r="J520" s="54">
        <v>43446</v>
      </c>
      <c r="K520" s="54" t="s">
        <v>148</v>
      </c>
    </row>
    <row r="521" spans="3:11" x14ac:dyDescent="0.25">
      <c r="C521" s="54">
        <v>43424</v>
      </c>
      <c r="D521" s="55" t="s">
        <v>149</v>
      </c>
      <c r="E521" s="55" t="s">
        <v>150</v>
      </c>
      <c r="F521" s="56">
        <v>11</v>
      </c>
      <c r="G521" s="57">
        <v>2.12</v>
      </c>
      <c r="H521" s="57">
        <f t="shared" si="14"/>
        <v>23.32</v>
      </c>
      <c r="I521" s="54">
        <f t="shared" si="15"/>
        <v>43449</v>
      </c>
      <c r="J521" s="54">
        <v>43449</v>
      </c>
      <c r="K521" s="54" t="s">
        <v>148</v>
      </c>
    </row>
    <row r="522" spans="3:11" x14ac:dyDescent="0.25">
      <c r="C522" s="54">
        <v>43425</v>
      </c>
      <c r="D522" s="55" t="s">
        <v>153</v>
      </c>
      <c r="E522" s="55" t="s">
        <v>147</v>
      </c>
      <c r="F522" s="56">
        <v>11</v>
      </c>
      <c r="G522" s="57">
        <v>1.0900000000000001</v>
      </c>
      <c r="H522" s="57">
        <f t="shared" si="14"/>
        <v>11.99</v>
      </c>
      <c r="I522" s="54">
        <f t="shared" si="15"/>
        <v>43450</v>
      </c>
      <c r="J522" s="54">
        <v>43449</v>
      </c>
      <c r="K522" s="54" t="s">
        <v>148</v>
      </c>
    </row>
    <row r="523" spans="3:11" x14ac:dyDescent="0.25">
      <c r="C523" s="54">
        <v>43428</v>
      </c>
      <c r="D523" s="55" t="s">
        <v>153</v>
      </c>
      <c r="E523" s="55" t="s">
        <v>147</v>
      </c>
      <c r="F523" s="56">
        <v>25</v>
      </c>
      <c r="G523" s="57">
        <v>1.0900000000000001</v>
      </c>
      <c r="H523" s="57">
        <f t="shared" si="14"/>
        <v>27.250000000000004</v>
      </c>
      <c r="I523" s="54">
        <f t="shared" si="15"/>
        <v>43453</v>
      </c>
      <c r="J523" s="54">
        <v>43451</v>
      </c>
      <c r="K523" s="54" t="s">
        <v>148</v>
      </c>
    </row>
    <row r="524" spans="3:11" x14ac:dyDescent="0.25">
      <c r="C524" s="54">
        <v>43429</v>
      </c>
      <c r="D524" s="55" t="s">
        <v>146</v>
      </c>
      <c r="E524" s="55" t="s">
        <v>147</v>
      </c>
      <c r="F524" s="56">
        <v>21</v>
      </c>
      <c r="G524" s="57">
        <v>1.55</v>
      </c>
      <c r="H524" s="57">
        <f t="shared" si="14"/>
        <v>32.550000000000004</v>
      </c>
      <c r="I524" s="54">
        <f t="shared" si="15"/>
        <v>43454</v>
      </c>
      <c r="J524" s="54">
        <v>43454</v>
      </c>
      <c r="K524" s="54" t="s">
        <v>148</v>
      </c>
    </row>
    <row r="525" spans="3:11" x14ac:dyDescent="0.25">
      <c r="C525" s="54">
        <v>43430</v>
      </c>
      <c r="D525" s="55" t="s">
        <v>154</v>
      </c>
      <c r="E525" s="55" t="s">
        <v>150</v>
      </c>
      <c r="F525" s="56">
        <v>14</v>
      </c>
      <c r="G525" s="57">
        <v>1.37</v>
      </c>
      <c r="H525" s="57">
        <f t="shared" si="14"/>
        <v>19.18</v>
      </c>
      <c r="I525" s="54">
        <f t="shared" si="15"/>
        <v>43455</v>
      </c>
      <c r="J525" s="54">
        <v>43454</v>
      </c>
      <c r="K525" s="54" t="s">
        <v>148</v>
      </c>
    </row>
    <row r="526" spans="3:11" x14ac:dyDescent="0.25">
      <c r="C526" s="54">
        <v>43431</v>
      </c>
      <c r="D526" s="55" t="s">
        <v>146</v>
      </c>
      <c r="E526" s="55" t="s">
        <v>147</v>
      </c>
      <c r="F526" s="56">
        <v>17</v>
      </c>
      <c r="G526" s="57">
        <v>1.55</v>
      </c>
      <c r="H526" s="57">
        <f t="shared" si="14"/>
        <v>26.35</v>
      </c>
      <c r="I526" s="54">
        <f t="shared" si="15"/>
        <v>43456</v>
      </c>
      <c r="J526" s="54">
        <v>43456</v>
      </c>
      <c r="K526" s="54" t="s">
        <v>148</v>
      </c>
    </row>
    <row r="527" spans="3:11" x14ac:dyDescent="0.25">
      <c r="C527" s="54">
        <v>43432</v>
      </c>
      <c r="D527" s="55" t="s">
        <v>146</v>
      </c>
      <c r="E527" s="55" t="s">
        <v>147</v>
      </c>
      <c r="F527" s="56">
        <v>23</v>
      </c>
      <c r="G527" s="57">
        <v>1.55</v>
      </c>
      <c r="H527" s="57">
        <f t="shared" si="14"/>
        <v>35.65</v>
      </c>
      <c r="I527" s="54">
        <f t="shared" si="15"/>
        <v>43457</v>
      </c>
      <c r="J527" s="54">
        <v>43456</v>
      </c>
      <c r="K527" s="54" t="s">
        <v>148</v>
      </c>
    </row>
    <row r="528" spans="3:11" x14ac:dyDescent="0.25">
      <c r="C528" s="54">
        <v>43435</v>
      </c>
      <c r="D528" s="55" t="s">
        <v>149</v>
      </c>
      <c r="E528" s="55" t="s">
        <v>150</v>
      </c>
      <c r="F528" s="56">
        <v>25</v>
      </c>
      <c r="G528" s="57">
        <v>2.12</v>
      </c>
      <c r="H528" s="57">
        <f t="shared" si="14"/>
        <v>53</v>
      </c>
      <c r="I528" s="54">
        <f t="shared" si="15"/>
        <v>43460</v>
      </c>
      <c r="J528" s="54">
        <v>43458</v>
      </c>
      <c r="K528" s="54" t="s">
        <v>148</v>
      </c>
    </row>
    <row r="529" spans="3:11" x14ac:dyDescent="0.25">
      <c r="C529" s="54">
        <v>43436</v>
      </c>
      <c r="D529" s="55" t="s">
        <v>146</v>
      </c>
      <c r="E529" s="55" t="s">
        <v>147</v>
      </c>
      <c r="F529" s="56">
        <v>24</v>
      </c>
      <c r="G529" s="57">
        <v>1.55</v>
      </c>
      <c r="H529" s="57">
        <f t="shared" si="14"/>
        <v>37.200000000000003</v>
      </c>
      <c r="I529" s="54">
        <f t="shared" si="15"/>
        <v>43461</v>
      </c>
      <c r="J529" s="54">
        <v>43461</v>
      </c>
      <c r="K529" s="54" t="s">
        <v>148</v>
      </c>
    </row>
    <row r="530" spans="3:11" x14ac:dyDescent="0.25">
      <c r="C530" s="54">
        <v>43437</v>
      </c>
      <c r="D530" s="55" t="s">
        <v>153</v>
      </c>
      <c r="E530" s="55" t="s">
        <v>147</v>
      </c>
      <c r="F530" s="56">
        <v>17</v>
      </c>
      <c r="G530" s="57">
        <v>1.0900000000000001</v>
      </c>
      <c r="H530" s="57">
        <f t="shared" si="14"/>
        <v>18.53</v>
      </c>
      <c r="I530" s="54">
        <f t="shared" si="15"/>
        <v>43462</v>
      </c>
      <c r="J530" s="54">
        <v>43462</v>
      </c>
      <c r="K530" s="54" t="s">
        <v>148</v>
      </c>
    </row>
    <row r="531" spans="3:11" x14ac:dyDescent="0.25">
      <c r="C531" s="54">
        <v>43438</v>
      </c>
      <c r="D531" s="55" t="s">
        <v>149</v>
      </c>
      <c r="E531" s="55" t="s">
        <v>150</v>
      </c>
      <c r="F531" s="56">
        <v>16</v>
      </c>
      <c r="G531" s="57">
        <v>2.12</v>
      </c>
      <c r="H531" s="57">
        <f t="shared" si="14"/>
        <v>33.92</v>
      </c>
      <c r="I531" s="54">
        <f t="shared" si="15"/>
        <v>43463</v>
      </c>
      <c r="J531" s="54">
        <v>43462</v>
      </c>
      <c r="K531" s="54" t="s">
        <v>148</v>
      </c>
    </row>
    <row r="532" spans="3:11" x14ac:dyDescent="0.25">
      <c r="C532" s="54">
        <v>43439</v>
      </c>
      <c r="D532" s="55" t="s">
        <v>154</v>
      </c>
      <c r="E532" s="55" t="s">
        <v>150</v>
      </c>
      <c r="F532" s="56">
        <v>23</v>
      </c>
      <c r="G532" s="57">
        <v>1.37</v>
      </c>
      <c r="H532" s="57">
        <f t="shared" si="14"/>
        <v>31.51</v>
      </c>
      <c r="I532" s="54">
        <f t="shared" si="15"/>
        <v>43464</v>
      </c>
      <c r="J532" s="54">
        <v>43463</v>
      </c>
      <c r="K532" s="54" t="s">
        <v>148</v>
      </c>
    </row>
    <row r="533" spans="3:11" x14ac:dyDescent="0.25">
      <c r="C533" s="54">
        <v>43442</v>
      </c>
      <c r="D533" s="55" t="s">
        <v>153</v>
      </c>
      <c r="E533" s="55" t="s">
        <v>147</v>
      </c>
      <c r="F533" s="56">
        <v>23</v>
      </c>
      <c r="G533" s="57">
        <v>1.0900000000000001</v>
      </c>
      <c r="H533" s="57">
        <f t="shared" si="14"/>
        <v>25.07</v>
      </c>
      <c r="I533" s="54">
        <f t="shared" si="15"/>
        <v>43467</v>
      </c>
      <c r="J533" s="54">
        <v>43465</v>
      </c>
      <c r="K533" s="54" t="s">
        <v>148</v>
      </c>
    </row>
    <row r="534" spans="3:11" x14ac:dyDescent="0.25">
      <c r="C534" s="54">
        <v>43443</v>
      </c>
      <c r="D534" s="55" t="s">
        <v>153</v>
      </c>
      <c r="E534" s="55" t="s">
        <v>147</v>
      </c>
      <c r="F534" s="56">
        <v>23</v>
      </c>
      <c r="G534" s="57">
        <v>1.0900000000000001</v>
      </c>
      <c r="H534" s="57">
        <f t="shared" si="14"/>
        <v>25.07</v>
      </c>
      <c r="I534" s="54">
        <f t="shared" si="15"/>
        <v>43468</v>
      </c>
      <c r="J534" s="54">
        <v>43468</v>
      </c>
      <c r="K534" s="54" t="s">
        <v>148</v>
      </c>
    </row>
    <row r="535" spans="3:11" x14ac:dyDescent="0.25">
      <c r="C535" s="54">
        <v>43444</v>
      </c>
      <c r="D535" s="55" t="s">
        <v>153</v>
      </c>
      <c r="E535" s="55" t="s">
        <v>147</v>
      </c>
      <c r="F535" s="56">
        <v>9</v>
      </c>
      <c r="G535" s="57">
        <v>1.0900000000000001</v>
      </c>
      <c r="H535" s="57">
        <f t="shared" si="14"/>
        <v>9.81</v>
      </c>
      <c r="I535" s="54">
        <f t="shared" si="15"/>
        <v>43469</v>
      </c>
      <c r="J535" s="54">
        <v>43468</v>
      </c>
      <c r="K535" s="54" t="s">
        <v>148</v>
      </c>
    </row>
    <row r="536" spans="3:11" x14ac:dyDescent="0.25">
      <c r="C536" s="54">
        <v>43445</v>
      </c>
      <c r="D536" s="55" t="s">
        <v>146</v>
      </c>
      <c r="E536" s="55" t="s">
        <v>147</v>
      </c>
      <c r="F536" s="56">
        <v>7</v>
      </c>
      <c r="G536" s="57">
        <v>1.55</v>
      </c>
      <c r="H536" s="57">
        <f t="shared" si="14"/>
        <v>10.85</v>
      </c>
      <c r="I536" s="54">
        <f t="shared" si="15"/>
        <v>43470</v>
      </c>
      <c r="J536" s="54">
        <v>43470</v>
      </c>
      <c r="K536" s="54" t="s">
        <v>148</v>
      </c>
    </row>
    <row r="537" spans="3:11" x14ac:dyDescent="0.25">
      <c r="C537" s="54">
        <v>43446</v>
      </c>
      <c r="D537" s="55" t="s">
        <v>153</v>
      </c>
      <c r="E537" s="55" t="s">
        <v>147</v>
      </c>
      <c r="F537" s="56">
        <v>22</v>
      </c>
      <c r="G537" s="57">
        <v>1.0900000000000001</v>
      </c>
      <c r="H537" s="57">
        <f t="shared" si="14"/>
        <v>23.98</v>
      </c>
      <c r="I537" s="54">
        <f t="shared" si="15"/>
        <v>43471</v>
      </c>
      <c r="J537" s="54">
        <v>43470</v>
      </c>
      <c r="K537" s="54" t="s">
        <v>148</v>
      </c>
    </row>
    <row r="538" spans="3:11" x14ac:dyDescent="0.25">
      <c r="C538" s="54">
        <v>43449</v>
      </c>
      <c r="D538" s="55" t="s">
        <v>146</v>
      </c>
      <c r="E538" s="55" t="s">
        <v>147</v>
      </c>
      <c r="F538" s="56">
        <v>11</v>
      </c>
      <c r="G538" s="57">
        <v>1.55</v>
      </c>
      <c r="H538" s="57">
        <f t="shared" si="14"/>
        <v>17.05</v>
      </c>
      <c r="I538" s="54">
        <f t="shared" si="15"/>
        <v>43474</v>
      </c>
      <c r="J538" s="54">
        <v>43477</v>
      </c>
      <c r="K538" s="54" t="s">
        <v>148</v>
      </c>
    </row>
    <row r="539" spans="3:11" x14ac:dyDescent="0.25">
      <c r="C539" s="54">
        <v>43450</v>
      </c>
      <c r="D539" s="55" t="s">
        <v>153</v>
      </c>
      <c r="E539" s="55" t="s">
        <v>147</v>
      </c>
      <c r="F539" s="56">
        <v>6</v>
      </c>
      <c r="G539" s="57">
        <v>1.0900000000000001</v>
      </c>
      <c r="H539" s="57">
        <f t="shared" si="14"/>
        <v>6.5400000000000009</v>
      </c>
      <c r="I539" s="54">
        <f t="shared" si="15"/>
        <v>43475</v>
      </c>
      <c r="J539" s="54">
        <v>43474</v>
      </c>
      <c r="K539" s="54" t="s">
        <v>148</v>
      </c>
    </row>
    <row r="540" spans="3:11" x14ac:dyDescent="0.25">
      <c r="C540" s="54">
        <v>43451</v>
      </c>
      <c r="D540" s="55" t="s">
        <v>149</v>
      </c>
      <c r="E540" s="55" t="s">
        <v>150</v>
      </c>
      <c r="F540" s="56">
        <v>21</v>
      </c>
      <c r="G540" s="57">
        <v>2.12</v>
      </c>
      <c r="H540" s="57">
        <f t="shared" si="14"/>
        <v>44.52</v>
      </c>
      <c r="I540" s="54">
        <f t="shared" si="15"/>
        <v>43476</v>
      </c>
      <c r="J540" s="54">
        <v>43475</v>
      </c>
      <c r="K540" s="54" t="s">
        <v>148</v>
      </c>
    </row>
    <row r="541" spans="3:11" x14ac:dyDescent="0.25">
      <c r="C541" s="54">
        <v>43452</v>
      </c>
      <c r="D541" s="55" t="s">
        <v>146</v>
      </c>
      <c r="E541" s="55" t="s">
        <v>147</v>
      </c>
      <c r="F541" s="56">
        <v>17</v>
      </c>
      <c r="G541" s="57">
        <v>1.55</v>
      </c>
      <c r="H541" s="57">
        <f t="shared" ref="H541:H604" si="16">F541*G541</f>
        <v>26.35</v>
      </c>
      <c r="I541" s="54">
        <f t="shared" si="15"/>
        <v>43477</v>
      </c>
      <c r="J541" s="54">
        <v>43475</v>
      </c>
      <c r="K541" s="54" t="s">
        <v>148</v>
      </c>
    </row>
    <row r="542" spans="3:11" x14ac:dyDescent="0.25">
      <c r="C542" s="54">
        <v>43453</v>
      </c>
      <c r="D542" s="55" t="s">
        <v>153</v>
      </c>
      <c r="E542" s="55" t="s">
        <v>147</v>
      </c>
      <c r="F542" s="56">
        <v>18</v>
      </c>
      <c r="G542" s="57">
        <v>1.0900000000000001</v>
      </c>
      <c r="H542" s="57">
        <f t="shared" si="16"/>
        <v>19.62</v>
      </c>
      <c r="I542" s="54">
        <f t="shared" ref="I542:I605" si="17">+C542+25</f>
        <v>43478</v>
      </c>
      <c r="J542" s="54">
        <v>43478</v>
      </c>
      <c r="K542" s="54" t="s">
        <v>148</v>
      </c>
    </row>
    <row r="543" spans="3:11" x14ac:dyDescent="0.25">
      <c r="C543" s="54">
        <v>43456</v>
      </c>
      <c r="D543" s="55" t="s">
        <v>149</v>
      </c>
      <c r="E543" s="55" t="s">
        <v>150</v>
      </c>
      <c r="F543" s="56">
        <v>12</v>
      </c>
      <c r="G543" s="57">
        <v>2.12</v>
      </c>
      <c r="H543" s="57">
        <f t="shared" si="16"/>
        <v>25.44</v>
      </c>
      <c r="I543" s="54">
        <f t="shared" si="17"/>
        <v>43481</v>
      </c>
      <c r="J543" s="54">
        <v>43482</v>
      </c>
      <c r="K543" s="54" t="s">
        <v>148</v>
      </c>
    </row>
    <row r="544" spans="3:11" x14ac:dyDescent="0.25">
      <c r="C544" s="54">
        <v>43457</v>
      </c>
      <c r="D544" s="55" t="s">
        <v>154</v>
      </c>
      <c r="E544" s="55" t="s">
        <v>150</v>
      </c>
      <c r="F544" s="56">
        <v>17</v>
      </c>
      <c r="G544" s="57">
        <v>1.37</v>
      </c>
      <c r="H544" s="57">
        <f t="shared" si="16"/>
        <v>23.290000000000003</v>
      </c>
      <c r="I544" s="54">
        <f t="shared" si="17"/>
        <v>43482</v>
      </c>
      <c r="J544" s="54">
        <v>43482</v>
      </c>
      <c r="K544" s="54" t="s">
        <v>148</v>
      </c>
    </row>
    <row r="545" spans="3:11" x14ac:dyDescent="0.25">
      <c r="C545" s="54">
        <v>43458</v>
      </c>
      <c r="D545" s="55" t="s">
        <v>146</v>
      </c>
      <c r="E545" s="55" t="s">
        <v>147</v>
      </c>
      <c r="F545" s="56">
        <v>15</v>
      </c>
      <c r="G545" s="57">
        <v>1.55</v>
      </c>
      <c r="H545" s="57">
        <f t="shared" si="16"/>
        <v>23.25</v>
      </c>
      <c r="I545" s="54">
        <f t="shared" si="17"/>
        <v>43483</v>
      </c>
      <c r="J545" s="54">
        <v>43482</v>
      </c>
      <c r="K545" s="54" t="s">
        <v>148</v>
      </c>
    </row>
    <row r="546" spans="3:11" x14ac:dyDescent="0.25">
      <c r="C546" s="54">
        <v>43459</v>
      </c>
      <c r="D546" s="55" t="s">
        <v>152</v>
      </c>
      <c r="E546" s="55" t="s">
        <v>147</v>
      </c>
      <c r="F546" s="56">
        <v>23</v>
      </c>
      <c r="G546" s="57">
        <v>1.4</v>
      </c>
      <c r="H546" s="57">
        <f t="shared" si="16"/>
        <v>32.199999999999996</v>
      </c>
      <c r="I546" s="54">
        <f t="shared" si="17"/>
        <v>43484</v>
      </c>
      <c r="J546" s="54">
        <v>43482</v>
      </c>
      <c r="K546" s="54" t="s">
        <v>148</v>
      </c>
    </row>
    <row r="547" spans="3:11" x14ac:dyDescent="0.25">
      <c r="C547" s="54">
        <v>43460</v>
      </c>
      <c r="D547" s="55" t="s">
        <v>152</v>
      </c>
      <c r="E547" s="55" t="s">
        <v>147</v>
      </c>
      <c r="F547" s="56">
        <v>15</v>
      </c>
      <c r="G547" s="57">
        <v>1.4</v>
      </c>
      <c r="H547" s="57">
        <f t="shared" si="16"/>
        <v>21</v>
      </c>
      <c r="I547" s="54">
        <f t="shared" si="17"/>
        <v>43485</v>
      </c>
      <c r="J547" s="54">
        <v>43485</v>
      </c>
      <c r="K547" s="54" t="s">
        <v>148</v>
      </c>
    </row>
    <row r="548" spans="3:11" x14ac:dyDescent="0.25">
      <c r="C548" s="54">
        <v>43463</v>
      </c>
      <c r="D548" s="55" t="s">
        <v>153</v>
      </c>
      <c r="E548" s="55" t="s">
        <v>147</v>
      </c>
      <c r="F548" s="56">
        <v>9</v>
      </c>
      <c r="G548" s="57">
        <v>1.0900000000000001</v>
      </c>
      <c r="H548" s="57">
        <f t="shared" si="16"/>
        <v>9.81</v>
      </c>
      <c r="I548" s="54">
        <f t="shared" si="17"/>
        <v>43488</v>
      </c>
      <c r="J548" s="54">
        <v>43489</v>
      </c>
      <c r="K548" s="54" t="s">
        <v>148</v>
      </c>
    </row>
    <row r="549" spans="3:11" x14ac:dyDescent="0.25">
      <c r="C549" s="54">
        <v>43464</v>
      </c>
      <c r="D549" s="55" t="s">
        <v>149</v>
      </c>
      <c r="E549" s="55" t="s">
        <v>150</v>
      </c>
      <c r="F549" s="56">
        <v>18</v>
      </c>
      <c r="G549" s="57">
        <v>2.12</v>
      </c>
      <c r="H549" s="57">
        <f t="shared" si="16"/>
        <v>38.160000000000004</v>
      </c>
      <c r="I549" s="54">
        <f t="shared" si="17"/>
        <v>43489</v>
      </c>
      <c r="J549" s="54">
        <v>43489</v>
      </c>
      <c r="K549" s="54" t="s">
        <v>148</v>
      </c>
    </row>
    <row r="550" spans="3:11" x14ac:dyDescent="0.25">
      <c r="C550" s="54">
        <v>43465</v>
      </c>
      <c r="D550" s="55" t="s">
        <v>149</v>
      </c>
      <c r="E550" s="55" t="s">
        <v>150</v>
      </c>
      <c r="F550" s="56">
        <v>7</v>
      </c>
      <c r="G550" s="57">
        <v>2.12</v>
      </c>
      <c r="H550" s="57">
        <f t="shared" si="16"/>
        <v>14.84</v>
      </c>
      <c r="I550" s="54">
        <f t="shared" si="17"/>
        <v>43490</v>
      </c>
      <c r="J550" s="54">
        <v>43489</v>
      </c>
      <c r="K550" s="54" t="s">
        <v>148</v>
      </c>
    </row>
    <row r="551" spans="3:11" x14ac:dyDescent="0.25">
      <c r="C551" s="54">
        <v>43466</v>
      </c>
      <c r="D551" s="55" t="s">
        <v>146</v>
      </c>
      <c r="E551" s="55" t="s">
        <v>147</v>
      </c>
      <c r="F551" s="56">
        <v>12</v>
      </c>
      <c r="G551" s="57">
        <v>1.76</v>
      </c>
      <c r="H551" s="57">
        <f t="shared" si="16"/>
        <v>21.12</v>
      </c>
      <c r="I551" s="54">
        <f t="shared" si="17"/>
        <v>43491</v>
      </c>
      <c r="J551" s="54">
        <v>43489</v>
      </c>
      <c r="K551" s="54" t="s">
        <v>148</v>
      </c>
    </row>
    <row r="552" spans="3:11" x14ac:dyDescent="0.25">
      <c r="C552" s="54">
        <v>43467</v>
      </c>
      <c r="D552" s="55" t="s">
        <v>153</v>
      </c>
      <c r="E552" s="55" t="s">
        <v>147</v>
      </c>
      <c r="F552" s="56">
        <v>18</v>
      </c>
      <c r="G552" s="57">
        <v>1.19</v>
      </c>
      <c r="H552" s="57">
        <f t="shared" si="16"/>
        <v>21.419999999999998</v>
      </c>
      <c r="I552" s="54">
        <f t="shared" si="17"/>
        <v>43492</v>
      </c>
      <c r="J552" s="54">
        <v>43491</v>
      </c>
      <c r="K552" s="54" t="s">
        <v>148</v>
      </c>
    </row>
    <row r="553" spans="3:11" x14ac:dyDescent="0.25">
      <c r="C553" s="54">
        <v>43470</v>
      </c>
      <c r="D553" s="55" t="s">
        <v>146</v>
      </c>
      <c r="E553" s="55" t="s">
        <v>147</v>
      </c>
      <c r="F553" s="56">
        <v>15</v>
      </c>
      <c r="G553" s="57">
        <v>1.76</v>
      </c>
      <c r="H553" s="57">
        <f t="shared" si="16"/>
        <v>26.4</v>
      </c>
      <c r="I553" s="54">
        <f t="shared" si="17"/>
        <v>43495</v>
      </c>
      <c r="J553" s="54">
        <v>43493</v>
      </c>
      <c r="K553" s="54" t="s">
        <v>148</v>
      </c>
    </row>
    <row r="554" spans="3:11" x14ac:dyDescent="0.25">
      <c r="C554" s="54">
        <v>43471</v>
      </c>
      <c r="D554" s="55" t="s">
        <v>153</v>
      </c>
      <c r="E554" s="55" t="s">
        <v>147</v>
      </c>
      <c r="F554" s="56">
        <v>23</v>
      </c>
      <c r="G554" s="57">
        <v>1.19</v>
      </c>
      <c r="H554" s="57">
        <f t="shared" si="16"/>
        <v>27.369999999999997</v>
      </c>
      <c r="I554" s="54">
        <f t="shared" si="17"/>
        <v>43496</v>
      </c>
      <c r="J554" s="54">
        <v>43496</v>
      </c>
      <c r="K554" s="54" t="s">
        <v>148</v>
      </c>
    </row>
    <row r="555" spans="3:11" x14ac:dyDescent="0.25">
      <c r="C555" s="54">
        <v>43472</v>
      </c>
      <c r="D555" s="55" t="s">
        <v>149</v>
      </c>
      <c r="E555" s="55" t="s">
        <v>150</v>
      </c>
      <c r="F555" s="56">
        <v>19</v>
      </c>
      <c r="G555" s="57">
        <v>2.35</v>
      </c>
      <c r="H555" s="57">
        <f t="shared" si="16"/>
        <v>44.65</v>
      </c>
      <c r="I555" s="54">
        <f t="shared" si="17"/>
        <v>43497</v>
      </c>
      <c r="J555" s="54">
        <v>43495</v>
      </c>
      <c r="K555" s="54" t="s">
        <v>148</v>
      </c>
    </row>
    <row r="556" spans="3:11" x14ac:dyDescent="0.25">
      <c r="C556" s="54">
        <v>43473</v>
      </c>
      <c r="D556" s="55" t="s">
        <v>146</v>
      </c>
      <c r="E556" s="55" t="s">
        <v>147</v>
      </c>
      <c r="F556" s="56">
        <v>12</v>
      </c>
      <c r="G556" s="57">
        <v>1.76</v>
      </c>
      <c r="H556" s="57">
        <f t="shared" si="16"/>
        <v>21.12</v>
      </c>
      <c r="I556" s="54">
        <f t="shared" si="17"/>
        <v>43498</v>
      </c>
      <c r="J556" s="54">
        <v>43498</v>
      </c>
      <c r="K556" s="54" t="s">
        <v>148</v>
      </c>
    </row>
    <row r="557" spans="3:11" x14ac:dyDescent="0.25">
      <c r="C557" s="54">
        <v>43474</v>
      </c>
      <c r="D557" s="55" t="s">
        <v>146</v>
      </c>
      <c r="E557" s="55" t="s">
        <v>147</v>
      </c>
      <c r="F557" s="56">
        <v>20</v>
      </c>
      <c r="G557" s="57">
        <v>1.76</v>
      </c>
      <c r="H557" s="57">
        <f t="shared" si="16"/>
        <v>35.200000000000003</v>
      </c>
      <c r="I557" s="54">
        <f t="shared" si="17"/>
        <v>43499</v>
      </c>
      <c r="J557" s="54">
        <v>43498</v>
      </c>
      <c r="K557" s="54" t="s">
        <v>148</v>
      </c>
    </row>
    <row r="558" spans="3:11" x14ac:dyDescent="0.25">
      <c r="C558" s="54">
        <v>43477</v>
      </c>
      <c r="D558" s="55" t="s">
        <v>146</v>
      </c>
      <c r="E558" s="55" t="s">
        <v>147</v>
      </c>
      <c r="F558" s="56">
        <v>26</v>
      </c>
      <c r="G558" s="57">
        <v>1.76</v>
      </c>
      <c r="H558" s="57">
        <f t="shared" si="16"/>
        <v>45.76</v>
      </c>
      <c r="I558" s="54">
        <f t="shared" si="17"/>
        <v>43502</v>
      </c>
      <c r="J558" s="54">
        <v>43500</v>
      </c>
      <c r="K558" s="54" t="s">
        <v>148</v>
      </c>
    </row>
    <row r="559" spans="3:11" x14ac:dyDescent="0.25">
      <c r="C559" s="54">
        <v>43478</v>
      </c>
      <c r="D559" s="55" t="s">
        <v>151</v>
      </c>
      <c r="E559" s="55" t="s">
        <v>150</v>
      </c>
      <c r="F559" s="56">
        <v>20</v>
      </c>
      <c r="G559" s="57">
        <v>2.39</v>
      </c>
      <c r="H559" s="57">
        <f t="shared" si="16"/>
        <v>47.800000000000004</v>
      </c>
      <c r="I559" s="54">
        <f t="shared" si="17"/>
        <v>43503</v>
      </c>
      <c r="J559" s="54">
        <v>43501</v>
      </c>
      <c r="K559" s="54" t="s">
        <v>148</v>
      </c>
    </row>
    <row r="560" spans="3:11" x14ac:dyDescent="0.25">
      <c r="C560" s="54">
        <v>43479</v>
      </c>
      <c r="D560" s="55" t="s">
        <v>146</v>
      </c>
      <c r="E560" s="55" t="s">
        <v>147</v>
      </c>
      <c r="F560" s="56">
        <v>6</v>
      </c>
      <c r="G560" s="57">
        <v>1.76</v>
      </c>
      <c r="H560" s="57">
        <f t="shared" si="16"/>
        <v>10.56</v>
      </c>
      <c r="I560" s="54">
        <f t="shared" si="17"/>
        <v>43504</v>
      </c>
      <c r="J560" s="54">
        <v>43505</v>
      </c>
      <c r="K560" s="54" t="s">
        <v>148</v>
      </c>
    </row>
    <row r="561" spans="3:11" x14ac:dyDescent="0.25">
      <c r="C561" s="54">
        <v>43480</v>
      </c>
      <c r="D561" s="55" t="s">
        <v>149</v>
      </c>
      <c r="E561" s="55" t="s">
        <v>150</v>
      </c>
      <c r="F561" s="56">
        <v>21</v>
      </c>
      <c r="G561" s="57">
        <v>2.35</v>
      </c>
      <c r="H561" s="57">
        <f t="shared" si="16"/>
        <v>49.35</v>
      </c>
      <c r="I561" s="54">
        <f t="shared" si="17"/>
        <v>43505</v>
      </c>
      <c r="J561" s="54">
        <v>43504</v>
      </c>
      <c r="K561" s="54" t="s">
        <v>148</v>
      </c>
    </row>
    <row r="562" spans="3:11" x14ac:dyDescent="0.25">
      <c r="C562" s="54">
        <v>43481</v>
      </c>
      <c r="D562" s="55" t="s">
        <v>153</v>
      </c>
      <c r="E562" s="55" t="s">
        <v>147</v>
      </c>
      <c r="F562" s="56">
        <v>13</v>
      </c>
      <c r="G562" s="57">
        <v>1.19</v>
      </c>
      <c r="H562" s="57">
        <f t="shared" si="16"/>
        <v>15.469999999999999</v>
      </c>
      <c r="I562" s="54">
        <f t="shared" si="17"/>
        <v>43506</v>
      </c>
      <c r="J562" s="54">
        <v>43505</v>
      </c>
      <c r="K562" s="54" t="s">
        <v>148</v>
      </c>
    </row>
    <row r="563" spans="3:11" x14ac:dyDescent="0.25">
      <c r="C563" s="54">
        <v>43484</v>
      </c>
      <c r="D563" s="55" t="s">
        <v>149</v>
      </c>
      <c r="E563" s="55" t="s">
        <v>150</v>
      </c>
      <c r="F563" s="56">
        <v>11</v>
      </c>
      <c r="G563" s="57">
        <v>2.35</v>
      </c>
      <c r="H563" s="57">
        <f t="shared" si="16"/>
        <v>25.85</v>
      </c>
      <c r="I563" s="54">
        <f t="shared" si="17"/>
        <v>43509</v>
      </c>
      <c r="J563" s="54">
        <v>43507</v>
      </c>
      <c r="K563" s="54" t="s">
        <v>148</v>
      </c>
    </row>
    <row r="564" spans="3:11" x14ac:dyDescent="0.25">
      <c r="C564" s="54">
        <v>43485</v>
      </c>
      <c r="D564" s="55" t="s">
        <v>153</v>
      </c>
      <c r="E564" s="55" t="s">
        <v>147</v>
      </c>
      <c r="F564" s="56">
        <v>8</v>
      </c>
      <c r="G564" s="57">
        <v>1.19</v>
      </c>
      <c r="H564" s="57">
        <f t="shared" si="16"/>
        <v>9.52</v>
      </c>
      <c r="I564" s="54">
        <f t="shared" si="17"/>
        <v>43510</v>
      </c>
      <c r="J564" s="54">
        <v>43510</v>
      </c>
      <c r="K564" s="54" t="s">
        <v>148</v>
      </c>
    </row>
    <row r="565" spans="3:11" x14ac:dyDescent="0.25">
      <c r="C565" s="54">
        <v>43486</v>
      </c>
      <c r="D565" s="55" t="s">
        <v>146</v>
      </c>
      <c r="E565" s="55" t="s">
        <v>147</v>
      </c>
      <c r="F565" s="56">
        <v>18</v>
      </c>
      <c r="G565" s="57">
        <v>1.76</v>
      </c>
      <c r="H565" s="57">
        <f t="shared" si="16"/>
        <v>31.68</v>
      </c>
      <c r="I565" s="54">
        <f t="shared" si="17"/>
        <v>43511</v>
      </c>
      <c r="J565" s="54">
        <v>43511</v>
      </c>
      <c r="K565" s="54" t="s">
        <v>148</v>
      </c>
    </row>
    <row r="566" spans="3:11" x14ac:dyDescent="0.25">
      <c r="C566" s="54">
        <v>43487</v>
      </c>
      <c r="D566" s="55" t="s">
        <v>152</v>
      </c>
      <c r="E566" s="55" t="s">
        <v>147</v>
      </c>
      <c r="F566" s="56">
        <v>19</v>
      </c>
      <c r="G566" s="57">
        <v>1.69</v>
      </c>
      <c r="H566" s="57">
        <f t="shared" si="16"/>
        <v>32.11</v>
      </c>
      <c r="I566" s="54">
        <f t="shared" si="17"/>
        <v>43512</v>
      </c>
      <c r="J566" s="54">
        <v>43512</v>
      </c>
      <c r="K566" s="54" t="s">
        <v>148</v>
      </c>
    </row>
    <row r="567" spans="3:11" x14ac:dyDescent="0.25">
      <c r="C567" s="54">
        <v>43488</v>
      </c>
      <c r="D567" s="55" t="s">
        <v>146</v>
      </c>
      <c r="E567" s="55" t="s">
        <v>147</v>
      </c>
      <c r="F567" s="56">
        <v>14</v>
      </c>
      <c r="G567" s="57">
        <v>1.76</v>
      </c>
      <c r="H567" s="57">
        <f t="shared" si="16"/>
        <v>24.64</v>
      </c>
      <c r="I567" s="54">
        <f t="shared" si="17"/>
        <v>43513</v>
      </c>
      <c r="J567" s="54">
        <v>43512</v>
      </c>
      <c r="K567" s="54" t="s">
        <v>148</v>
      </c>
    </row>
    <row r="568" spans="3:11" x14ac:dyDescent="0.25">
      <c r="C568" s="54">
        <v>43491</v>
      </c>
      <c r="D568" s="55" t="s">
        <v>149</v>
      </c>
      <c r="E568" s="55" t="s">
        <v>150</v>
      </c>
      <c r="F568" s="56">
        <v>7</v>
      </c>
      <c r="G568" s="57">
        <v>2.35</v>
      </c>
      <c r="H568" s="57">
        <f t="shared" si="16"/>
        <v>16.45</v>
      </c>
      <c r="I568" s="54">
        <f t="shared" si="17"/>
        <v>43516</v>
      </c>
      <c r="J568" s="54">
        <v>43514</v>
      </c>
      <c r="K568" s="54" t="s">
        <v>148</v>
      </c>
    </row>
    <row r="569" spans="3:11" x14ac:dyDescent="0.25">
      <c r="C569" s="54">
        <v>43492</v>
      </c>
      <c r="D569" s="55" t="s">
        <v>149</v>
      </c>
      <c r="E569" s="55" t="s">
        <v>150</v>
      </c>
      <c r="F569" s="56">
        <v>19</v>
      </c>
      <c r="G569" s="57">
        <v>2.35</v>
      </c>
      <c r="H569" s="57">
        <f t="shared" si="16"/>
        <v>44.65</v>
      </c>
      <c r="I569" s="54">
        <f t="shared" si="17"/>
        <v>43517</v>
      </c>
      <c r="J569" s="54">
        <v>43515</v>
      </c>
      <c r="K569" s="54" t="s">
        <v>148</v>
      </c>
    </row>
    <row r="570" spans="3:11" x14ac:dyDescent="0.25">
      <c r="C570" s="54">
        <v>43493</v>
      </c>
      <c r="D570" s="55" t="s">
        <v>154</v>
      </c>
      <c r="E570" s="55" t="s">
        <v>150</v>
      </c>
      <c r="F570" s="56">
        <v>6</v>
      </c>
      <c r="G570" s="57">
        <v>1.66</v>
      </c>
      <c r="H570" s="57">
        <f t="shared" si="16"/>
        <v>9.9599999999999991</v>
      </c>
      <c r="I570" s="54">
        <f t="shared" si="17"/>
        <v>43518</v>
      </c>
      <c r="J570" s="54">
        <v>43518</v>
      </c>
      <c r="K570" s="54" t="s">
        <v>148</v>
      </c>
    </row>
    <row r="571" spans="3:11" x14ac:dyDescent="0.25">
      <c r="C571" s="54">
        <v>43494</v>
      </c>
      <c r="D571" s="55" t="s">
        <v>153</v>
      </c>
      <c r="E571" s="55" t="s">
        <v>147</v>
      </c>
      <c r="F571" s="56">
        <v>21</v>
      </c>
      <c r="G571" s="57">
        <v>1.19</v>
      </c>
      <c r="H571" s="57">
        <f t="shared" si="16"/>
        <v>24.99</v>
      </c>
      <c r="I571" s="54">
        <f t="shared" si="17"/>
        <v>43519</v>
      </c>
      <c r="J571" s="54">
        <v>43518</v>
      </c>
      <c r="K571" s="54" t="s">
        <v>148</v>
      </c>
    </row>
    <row r="572" spans="3:11" x14ac:dyDescent="0.25">
      <c r="C572" s="54">
        <v>43495</v>
      </c>
      <c r="D572" s="55" t="s">
        <v>153</v>
      </c>
      <c r="E572" s="55" t="s">
        <v>147</v>
      </c>
      <c r="F572" s="56">
        <v>12</v>
      </c>
      <c r="G572" s="57">
        <v>1.19</v>
      </c>
      <c r="H572" s="57">
        <f t="shared" si="16"/>
        <v>14.28</v>
      </c>
      <c r="I572" s="54">
        <f t="shared" si="17"/>
        <v>43520</v>
      </c>
      <c r="J572" s="54">
        <v>43520</v>
      </c>
      <c r="K572" s="54" t="s">
        <v>148</v>
      </c>
    </row>
    <row r="573" spans="3:11" x14ac:dyDescent="0.25">
      <c r="C573" s="54">
        <v>43498</v>
      </c>
      <c r="D573" s="55" t="s">
        <v>149</v>
      </c>
      <c r="E573" s="55" t="s">
        <v>150</v>
      </c>
      <c r="F573" s="56">
        <v>16</v>
      </c>
      <c r="G573" s="57">
        <v>2.35</v>
      </c>
      <c r="H573" s="57">
        <f t="shared" si="16"/>
        <v>37.6</v>
      </c>
      <c r="I573" s="54">
        <f t="shared" si="17"/>
        <v>43523</v>
      </c>
      <c r="J573" s="54">
        <v>43522</v>
      </c>
      <c r="K573" s="54" t="s">
        <v>148</v>
      </c>
    </row>
    <row r="574" spans="3:11" x14ac:dyDescent="0.25">
      <c r="C574" s="54">
        <v>43499</v>
      </c>
      <c r="D574" s="55" t="s">
        <v>153</v>
      </c>
      <c r="E574" s="55" t="s">
        <v>147</v>
      </c>
      <c r="F574" s="56">
        <v>24</v>
      </c>
      <c r="G574" s="57">
        <v>1.19</v>
      </c>
      <c r="H574" s="57">
        <f t="shared" si="16"/>
        <v>28.56</v>
      </c>
      <c r="I574" s="54">
        <f t="shared" si="17"/>
        <v>43524</v>
      </c>
      <c r="J574" s="54">
        <v>43522</v>
      </c>
      <c r="K574" s="54" t="s">
        <v>148</v>
      </c>
    </row>
    <row r="575" spans="3:11" x14ac:dyDescent="0.25">
      <c r="C575" s="54">
        <v>43500</v>
      </c>
      <c r="D575" s="55" t="s">
        <v>154</v>
      </c>
      <c r="E575" s="55" t="s">
        <v>150</v>
      </c>
      <c r="F575" s="56">
        <v>10</v>
      </c>
      <c r="G575" s="57">
        <v>1.66</v>
      </c>
      <c r="H575" s="57">
        <f t="shared" si="16"/>
        <v>16.599999999999998</v>
      </c>
      <c r="I575" s="54">
        <f t="shared" si="17"/>
        <v>43525</v>
      </c>
      <c r="J575" s="54">
        <v>43523</v>
      </c>
      <c r="K575" s="54" t="s">
        <v>148</v>
      </c>
    </row>
    <row r="576" spans="3:11" x14ac:dyDescent="0.25">
      <c r="C576" s="54">
        <v>43501</v>
      </c>
      <c r="D576" s="55" t="s">
        <v>146</v>
      </c>
      <c r="E576" s="55" t="s">
        <v>147</v>
      </c>
      <c r="F576" s="56">
        <v>23</v>
      </c>
      <c r="G576" s="57">
        <v>1.76</v>
      </c>
      <c r="H576" s="57">
        <f t="shared" si="16"/>
        <v>40.479999999999997</v>
      </c>
      <c r="I576" s="54">
        <f t="shared" si="17"/>
        <v>43526</v>
      </c>
      <c r="J576" s="54">
        <v>43529</v>
      </c>
      <c r="K576" s="54" t="s">
        <v>148</v>
      </c>
    </row>
    <row r="577" spans="3:11" x14ac:dyDescent="0.25">
      <c r="C577" s="54">
        <v>43502</v>
      </c>
      <c r="D577" s="55" t="s">
        <v>154</v>
      </c>
      <c r="E577" s="55" t="s">
        <v>150</v>
      </c>
      <c r="F577" s="56">
        <v>26</v>
      </c>
      <c r="G577" s="57">
        <v>1.66</v>
      </c>
      <c r="H577" s="57">
        <f t="shared" si="16"/>
        <v>43.16</v>
      </c>
      <c r="I577" s="54">
        <f t="shared" si="17"/>
        <v>43527</v>
      </c>
      <c r="J577" s="54">
        <v>43526</v>
      </c>
      <c r="K577" s="54" t="s">
        <v>148</v>
      </c>
    </row>
    <row r="578" spans="3:11" x14ac:dyDescent="0.25">
      <c r="C578" s="54">
        <v>43505</v>
      </c>
      <c r="D578" s="55" t="s">
        <v>152</v>
      </c>
      <c r="E578" s="55" t="s">
        <v>147</v>
      </c>
      <c r="F578" s="56">
        <v>14</v>
      </c>
      <c r="G578" s="57">
        <v>1.69</v>
      </c>
      <c r="H578" s="57">
        <f t="shared" si="16"/>
        <v>23.66</v>
      </c>
      <c r="I578" s="54">
        <f t="shared" si="17"/>
        <v>43530</v>
      </c>
      <c r="J578" s="54">
        <v>43529</v>
      </c>
      <c r="K578" s="54" t="s">
        <v>148</v>
      </c>
    </row>
    <row r="579" spans="3:11" x14ac:dyDescent="0.25">
      <c r="C579" s="54">
        <v>43506</v>
      </c>
      <c r="D579" s="55" t="s">
        <v>146</v>
      </c>
      <c r="E579" s="55" t="s">
        <v>147</v>
      </c>
      <c r="F579" s="56">
        <v>19</v>
      </c>
      <c r="G579" s="57">
        <v>1.76</v>
      </c>
      <c r="H579" s="57">
        <f t="shared" si="16"/>
        <v>33.44</v>
      </c>
      <c r="I579" s="54">
        <f t="shared" si="17"/>
        <v>43531</v>
      </c>
      <c r="J579" s="54">
        <v>43529</v>
      </c>
      <c r="K579" s="54" t="s">
        <v>148</v>
      </c>
    </row>
    <row r="580" spans="3:11" x14ac:dyDescent="0.25">
      <c r="C580" s="54">
        <v>43507</v>
      </c>
      <c r="D580" s="55" t="s">
        <v>152</v>
      </c>
      <c r="E580" s="55" t="s">
        <v>147</v>
      </c>
      <c r="F580" s="56">
        <v>25</v>
      </c>
      <c r="G580" s="57">
        <v>1.69</v>
      </c>
      <c r="H580" s="57">
        <f t="shared" si="16"/>
        <v>42.25</v>
      </c>
      <c r="I580" s="54">
        <f t="shared" si="17"/>
        <v>43532</v>
      </c>
      <c r="J580" s="54">
        <v>43532</v>
      </c>
      <c r="K580" s="54" t="s">
        <v>148</v>
      </c>
    </row>
    <row r="581" spans="3:11" x14ac:dyDescent="0.25">
      <c r="C581" s="54">
        <v>43508</v>
      </c>
      <c r="D581" s="55" t="s">
        <v>146</v>
      </c>
      <c r="E581" s="55" t="s">
        <v>147</v>
      </c>
      <c r="F581" s="56">
        <v>20</v>
      </c>
      <c r="G581" s="57">
        <v>1.76</v>
      </c>
      <c r="H581" s="57">
        <f t="shared" si="16"/>
        <v>35.200000000000003</v>
      </c>
      <c r="I581" s="54">
        <f t="shared" si="17"/>
        <v>43533</v>
      </c>
      <c r="J581" s="54">
        <v>43534</v>
      </c>
      <c r="K581" s="54" t="s">
        <v>148</v>
      </c>
    </row>
    <row r="582" spans="3:11" x14ac:dyDescent="0.25">
      <c r="C582" s="54">
        <v>43509</v>
      </c>
      <c r="D582" s="55" t="s">
        <v>152</v>
      </c>
      <c r="E582" s="55" t="s">
        <v>147</v>
      </c>
      <c r="F582" s="56">
        <v>24</v>
      </c>
      <c r="G582" s="57">
        <v>1.69</v>
      </c>
      <c r="H582" s="57">
        <f t="shared" si="16"/>
        <v>40.56</v>
      </c>
      <c r="I582" s="54">
        <f t="shared" si="17"/>
        <v>43534</v>
      </c>
      <c r="J582" s="54">
        <v>43534</v>
      </c>
      <c r="K582" s="54" t="s">
        <v>148</v>
      </c>
    </row>
    <row r="583" spans="3:11" x14ac:dyDescent="0.25">
      <c r="C583" s="54">
        <v>43512</v>
      </c>
      <c r="D583" s="55" t="s">
        <v>146</v>
      </c>
      <c r="E583" s="55" t="s">
        <v>147</v>
      </c>
      <c r="F583" s="56">
        <v>7</v>
      </c>
      <c r="G583" s="57">
        <v>1.76</v>
      </c>
      <c r="H583" s="57">
        <f t="shared" si="16"/>
        <v>12.32</v>
      </c>
      <c r="I583" s="54">
        <f t="shared" si="17"/>
        <v>43537</v>
      </c>
      <c r="J583" s="54">
        <v>43536</v>
      </c>
      <c r="K583" s="54" t="s">
        <v>148</v>
      </c>
    </row>
    <row r="584" spans="3:11" x14ac:dyDescent="0.25">
      <c r="C584" s="54">
        <v>43513</v>
      </c>
      <c r="D584" s="55" t="s">
        <v>149</v>
      </c>
      <c r="E584" s="55" t="s">
        <v>150</v>
      </c>
      <c r="F584" s="56">
        <v>20</v>
      </c>
      <c r="G584" s="57">
        <v>2.35</v>
      </c>
      <c r="H584" s="57">
        <f t="shared" si="16"/>
        <v>47</v>
      </c>
      <c r="I584" s="54">
        <f t="shared" si="17"/>
        <v>43538</v>
      </c>
      <c r="J584" s="54">
        <v>43536</v>
      </c>
      <c r="K584" s="54" t="s">
        <v>148</v>
      </c>
    </row>
    <row r="585" spans="3:11" x14ac:dyDescent="0.25">
      <c r="C585" s="54">
        <v>43514</v>
      </c>
      <c r="D585" s="55" t="s">
        <v>153</v>
      </c>
      <c r="E585" s="55" t="s">
        <v>147</v>
      </c>
      <c r="F585" s="56">
        <v>6</v>
      </c>
      <c r="G585" s="57">
        <v>1.19</v>
      </c>
      <c r="H585" s="57">
        <f t="shared" si="16"/>
        <v>7.14</v>
      </c>
      <c r="I585" s="54">
        <f t="shared" si="17"/>
        <v>43539</v>
      </c>
      <c r="J585" s="54">
        <v>43539</v>
      </c>
      <c r="K585" s="54" t="s">
        <v>148</v>
      </c>
    </row>
    <row r="586" spans="3:11" x14ac:dyDescent="0.25">
      <c r="C586" s="54">
        <v>43515</v>
      </c>
      <c r="D586" s="55" t="s">
        <v>146</v>
      </c>
      <c r="E586" s="55" t="s">
        <v>147</v>
      </c>
      <c r="F586" s="56">
        <v>23</v>
      </c>
      <c r="G586" s="57">
        <v>1.76</v>
      </c>
      <c r="H586" s="57">
        <f t="shared" si="16"/>
        <v>40.479999999999997</v>
      </c>
      <c r="I586" s="54">
        <f t="shared" si="17"/>
        <v>43540</v>
      </c>
      <c r="J586" s="54">
        <v>43538</v>
      </c>
      <c r="K586" s="54" t="s">
        <v>148</v>
      </c>
    </row>
    <row r="587" spans="3:11" x14ac:dyDescent="0.25">
      <c r="C587" s="54">
        <v>43516</v>
      </c>
      <c r="D587" s="55" t="s">
        <v>146</v>
      </c>
      <c r="E587" s="55" t="s">
        <v>147</v>
      </c>
      <c r="F587" s="56">
        <v>20</v>
      </c>
      <c r="G587" s="57">
        <v>1.76</v>
      </c>
      <c r="H587" s="57">
        <f t="shared" si="16"/>
        <v>35.200000000000003</v>
      </c>
      <c r="I587" s="54">
        <f t="shared" si="17"/>
        <v>43541</v>
      </c>
      <c r="J587" s="54">
        <v>43541</v>
      </c>
      <c r="K587" s="54" t="s">
        <v>148</v>
      </c>
    </row>
    <row r="588" spans="3:11" x14ac:dyDescent="0.25">
      <c r="C588" s="54">
        <v>43519</v>
      </c>
      <c r="D588" s="55" t="s">
        <v>153</v>
      </c>
      <c r="E588" s="55" t="s">
        <v>147</v>
      </c>
      <c r="F588" s="56">
        <v>7</v>
      </c>
      <c r="G588" s="57">
        <v>1.19</v>
      </c>
      <c r="H588" s="57">
        <f t="shared" si="16"/>
        <v>8.33</v>
      </c>
      <c r="I588" s="54">
        <f t="shared" si="17"/>
        <v>43544</v>
      </c>
      <c r="J588" s="54">
        <v>43543</v>
      </c>
      <c r="K588" s="54" t="s">
        <v>148</v>
      </c>
    </row>
    <row r="589" spans="3:11" x14ac:dyDescent="0.25">
      <c r="C589" s="54">
        <v>43520</v>
      </c>
      <c r="D589" s="55" t="s">
        <v>151</v>
      </c>
      <c r="E589" s="55" t="s">
        <v>150</v>
      </c>
      <c r="F589" s="56">
        <v>10</v>
      </c>
      <c r="G589" s="57">
        <v>2.39</v>
      </c>
      <c r="H589" s="57">
        <f t="shared" si="16"/>
        <v>23.900000000000002</v>
      </c>
      <c r="I589" s="54">
        <f t="shared" si="17"/>
        <v>43545</v>
      </c>
      <c r="J589" s="54">
        <v>43543</v>
      </c>
      <c r="K589" s="54" t="s">
        <v>148</v>
      </c>
    </row>
    <row r="590" spans="3:11" x14ac:dyDescent="0.25">
      <c r="C590" s="54">
        <v>43521</v>
      </c>
      <c r="D590" s="55" t="s">
        <v>146</v>
      </c>
      <c r="E590" s="55" t="s">
        <v>147</v>
      </c>
      <c r="F590" s="56">
        <v>12</v>
      </c>
      <c r="G590" s="57">
        <v>1.76</v>
      </c>
      <c r="H590" s="57">
        <f t="shared" si="16"/>
        <v>21.12</v>
      </c>
      <c r="I590" s="54">
        <f t="shared" si="17"/>
        <v>43546</v>
      </c>
      <c r="J590" s="54">
        <v>43545</v>
      </c>
      <c r="K590" s="54" t="s">
        <v>148</v>
      </c>
    </row>
    <row r="591" spans="3:11" x14ac:dyDescent="0.25">
      <c r="C591" s="54">
        <v>43522</v>
      </c>
      <c r="D591" s="55" t="s">
        <v>149</v>
      </c>
      <c r="E591" s="55" t="s">
        <v>150</v>
      </c>
      <c r="F591" s="56">
        <v>9</v>
      </c>
      <c r="G591" s="57">
        <v>2.35</v>
      </c>
      <c r="H591" s="57">
        <f t="shared" si="16"/>
        <v>21.150000000000002</v>
      </c>
      <c r="I591" s="54">
        <f t="shared" si="17"/>
        <v>43547</v>
      </c>
      <c r="J591" s="54">
        <v>43547</v>
      </c>
      <c r="K591" s="54" t="s">
        <v>148</v>
      </c>
    </row>
    <row r="592" spans="3:11" x14ac:dyDescent="0.25">
      <c r="C592" s="54">
        <v>43523</v>
      </c>
      <c r="D592" s="55" t="s">
        <v>146</v>
      </c>
      <c r="E592" s="55" t="s">
        <v>147</v>
      </c>
      <c r="F592" s="56">
        <v>10</v>
      </c>
      <c r="G592" s="57">
        <v>1.76</v>
      </c>
      <c r="H592" s="57">
        <f t="shared" si="16"/>
        <v>17.600000000000001</v>
      </c>
      <c r="I592" s="54">
        <f t="shared" si="17"/>
        <v>43548</v>
      </c>
      <c r="J592" s="54">
        <v>43547</v>
      </c>
      <c r="K592" s="54" t="s">
        <v>148</v>
      </c>
    </row>
    <row r="593" spans="3:11" x14ac:dyDescent="0.25">
      <c r="C593" s="54">
        <v>43526</v>
      </c>
      <c r="D593" s="55" t="s">
        <v>151</v>
      </c>
      <c r="E593" s="55" t="s">
        <v>150</v>
      </c>
      <c r="F593" s="56">
        <v>23</v>
      </c>
      <c r="G593" s="57">
        <v>2.39</v>
      </c>
      <c r="H593" s="57">
        <f t="shared" si="16"/>
        <v>54.970000000000006</v>
      </c>
      <c r="I593" s="54">
        <f t="shared" si="17"/>
        <v>43551</v>
      </c>
      <c r="J593" s="54">
        <v>43550</v>
      </c>
      <c r="K593" s="54" t="s">
        <v>148</v>
      </c>
    </row>
    <row r="594" spans="3:11" x14ac:dyDescent="0.25">
      <c r="C594" s="54">
        <v>43527</v>
      </c>
      <c r="D594" s="55" t="s">
        <v>153</v>
      </c>
      <c r="E594" s="55" t="s">
        <v>147</v>
      </c>
      <c r="F594" s="56">
        <v>16</v>
      </c>
      <c r="G594" s="57">
        <v>1.19</v>
      </c>
      <c r="H594" s="57">
        <f t="shared" si="16"/>
        <v>19.04</v>
      </c>
      <c r="I594" s="54">
        <f t="shared" si="17"/>
        <v>43552</v>
      </c>
      <c r="J594" s="54">
        <v>43550</v>
      </c>
      <c r="K594" s="54" t="s">
        <v>148</v>
      </c>
    </row>
    <row r="595" spans="3:11" x14ac:dyDescent="0.25">
      <c r="C595" s="54">
        <v>43528</v>
      </c>
      <c r="D595" s="55" t="s">
        <v>151</v>
      </c>
      <c r="E595" s="55" t="s">
        <v>150</v>
      </c>
      <c r="F595" s="56">
        <v>12</v>
      </c>
      <c r="G595" s="57">
        <v>2.39</v>
      </c>
      <c r="H595" s="57">
        <f t="shared" si="16"/>
        <v>28.68</v>
      </c>
      <c r="I595" s="54">
        <f t="shared" si="17"/>
        <v>43553</v>
      </c>
      <c r="J595" s="54">
        <v>43553</v>
      </c>
      <c r="K595" s="54" t="s">
        <v>148</v>
      </c>
    </row>
    <row r="596" spans="3:11" x14ac:dyDescent="0.25">
      <c r="C596" s="54">
        <v>43529</v>
      </c>
      <c r="D596" s="55" t="s">
        <v>149</v>
      </c>
      <c r="E596" s="55" t="s">
        <v>150</v>
      </c>
      <c r="F596" s="56">
        <v>14</v>
      </c>
      <c r="G596" s="57">
        <v>2.35</v>
      </c>
      <c r="H596" s="57">
        <f t="shared" si="16"/>
        <v>32.9</v>
      </c>
      <c r="I596" s="54">
        <f t="shared" si="17"/>
        <v>43554</v>
      </c>
      <c r="J596" s="54">
        <v>43554</v>
      </c>
      <c r="K596" s="54" t="s">
        <v>148</v>
      </c>
    </row>
    <row r="597" spans="3:11" x14ac:dyDescent="0.25">
      <c r="C597" s="54">
        <v>43530</v>
      </c>
      <c r="D597" s="55" t="s">
        <v>151</v>
      </c>
      <c r="E597" s="55" t="s">
        <v>150</v>
      </c>
      <c r="F597" s="56">
        <v>6</v>
      </c>
      <c r="G597" s="57">
        <v>2.39</v>
      </c>
      <c r="H597" s="57">
        <f t="shared" si="16"/>
        <v>14.34</v>
      </c>
      <c r="I597" s="54">
        <f t="shared" si="17"/>
        <v>43555</v>
      </c>
      <c r="J597" s="54">
        <v>43555</v>
      </c>
      <c r="K597" s="54" t="s">
        <v>148</v>
      </c>
    </row>
    <row r="598" spans="3:11" x14ac:dyDescent="0.25">
      <c r="C598" s="54">
        <v>43533</v>
      </c>
      <c r="D598" s="55" t="s">
        <v>152</v>
      </c>
      <c r="E598" s="55" t="s">
        <v>147</v>
      </c>
      <c r="F598" s="56">
        <v>19</v>
      </c>
      <c r="G598" s="57">
        <v>1.69</v>
      </c>
      <c r="H598" s="57">
        <f t="shared" si="16"/>
        <v>32.11</v>
      </c>
      <c r="I598" s="54">
        <f t="shared" si="17"/>
        <v>43558</v>
      </c>
      <c r="J598" s="54">
        <v>43557</v>
      </c>
      <c r="K598" s="54" t="s">
        <v>148</v>
      </c>
    </row>
    <row r="599" spans="3:11" x14ac:dyDescent="0.25">
      <c r="C599" s="54">
        <v>43534</v>
      </c>
      <c r="D599" s="55" t="s">
        <v>154</v>
      </c>
      <c r="E599" s="55" t="s">
        <v>150</v>
      </c>
      <c r="F599" s="56">
        <v>22</v>
      </c>
      <c r="G599" s="57">
        <v>1.66</v>
      </c>
      <c r="H599" s="57">
        <f t="shared" si="16"/>
        <v>36.519999999999996</v>
      </c>
      <c r="I599" s="54">
        <f t="shared" si="17"/>
        <v>43559</v>
      </c>
      <c r="J599" s="54">
        <v>43560</v>
      </c>
      <c r="K599" s="54" t="s">
        <v>148</v>
      </c>
    </row>
    <row r="600" spans="3:11" x14ac:dyDescent="0.25">
      <c r="C600" s="54">
        <v>43535</v>
      </c>
      <c r="D600" s="55" t="s">
        <v>152</v>
      </c>
      <c r="E600" s="55" t="s">
        <v>147</v>
      </c>
      <c r="F600" s="56">
        <v>15</v>
      </c>
      <c r="G600" s="57">
        <v>1.69</v>
      </c>
      <c r="H600" s="57">
        <f t="shared" si="16"/>
        <v>25.349999999999998</v>
      </c>
      <c r="I600" s="54">
        <f t="shared" si="17"/>
        <v>43560</v>
      </c>
      <c r="J600" s="54">
        <v>43559</v>
      </c>
      <c r="K600" s="54" t="s">
        <v>148</v>
      </c>
    </row>
    <row r="601" spans="3:11" x14ac:dyDescent="0.25">
      <c r="C601" s="54">
        <v>43536</v>
      </c>
      <c r="D601" s="55" t="s">
        <v>146</v>
      </c>
      <c r="E601" s="55" t="s">
        <v>147</v>
      </c>
      <c r="F601" s="56">
        <v>13</v>
      </c>
      <c r="G601" s="57">
        <v>1.76</v>
      </c>
      <c r="H601" s="57">
        <f t="shared" si="16"/>
        <v>22.88</v>
      </c>
      <c r="I601" s="54">
        <f t="shared" si="17"/>
        <v>43561</v>
      </c>
      <c r="J601" s="54">
        <v>43560</v>
      </c>
      <c r="K601" s="54" t="s">
        <v>148</v>
      </c>
    </row>
    <row r="602" spans="3:11" x14ac:dyDescent="0.25">
      <c r="C602" s="54">
        <v>43537</v>
      </c>
      <c r="D602" s="55" t="s">
        <v>154</v>
      </c>
      <c r="E602" s="55" t="s">
        <v>150</v>
      </c>
      <c r="F602" s="56">
        <v>23</v>
      </c>
      <c r="G602" s="57">
        <v>1.66</v>
      </c>
      <c r="H602" s="57">
        <f t="shared" si="16"/>
        <v>38.18</v>
      </c>
      <c r="I602" s="54">
        <f t="shared" si="17"/>
        <v>43562</v>
      </c>
      <c r="J602" s="54">
        <v>43560</v>
      </c>
      <c r="K602" s="54" t="s">
        <v>148</v>
      </c>
    </row>
    <row r="603" spans="3:11" x14ac:dyDescent="0.25">
      <c r="C603" s="54">
        <v>43540</v>
      </c>
      <c r="D603" s="55" t="s">
        <v>149</v>
      </c>
      <c r="E603" s="55" t="s">
        <v>150</v>
      </c>
      <c r="F603" s="56">
        <v>20</v>
      </c>
      <c r="G603" s="57">
        <v>2.35</v>
      </c>
      <c r="H603" s="57">
        <f t="shared" si="16"/>
        <v>47</v>
      </c>
      <c r="I603" s="54">
        <f t="shared" si="17"/>
        <v>43565</v>
      </c>
      <c r="J603" s="54">
        <v>43565</v>
      </c>
      <c r="K603" s="54" t="s">
        <v>148</v>
      </c>
    </row>
    <row r="604" spans="3:11" x14ac:dyDescent="0.25">
      <c r="C604" s="54">
        <v>43541</v>
      </c>
      <c r="D604" s="55" t="s">
        <v>146</v>
      </c>
      <c r="E604" s="55" t="s">
        <v>147</v>
      </c>
      <c r="F604" s="56">
        <v>18</v>
      </c>
      <c r="G604" s="57">
        <v>1.76</v>
      </c>
      <c r="H604" s="57">
        <f t="shared" si="16"/>
        <v>31.68</v>
      </c>
      <c r="I604" s="54">
        <f t="shared" si="17"/>
        <v>43566</v>
      </c>
      <c r="J604" s="54">
        <v>43564</v>
      </c>
      <c r="K604" s="54" t="s">
        <v>148</v>
      </c>
    </row>
    <row r="605" spans="3:11" x14ac:dyDescent="0.25">
      <c r="C605" s="54">
        <v>43542</v>
      </c>
      <c r="D605" s="55" t="s">
        <v>146</v>
      </c>
      <c r="E605" s="55" t="s">
        <v>147</v>
      </c>
      <c r="F605" s="56">
        <v>10</v>
      </c>
      <c r="G605" s="57">
        <v>1.76</v>
      </c>
      <c r="H605" s="57">
        <f t="shared" ref="H605:H668" si="18">F605*G605</f>
        <v>17.600000000000001</v>
      </c>
      <c r="I605" s="54">
        <f t="shared" si="17"/>
        <v>43567</v>
      </c>
      <c r="J605" s="54">
        <v>43567</v>
      </c>
      <c r="K605" s="54" t="s">
        <v>148</v>
      </c>
    </row>
    <row r="606" spans="3:11" x14ac:dyDescent="0.25">
      <c r="C606" s="54">
        <v>43543</v>
      </c>
      <c r="D606" s="55" t="s">
        <v>149</v>
      </c>
      <c r="E606" s="55" t="s">
        <v>150</v>
      </c>
      <c r="F606" s="56">
        <v>26</v>
      </c>
      <c r="G606" s="57">
        <v>2.35</v>
      </c>
      <c r="H606" s="57">
        <f t="shared" si="18"/>
        <v>61.1</v>
      </c>
      <c r="I606" s="54">
        <f t="shared" ref="I606:I669" si="19">+C606+25</f>
        <v>43568</v>
      </c>
      <c r="J606" s="54">
        <v>43567</v>
      </c>
      <c r="K606" s="54" t="s">
        <v>148</v>
      </c>
    </row>
    <row r="607" spans="3:11" x14ac:dyDescent="0.25">
      <c r="C607" s="54">
        <v>43544</v>
      </c>
      <c r="D607" s="55" t="s">
        <v>149</v>
      </c>
      <c r="E607" s="55" t="s">
        <v>150</v>
      </c>
      <c r="F607" s="56">
        <v>24</v>
      </c>
      <c r="G607" s="57">
        <v>2.35</v>
      </c>
      <c r="H607" s="57">
        <f t="shared" si="18"/>
        <v>56.400000000000006</v>
      </c>
      <c r="I607" s="54">
        <f t="shared" si="19"/>
        <v>43569</v>
      </c>
      <c r="J607" s="54">
        <v>43567</v>
      </c>
      <c r="K607" s="54" t="s">
        <v>148</v>
      </c>
    </row>
    <row r="608" spans="3:11" x14ac:dyDescent="0.25">
      <c r="C608" s="54">
        <v>43547</v>
      </c>
      <c r="D608" s="55" t="s">
        <v>146</v>
      </c>
      <c r="E608" s="55" t="s">
        <v>147</v>
      </c>
      <c r="F608" s="56">
        <v>21</v>
      </c>
      <c r="G608" s="57">
        <v>1.76</v>
      </c>
      <c r="H608" s="57">
        <f t="shared" si="18"/>
        <v>36.96</v>
      </c>
      <c r="I608" s="54">
        <f t="shared" si="19"/>
        <v>43572</v>
      </c>
      <c r="J608" s="54">
        <v>43572</v>
      </c>
      <c r="K608" s="54" t="s">
        <v>148</v>
      </c>
    </row>
    <row r="609" spans="3:11" x14ac:dyDescent="0.25">
      <c r="C609" s="54">
        <v>43548</v>
      </c>
      <c r="D609" s="55" t="s">
        <v>146</v>
      </c>
      <c r="E609" s="55" t="s">
        <v>147</v>
      </c>
      <c r="F609" s="56">
        <v>15</v>
      </c>
      <c r="G609" s="57">
        <v>1.76</v>
      </c>
      <c r="H609" s="57">
        <f t="shared" si="18"/>
        <v>26.4</v>
      </c>
      <c r="I609" s="54">
        <f t="shared" si="19"/>
        <v>43573</v>
      </c>
      <c r="J609" s="54">
        <v>43572</v>
      </c>
      <c r="K609" s="54" t="s">
        <v>148</v>
      </c>
    </row>
    <row r="610" spans="3:11" x14ac:dyDescent="0.25">
      <c r="C610" s="54">
        <v>43549</v>
      </c>
      <c r="D610" s="55" t="s">
        <v>146</v>
      </c>
      <c r="E610" s="55" t="s">
        <v>147</v>
      </c>
      <c r="F610" s="56">
        <v>19</v>
      </c>
      <c r="G610" s="57">
        <v>1.76</v>
      </c>
      <c r="H610" s="57">
        <f t="shared" si="18"/>
        <v>33.44</v>
      </c>
      <c r="I610" s="54">
        <f t="shared" si="19"/>
        <v>43574</v>
      </c>
      <c r="J610" s="54">
        <v>43574</v>
      </c>
      <c r="K610" s="54" t="s">
        <v>148</v>
      </c>
    </row>
    <row r="611" spans="3:11" x14ac:dyDescent="0.25">
      <c r="C611" s="54">
        <v>43550</v>
      </c>
      <c r="D611" s="55" t="s">
        <v>146</v>
      </c>
      <c r="E611" s="55" t="s">
        <v>147</v>
      </c>
      <c r="F611" s="56">
        <v>15</v>
      </c>
      <c r="G611" s="57">
        <v>1.76</v>
      </c>
      <c r="H611" s="57">
        <f t="shared" si="18"/>
        <v>26.4</v>
      </c>
      <c r="I611" s="54">
        <f t="shared" si="19"/>
        <v>43575</v>
      </c>
      <c r="J611" s="54">
        <v>43574</v>
      </c>
      <c r="K611" s="54" t="s">
        <v>148</v>
      </c>
    </row>
    <row r="612" spans="3:11" x14ac:dyDescent="0.25">
      <c r="C612" s="54">
        <v>43551</v>
      </c>
      <c r="D612" s="55" t="s">
        <v>153</v>
      </c>
      <c r="E612" s="55" t="s">
        <v>147</v>
      </c>
      <c r="F612" s="56">
        <v>9</v>
      </c>
      <c r="G612" s="57">
        <v>1.19</v>
      </c>
      <c r="H612" s="57">
        <f t="shared" si="18"/>
        <v>10.709999999999999</v>
      </c>
      <c r="I612" s="54">
        <f t="shared" si="19"/>
        <v>43576</v>
      </c>
      <c r="J612" s="54">
        <v>43574</v>
      </c>
      <c r="K612" s="54" t="s">
        <v>148</v>
      </c>
    </row>
    <row r="613" spans="3:11" x14ac:dyDescent="0.25">
      <c r="C613" s="54">
        <v>43554</v>
      </c>
      <c r="D613" s="55" t="s">
        <v>152</v>
      </c>
      <c r="E613" s="55" t="s">
        <v>147</v>
      </c>
      <c r="F613" s="56">
        <v>11</v>
      </c>
      <c r="G613" s="57">
        <v>1.69</v>
      </c>
      <c r="H613" s="57">
        <f t="shared" si="18"/>
        <v>18.59</v>
      </c>
      <c r="I613" s="54">
        <f t="shared" si="19"/>
        <v>43579</v>
      </c>
      <c r="J613" s="54">
        <v>43580</v>
      </c>
      <c r="K613" s="54" t="s">
        <v>148</v>
      </c>
    </row>
    <row r="614" spans="3:11" x14ac:dyDescent="0.25">
      <c r="C614" s="54">
        <v>43555</v>
      </c>
      <c r="D614" s="55" t="s">
        <v>153</v>
      </c>
      <c r="E614" s="55" t="s">
        <v>147</v>
      </c>
      <c r="F614" s="56">
        <v>7</v>
      </c>
      <c r="G614" s="57">
        <v>1.19</v>
      </c>
      <c r="H614" s="57">
        <f t="shared" si="18"/>
        <v>8.33</v>
      </c>
      <c r="I614" s="54">
        <f t="shared" si="19"/>
        <v>43580</v>
      </c>
      <c r="J614" s="54">
        <v>43583</v>
      </c>
      <c r="K614" s="54" t="s">
        <v>148</v>
      </c>
    </row>
    <row r="615" spans="3:11" x14ac:dyDescent="0.25">
      <c r="C615" s="54">
        <v>43556</v>
      </c>
      <c r="D615" s="55" t="s">
        <v>146</v>
      </c>
      <c r="E615" s="55" t="s">
        <v>147</v>
      </c>
      <c r="F615" s="56">
        <v>17</v>
      </c>
      <c r="G615" s="57">
        <v>1.76</v>
      </c>
      <c r="H615" s="57">
        <f t="shared" si="18"/>
        <v>29.92</v>
      </c>
      <c r="I615" s="54">
        <f t="shared" si="19"/>
        <v>43581</v>
      </c>
      <c r="J615" s="54">
        <v>43580</v>
      </c>
      <c r="K615" s="54" t="s">
        <v>148</v>
      </c>
    </row>
    <row r="616" spans="3:11" x14ac:dyDescent="0.25">
      <c r="C616" s="54">
        <v>43557</v>
      </c>
      <c r="D616" s="55" t="s">
        <v>146</v>
      </c>
      <c r="E616" s="55" t="s">
        <v>147</v>
      </c>
      <c r="F616" s="56">
        <v>13</v>
      </c>
      <c r="G616" s="57">
        <v>1.76</v>
      </c>
      <c r="H616" s="57">
        <f t="shared" si="18"/>
        <v>22.88</v>
      </c>
      <c r="I616" s="54">
        <f t="shared" si="19"/>
        <v>43582</v>
      </c>
      <c r="J616" s="54">
        <v>43581</v>
      </c>
      <c r="K616" s="54" t="s">
        <v>148</v>
      </c>
    </row>
    <row r="617" spans="3:11" x14ac:dyDescent="0.25">
      <c r="C617" s="54">
        <v>43558</v>
      </c>
      <c r="D617" s="55" t="s">
        <v>146</v>
      </c>
      <c r="E617" s="55" t="s">
        <v>147</v>
      </c>
      <c r="F617" s="56">
        <v>26</v>
      </c>
      <c r="G617" s="57">
        <v>1.76</v>
      </c>
      <c r="H617" s="57">
        <f t="shared" si="18"/>
        <v>45.76</v>
      </c>
      <c r="I617" s="54">
        <f t="shared" si="19"/>
        <v>43583</v>
      </c>
      <c r="J617" s="54">
        <v>43581</v>
      </c>
      <c r="K617" s="54" t="s">
        <v>148</v>
      </c>
    </row>
    <row r="618" spans="3:11" x14ac:dyDescent="0.25">
      <c r="C618" s="54">
        <v>43561</v>
      </c>
      <c r="D618" s="55" t="s">
        <v>146</v>
      </c>
      <c r="E618" s="55" t="s">
        <v>147</v>
      </c>
      <c r="F618" s="56">
        <v>26</v>
      </c>
      <c r="G618" s="57">
        <v>1.76</v>
      </c>
      <c r="H618" s="57">
        <f t="shared" si="18"/>
        <v>45.76</v>
      </c>
      <c r="I618" s="54">
        <f t="shared" si="19"/>
        <v>43586</v>
      </c>
      <c r="J618" s="54">
        <v>43586</v>
      </c>
      <c r="K618" s="54" t="s">
        <v>148</v>
      </c>
    </row>
    <row r="619" spans="3:11" x14ac:dyDescent="0.25">
      <c r="C619" s="54">
        <v>43562</v>
      </c>
      <c r="D619" s="55" t="s">
        <v>154</v>
      </c>
      <c r="E619" s="55" t="s">
        <v>150</v>
      </c>
      <c r="F619" s="56">
        <v>26</v>
      </c>
      <c r="G619" s="57">
        <v>1.66</v>
      </c>
      <c r="H619" s="57">
        <f t="shared" si="18"/>
        <v>43.16</v>
      </c>
      <c r="I619" s="54">
        <f t="shared" si="19"/>
        <v>43587</v>
      </c>
      <c r="J619" s="54">
        <v>43588</v>
      </c>
      <c r="K619" s="54" t="s">
        <v>148</v>
      </c>
    </row>
    <row r="620" spans="3:11" x14ac:dyDescent="0.25">
      <c r="C620" s="54">
        <v>43563</v>
      </c>
      <c r="D620" s="55" t="s">
        <v>151</v>
      </c>
      <c r="E620" s="55" t="s">
        <v>150</v>
      </c>
      <c r="F620" s="56">
        <v>15</v>
      </c>
      <c r="G620" s="57">
        <v>2.39</v>
      </c>
      <c r="H620" s="57">
        <f t="shared" si="18"/>
        <v>35.85</v>
      </c>
      <c r="I620" s="54">
        <f t="shared" si="19"/>
        <v>43588</v>
      </c>
      <c r="J620" s="54">
        <v>43588</v>
      </c>
      <c r="K620" s="54" t="s">
        <v>148</v>
      </c>
    </row>
    <row r="621" spans="3:11" x14ac:dyDescent="0.25">
      <c r="C621" s="54">
        <v>43564</v>
      </c>
      <c r="D621" s="55" t="s">
        <v>149</v>
      </c>
      <c r="E621" s="55" t="s">
        <v>150</v>
      </c>
      <c r="F621" s="56">
        <v>15</v>
      </c>
      <c r="G621" s="57">
        <v>2.35</v>
      </c>
      <c r="H621" s="57">
        <f t="shared" si="18"/>
        <v>35.25</v>
      </c>
      <c r="I621" s="54">
        <f t="shared" si="19"/>
        <v>43589</v>
      </c>
      <c r="J621" s="54">
        <v>43588</v>
      </c>
      <c r="K621" s="54" t="s">
        <v>148</v>
      </c>
    </row>
    <row r="622" spans="3:11" x14ac:dyDescent="0.25">
      <c r="C622" s="54">
        <v>43565</v>
      </c>
      <c r="D622" s="55" t="s">
        <v>153</v>
      </c>
      <c r="E622" s="55" t="s">
        <v>147</v>
      </c>
      <c r="F622" s="56">
        <v>10</v>
      </c>
      <c r="G622" s="57">
        <v>1.19</v>
      </c>
      <c r="H622" s="57">
        <f t="shared" si="18"/>
        <v>11.899999999999999</v>
      </c>
      <c r="I622" s="54">
        <f t="shared" si="19"/>
        <v>43590</v>
      </c>
      <c r="J622" s="54">
        <v>43591</v>
      </c>
      <c r="K622" s="54" t="s">
        <v>148</v>
      </c>
    </row>
    <row r="623" spans="3:11" x14ac:dyDescent="0.25">
      <c r="C623" s="54">
        <v>43568</v>
      </c>
      <c r="D623" s="55" t="s">
        <v>152</v>
      </c>
      <c r="E623" s="55" t="s">
        <v>147</v>
      </c>
      <c r="F623" s="56">
        <v>19</v>
      </c>
      <c r="G623" s="57">
        <v>1.69</v>
      </c>
      <c r="H623" s="57">
        <f t="shared" si="18"/>
        <v>32.11</v>
      </c>
      <c r="I623" s="54">
        <f t="shared" si="19"/>
        <v>43593</v>
      </c>
      <c r="J623" s="54">
        <v>43592</v>
      </c>
      <c r="K623" s="54" t="s">
        <v>148</v>
      </c>
    </row>
    <row r="624" spans="3:11" x14ac:dyDescent="0.25">
      <c r="C624" s="54">
        <v>43569</v>
      </c>
      <c r="D624" s="55" t="s">
        <v>154</v>
      </c>
      <c r="E624" s="55" t="s">
        <v>150</v>
      </c>
      <c r="F624" s="56">
        <v>11</v>
      </c>
      <c r="G624" s="57">
        <v>1.66</v>
      </c>
      <c r="H624" s="57">
        <f t="shared" si="18"/>
        <v>18.259999999999998</v>
      </c>
      <c r="I624" s="54">
        <f t="shared" si="19"/>
        <v>43594</v>
      </c>
      <c r="J624" s="54">
        <v>43593</v>
      </c>
      <c r="K624" s="54" t="s">
        <v>148</v>
      </c>
    </row>
    <row r="625" spans="3:11" x14ac:dyDescent="0.25">
      <c r="C625" s="54">
        <v>43570</v>
      </c>
      <c r="D625" s="55" t="s">
        <v>154</v>
      </c>
      <c r="E625" s="55" t="s">
        <v>150</v>
      </c>
      <c r="F625" s="56">
        <v>12</v>
      </c>
      <c r="G625" s="57">
        <v>1.66</v>
      </c>
      <c r="H625" s="57">
        <f t="shared" si="18"/>
        <v>19.919999999999998</v>
      </c>
      <c r="I625" s="54">
        <f t="shared" si="19"/>
        <v>43595</v>
      </c>
      <c r="J625" s="54">
        <v>43593</v>
      </c>
      <c r="K625" s="54" t="s">
        <v>148</v>
      </c>
    </row>
    <row r="626" spans="3:11" x14ac:dyDescent="0.25">
      <c r="C626" s="54">
        <v>43571</v>
      </c>
      <c r="D626" s="55" t="s">
        <v>149</v>
      </c>
      <c r="E626" s="55" t="s">
        <v>150</v>
      </c>
      <c r="F626" s="56">
        <v>17</v>
      </c>
      <c r="G626" s="57">
        <v>2.35</v>
      </c>
      <c r="H626" s="57">
        <f t="shared" si="18"/>
        <v>39.950000000000003</v>
      </c>
      <c r="I626" s="54">
        <f t="shared" si="19"/>
        <v>43596</v>
      </c>
      <c r="J626" s="54">
        <v>43596</v>
      </c>
      <c r="K626" s="54" t="s">
        <v>148</v>
      </c>
    </row>
    <row r="627" spans="3:11" x14ac:dyDescent="0.25">
      <c r="C627" s="54">
        <v>43572</v>
      </c>
      <c r="D627" s="55" t="s">
        <v>151</v>
      </c>
      <c r="E627" s="55" t="s">
        <v>150</v>
      </c>
      <c r="F627" s="56">
        <v>16</v>
      </c>
      <c r="G627" s="57">
        <v>2.39</v>
      </c>
      <c r="H627" s="57">
        <f t="shared" si="18"/>
        <v>38.24</v>
      </c>
      <c r="I627" s="54">
        <f t="shared" si="19"/>
        <v>43597</v>
      </c>
      <c r="J627" s="54">
        <v>43595</v>
      </c>
      <c r="K627" s="54" t="s">
        <v>148</v>
      </c>
    </row>
    <row r="628" spans="3:11" x14ac:dyDescent="0.25">
      <c r="C628" s="54">
        <v>43575</v>
      </c>
      <c r="D628" s="55" t="s">
        <v>149</v>
      </c>
      <c r="E628" s="55" t="s">
        <v>150</v>
      </c>
      <c r="F628" s="56">
        <v>11</v>
      </c>
      <c r="G628" s="57">
        <v>2.35</v>
      </c>
      <c r="H628" s="57">
        <f t="shared" si="18"/>
        <v>25.85</v>
      </c>
      <c r="I628" s="54">
        <f t="shared" si="19"/>
        <v>43600</v>
      </c>
      <c r="J628" s="54">
        <v>43600</v>
      </c>
      <c r="K628" s="54" t="s">
        <v>148</v>
      </c>
    </row>
    <row r="629" spans="3:11" x14ac:dyDescent="0.25">
      <c r="C629" s="54">
        <v>43576</v>
      </c>
      <c r="D629" s="55" t="s">
        <v>146</v>
      </c>
      <c r="E629" s="55" t="s">
        <v>147</v>
      </c>
      <c r="F629" s="56">
        <v>22</v>
      </c>
      <c r="G629" s="57">
        <v>1.76</v>
      </c>
      <c r="H629" s="57">
        <f t="shared" si="18"/>
        <v>38.72</v>
      </c>
      <c r="I629" s="54">
        <f t="shared" si="19"/>
        <v>43601</v>
      </c>
      <c r="J629" s="54">
        <v>43600</v>
      </c>
      <c r="K629" s="54" t="s">
        <v>148</v>
      </c>
    </row>
    <row r="630" spans="3:11" x14ac:dyDescent="0.25">
      <c r="C630" s="54">
        <v>43577</v>
      </c>
      <c r="D630" s="55" t="s">
        <v>146</v>
      </c>
      <c r="E630" s="55" t="s">
        <v>147</v>
      </c>
      <c r="F630" s="56">
        <v>22</v>
      </c>
      <c r="G630" s="57">
        <v>1.76</v>
      </c>
      <c r="H630" s="57">
        <f t="shared" si="18"/>
        <v>38.72</v>
      </c>
      <c r="I630" s="54">
        <f t="shared" si="19"/>
        <v>43602</v>
      </c>
      <c r="J630" s="54">
        <v>43600</v>
      </c>
      <c r="K630" s="54" t="s">
        <v>148</v>
      </c>
    </row>
    <row r="631" spans="3:11" x14ac:dyDescent="0.25">
      <c r="C631" s="54">
        <v>43578</v>
      </c>
      <c r="D631" s="55" t="s">
        <v>152</v>
      </c>
      <c r="E631" s="55" t="s">
        <v>147</v>
      </c>
      <c r="F631" s="56">
        <v>9</v>
      </c>
      <c r="G631" s="57">
        <v>1.69</v>
      </c>
      <c r="H631" s="57">
        <f t="shared" si="18"/>
        <v>15.209999999999999</v>
      </c>
      <c r="I631" s="54">
        <f t="shared" si="19"/>
        <v>43603</v>
      </c>
      <c r="J631" s="54">
        <v>43603</v>
      </c>
      <c r="K631" s="54" t="s">
        <v>148</v>
      </c>
    </row>
    <row r="632" spans="3:11" x14ac:dyDescent="0.25">
      <c r="C632" s="54">
        <v>43579</v>
      </c>
      <c r="D632" s="55" t="s">
        <v>146</v>
      </c>
      <c r="E632" s="55" t="s">
        <v>147</v>
      </c>
      <c r="F632" s="56">
        <v>17</v>
      </c>
      <c r="G632" s="57">
        <v>1.76</v>
      </c>
      <c r="H632" s="57">
        <f t="shared" si="18"/>
        <v>29.92</v>
      </c>
      <c r="I632" s="54">
        <f t="shared" si="19"/>
        <v>43604</v>
      </c>
      <c r="J632" s="54">
        <v>43603</v>
      </c>
      <c r="K632" s="54" t="s">
        <v>148</v>
      </c>
    </row>
    <row r="633" spans="3:11" x14ac:dyDescent="0.25">
      <c r="C633" s="54">
        <v>43582</v>
      </c>
      <c r="D633" s="55" t="s">
        <v>146</v>
      </c>
      <c r="E633" s="55" t="s">
        <v>147</v>
      </c>
      <c r="F633" s="56">
        <v>23</v>
      </c>
      <c r="G633" s="57">
        <v>1.76</v>
      </c>
      <c r="H633" s="57">
        <f t="shared" si="18"/>
        <v>40.479999999999997</v>
      </c>
      <c r="I633" s="54">
        <f t="shared" si="19"/>
        <v>43607</v>
      </c>
      <c r="J633" s="54">
        <v>43607</v>
      </c>
      <c r="K633" s="54" t="s">
        <v>148</v>
      </c>
    </row>
    <row r="634" spans="3:11" x14ac:dyDescent="0.25">
      <c r="C634" s="54">
        <v>43583</v>
      </c>
      <c r="D634" s="55" t="s">
        <v>146</v>
      </c>
      <c r="E634" s="55" t="s">
        <v>147</v>
      </c>
      <c r="F634" s="56">
        <v>21</v>
      </c>
      <c r="G634" s="57">
        <v>1.76</v>
      </c>
      <c r="H634" s="57">
        <f t="shared" si="18"/>
        <v>36.96</v>
      </c>
      <c r="I634" s="54">
        <f t="shared" si="19"/>
        <v>43608</v>
      </c>
      <c r="J634" s="54">
        <v>43607</v>
      </c>
      <c r="K634" s="54" t="s">
        <v>148</v>
      </c>
    </row>
    <row r="635" spans="3:11" x14ac:dyDescent="0.25">
      <c r="C635" s="54">
        <v>43584</v>
      </c>
      <c r="D635" s="55" t="s">
        <v>146</v>
      </c>
      <c r="E635" s="55" t="s">
        <v>147</v>
      </c>
      <c r="F635" s="56">
        <v>24</v>
      </c>
      <c r="G635" s="57">
        <v>1.76</v>
      </c>
      <c r="H635" s="57">
        <f t="shared" si="18"/>
        <v>42.24</v>
      </c>
      <c r="I635" s="54">
        <f t="shared" si="19"/>
        <v>43609</v>
      </c>
      <c r="J635" s="54">
        <v>43607</v>
      </c>
      <c r="K635" s="54" t="s">
        <v>148</v>
      </c>
    </row>
    <row r="636" spans="3:11" x14ac:dyDescent="0.25">
      <c r="C636" s="54">
        <v>43585</v>
      </c>
      <c r="D636" s="55" t="s">
        <v>154</v>
      </c>
      <c r="E636" s="55" t="s">
        <v>150</v>
      </c>
      <c r="F636" s="56">
        <v>10</v>
      </c>
      <c r="G636" s="57">
        <v>1.66</v>
      </c>
      <c r="H636" s="57">
        <f t="shared" si="18"/>
        <v>16.599999999999998</v>
      </c>
      <c r="I636" s="54">
        <f t="shared" si="19"/>
        <v>43610</v>
      </c>
      <c r="J636" s="54">
        <v>43608</v>
      </c>
      <c r="K636" s="54" t="s">
        <v>148</v>
      </c>
    </row>
    <row r="637" spans="3:11" x14ac:dyDescent="0.25">
      <c r="C637" s="54">
        <v>43586</v>
      </c>
      <c r="D637" s="55" t="s">
        <v>153</v>
      </c>
      <c r="E637" s="55" t="s">
        <v>147</v>
      </c>
      <c r="F637" s="56">
        <v>20</v>
      </c>
      <c r="G637" s="57">
        <v>1.19</v>
      </c>
      <c r="H637" s="57">
        <f t="shared" si="18"/>
        <v>23.799999999999997</v>
      </c>
      <c r="I637" s="54">
        <f t="shared" si="19"/>
        <v>43611</v>
      </c>
      <c r="J637" s="54">
        <v>43609</v>
      </c>
      <c r="K637" s="54" t="s">
        <v>148</v>
      </c>
    </row>
    <row r="638" spans="3:11" x14ac:dyDescent="0.25">
      <c r="C638" s="54">
        <v>43589</v>
      </c>
      <c r="D638" s="55" t="s">
        <v>146</v>
      </c>
      <c r="E638" s="55" t="s">
        <v>147</v>
      </c>
      <c r="F638" s="56">
        <v>6</v>
      </c>
      <c r="G638" s="57">
        <v>1.76</v>
      </c>
      <c r="H638" s="57">
        <f t="shared" si="18"/>
        <v>10.56</v>
      </c>
      <c r="I638" s="54">
        <f t="shared" si="19"/>
        <v>43614</v>
      </c>
      <c r="J638" s="54">
        <v>43614</v>
      </c>
      <c r="K638" s="54" t="s">
        <v>148</v>
      </c>
    </row>
    <row r="639" spans="3:11" x14ac:dyDescent="0.25">
      <c r="C639" s="54">
        <v>43590</v>
      </c>
      <c r="D639" s="55" t="s">
        <v>153</v>
      </c>
      <c r="E639" s="55" t="s">
        <v>147</v>
      </c>
      <c r="F639" s="56">
        <v>25</v>
      </c>
      <c r="G639" s="57">
        <v>1.19</v>
      </c>
      <c r="H639" s="57">
        <f t="shared" si="18"/>
        <v>29.75</v>
      </c>
      <c r="I639" s="54">
        <f t="shared" si="19"/>
        <v>43615</v>
      </c>
      <c r="J639" s="54">
        <v>43615</v>
      </c>
      <c r="K639" s="54" t="s">
        <v>148</v>
      </c>
    </row>
    <row r="640" spans="3:11" x14ac:dyDescent="0.25">
      <c r="C640" s="54">
        <v>43591</v>
      </c>
      <c r="D640" s="55" t="s">
        <v>149</v>
      </c>
      <c r="E640" s="55" t="s">
        <v>150</v>
      </c>
      <c r="F640" s="56">
        <v>14</v>
      </c>
      <c r="G640" s="57">
        <v>2.35</v>
      </c>
      <c r="H640" s="57">
        <f t="shared" si="18"/>
        <v>32.9</v>
      </c>
      <c r="I640" s="54">
        <f t="shared" si="19"/>
        <v>43616</v>
      </c>
      <c r="J640" s="54">
        <v>43616</v>
      </c>
      <c r="K640" s="54" t="s">
        <v>148</v>
      </c>
    </row>
    <row r="641" spans="3:11" x14ac:dyDescent="0.25">
      <c r="C641" s="54">
        <v>43592</v>
      </c>
      <c r="D641" s="55" t="s">
        <v>149</v>
      </c>
      <c r="E641" s="55" t="s">
        <v>150</v>
      </c>
      <c r="F641" s="56">
        <v>23</v>
      </c>
      <c r="G641" s="57">
        <v>2.35</v>
      </c>
      <c r="H641" s="57">
        <f t="shared" si="18"/>
        <v>54.050000000000004</v>
      </c>
      <c r="I641" s="54">
        <f t="shared" si="19"/>
        <v>43617</v>
      </c>
      <c r="J641" s="54">
        <v>43616</v>
      </c>
      <c r="K641" s="54" t="s">
        <v>148</v>
      </c>
    </row>
    <row r="642" spans="3:11" x14ac:dyDescent="0.25">
      <c r="C642" s="54">
        <v>43593</v>
      </c>
      <c r="D642" s="55" t="s">
        <v>146</v>
      </c>
      <c r="E642" s="55" t="s">
        <v>147</v>
      </c>
      <c r="F642" s="56">
        <v>9</v>
      </c>
      <c r="G642" s="57">
        <v>1.76</v>
      </c>
      <c r="H642" s="57">
        <f t="shared" si="18"/>
        <v>15.84</v>
      </c>
      <c r="I642" s="54">
        <f t="shared" si="19"/>
        <v>43618</v>
      </c>
      <c r="J642" s="54">
        <v>43616</v>
      </c>
      <c r="K642" s="54" t="s">
        <v>148</v>
      </c>
    </row>
    <row r="643" spans="3:11" x14ac:dyDescent="0.25">
      <c r="C643" s="54">
        <v>43596</v>
      </c>
      <c r="D643" s="55" t="s">
        <v>146</v>
      </c>
      <c r="E643" s="55" t="s">
        <v>147</v>
      </c>
      <c r="F643" s="56">
        <v>8</v>
      </c>
      <c r="G643" s="57">
        <v>1.76</v>
      </c>
      <c r="H643" s="57">
        <f t="shared" si="18"/>
        <v>14.08</v>
      </c>
      <c r="I643" s="54">
        <f t="shared" si="19"/>
        <v>43621</v>
      </c>
      <c r="J643" s="54">
        <v>43622</v>
      </c>
      <c r="K643" s="54" t="s">
        <v>148</v>
      </c>
    </row>
    <row r="644" spans="3:11" x14ac:dyDescent="0.25">
      <c r="C644" s="54">
        <v>43597</v>
      </c>
      <c r="D644" s="55" t="s">
        <v>151</v>
      </c>
      <c r="E644" s="55" t="s">
        <v>150</v>
      </c>
      <c r="F644" s="56">
        <v>12</v>
      </c>
      <c r="G644" s="57">
        <v>2.39</v>
      </c>
      <c r="H644" s="57">
        <f t="shared" si="18"/>
        <v>28.68</v>
      </c>
      <c r="I644" s="54">
        <f t="shared" si="19"/>
        <v>43622</v>
      </c>
      <c r="J644" s="54">
        <v>43625</v>
      </c>
      <c r="K644" s="54" t="s">
        <v>148</v>
      </c>
    </row>
    <row r="645" spans="3:11" x14ac:dyDescent="0.25">
      <c r="C645" s="54">
        <v>43598</v>
      </c>
      <c r="D645" s="55" t="s">
        <v>146</v>
      </c>
      <c r="E645" s="55" t="s">
        <v>147</v>
      </c>
      <c r="F645" s="56">
        <v>16</v>
      </c>
      <c r="G645" s="57">
        <v>1.76</v>
      </c>
      <c r="H645" s="57">
        <f t="shared" si="18"/>
        <v>28.16</v>
      </c>
      <c r="I645" s="54">
        <f t="shared" si="19"/>
        <v>43623</v>
      </c>
      <c r="J645" s="54">
        <v>43622</v>
      </c>
      <c r="K645" s="54" t="s">
        <v>148</v>
      </c>
    </row>
    <row r="646" spans="3:11" x14ac:dyDescent="0.25">
      <c r="C646" s="54">
        <v>43599</v>
      </c>
      <c r="D646" s="55" t="s">
        <v>153</v>
      </c>
      <c r="E646" s="55" t="s">
        <v>147</v>
      </c>
      <c r="F646" s="56">
        <v>16</v>
      </c>
      <c r="G646" s="57">
        <v>1.19</v>
      </c>
      <c r="H646" s="57">
        <f t="shared" si="18"/>
        <v>19.04</v>
      </c>
      <c r="I646" s="54">
        <f t="shared" si="19"/>
        <v>43624</v>
      </c>
      <c r="J646" s="54">
        <v>43623</v>
      </c>
      <c r="K646" s="54" t="s">
        <v>148</v>
      </c>
    </row>
    <row r="647" spans="3:11" x14ac:dyDescent="0.25">
      <c r="C647" s="54">
        <v>43600</v>
      </c>
      <c r="D647" s="55" t="s">
        <v>146</v>
      </c>
      <c r="E647" s="55" t="s">
        <v>147</v>
      </c>
      <c r="F647" s="56">
        <v>20</v>
      </c>
      <c r="G647" s="57">
        <v>1.76</v>
      </c>
      <c r="H647" s="57">
        <f t="shared" si="18"/>
        <v>35.200000000000003</v>
      </c>
      <c r="I647" s="54">
        <f t="shared" si="19"/>
        <v>43625</v>
      </c>
      <c r="J647" s="54">
        <v>43623</v>
      </c>
      <c r="K647" s="54" t="s">
        <v>148</v>
      </c>
    </row>
    <row r="648" spans="3:11" x14ac:dyDescent="0.25">
      <c r="C648" s="54">
        <v>43603</v>
      </c>
      <c r="D648" s="55" t="s">
        <v>153</v>
      </c>
      <c r="E648" s="55" t="s">
        <v>147</v>
      </c>
      <c r="F648" s="56">
        <v>23</v>
      </c>
      <c r="G648" s="57">
        <v>1.19</v>
      </c>
      <c r="H648" s="57">
        <f t="shared" si="18"/>
        <v>27.369999999999997</v>
      </c>
      <c r="I648" s="54">
        <f t="shared" si="19"/>
        <v>43628</v>
      </c>
      <c r="J648" s="54">
        <v>43628</v>
      </c>
      <c r="K648" s="54" t="s">
        <v>148</v>
      </c>
    </row>
    <row r="649" spans="3:11" x14ac:dyDescent="0.25">
      <c r="C649" s="54">
        <v>43604</v>
      </c>
      <c r="D649" s="55" t="s">
        <v>146</v>
      </c>
      <c r="E649" s="55" t="s">
        <v>147</v>
      </c>
      <c r="F649" s="56">
        <v>7</v>
      </c>
      <c r="G649" s="57">
        <v>1.76</v>
      </c>
      <c r="H649" s="57">
        <f t="shared" si="18"/>
        <v>12.32</v>
      </c>
      <c r="I649" s="54">
        <f t="shared" si="19"/>
        <v>43629</v>
      </c>
      <c r="J649" s="54">
        <v>43628</v>
      </c>
      <c r="K649" s="54" t="s">
        <v>148</v>
      </c>
    </row>
    <row r="650" spans="3:11" x14ac:dyDescent="0.25">
      <c r="C650" s="54">
        <v>43605</v>
      </c>
      <c r="D650" s="55" t="s">
        <v>152</v>
      </c>
      <c r="E650" s="55" t="s">
        <v>147</v>
      </c>
      <c r="F650" s="56">
        <v>6</v>
      </c>
      <c r="G650" s="57">
        <v>1.69</v>
      </c>
      <c r="H650" s="57">
        <f t="shared" si="18"/>
        <v>10.14</v>
      </c>
      <c r="I650" s="54">
        <f t="shared" si="19"/>
        <v>43630</v>
      </c>
      <c r="J650" s="54">
        <v>43630</v>
      </c>
      <c r="K650" s="54" t="s">
        <v>148</v>
      </c>
    </row>
    <row r="651" spans="3:11" x14ac:dyDescent="0.25">
      <c r="C651" s="54">
        <v>43606</v>
      </c>
      <c r="D651" s="55" t="s">
        <v>146</v>
      </c>
      <c r="E651" s="55" t="s">
        <v>147</v>
      </c>
      <c r="F651" s="56">
        <v>26</v>
      </c>
      <c r="G651" s="57">
        <v>1.76</v>
      </c>
      <c r="H651" s="57">
        <f t="shared" si="18"/>
        <v>45.76</v>
      </c>
      <c r="I651" s="54">
        <f t="shared" si="19"/>
        <v>43631</v>
      </c>
      <c r="J651" s="54">
        <v>43630</v>
      </c>
      <c r="K651" s="54" t="s">
        <v>148</v>
      </c>
    </row>
    <row r="652" spans="3:11" x14ac:dyDescent="0.25">
      <c r="C652" s="54">
        <v>43607</v>
      </c>
      <c r="D652" s="55" t="s">
        <v>146</v>
      </c>
      <c r="E652" s="55" t="s">
        <v>147</v>
      </c>
      <c r="F652" s="56">
        <v>26</v>
      </c>
      <c r="G652" s="57">
        <v>1.76</v>
      </c>
      <c r="H652" s="57">
        <f t="shared" si="18"/>
        <v>45.76</v>
      </c>
      <c r="I652" s="54">
        <f t="shared" si="19"/>
        <v>43632</v>
      </c>
      <c r="J652" s="54">
        <v>43630</v>
      </c>
      <c r="K652" s="54" t="s">
        <v>148</v>
      </c>
    </row>
    <row r="653" spans="3:11" x14ac:dyDescent="0.25">
      <c r="C653" s="54">
        <v>43610</v>
      </c>
      <c r="D653" s="55" t="s">
        <v>146</v>
      </c>
      <c r="E653" s="55" t="s">
        <v>147</v>
      </c>
      <c r="F653" s="56">
        <v>16</v>
      </c>
      <c r="G653" s="57">
        <v>1.76</v>
      </c>
      <c r="H653" s="57">
        <f t="shared" si="18"/>
        <v>28.16</v>
      </c>
      <c r="I653" s="54">
        <f t="shared" si="19"/>
        <v>43635</v>
      </c>
      <c r="J653" s="54">
        <v>43633</v>
      </c>
      <c r="K653" s="54" t="s">
        <v>148</v>
      </c>
    </row>
    <row r="654" spans="3:11" x14ac:dyDescent="0.25">
      <c r="C654" s="54">
        <v>43611</v>
      </c>
      <c r="D654" s="55" t="s">
        <v>153</v>
      </c>
      <c r="E654" s="55" t="s">
        <v>147</v>
      </c>
      <c r="F654" s="56">
        <v>18</v>
      </c>
      <c r="G654" s="57">
        <v>1.19</v>
      </c>
      <c r="H654" s="57">
        <f t="shared" si="18"/>
        <v>21.419999999999998</v>
      </c>
      <c r="I654" s="54">
        <f t="shared" si="19"/>
        <v>43636</v>
      </c>
      <c r="J654" s="54">
        <v>43636</v>
      </c>
      <c r="K654" s="54" t="s">
        <v>148</v>
      </c>
    </row>
    <row r="655" spans="3:11" x14ac:dyDescent="0.25">
      <c r="C655" s="54">
        <v>43612</v>
      </c>
      <c r="D655" s="55" t="s">
        <v>152</v>
      </c>
      <c r="E655" s="55" t="s">
        <v>147</v>
      </c>
      <c r="F655" s="56">
        <v>24</v>
      </c>
      <c r="G655" s="57">
        <v>1.69</v>
      </c>
      <c r="H655" s="57">
        <f t="shared" si="18"/>
        <v>40.56</v>
      </c>
      <c r="I655" s="54">
        <f t="shared" si="19"/>
        <v>43637</v>
      </c>
      <c r="J655" s="54">
        <v>43635</v>
      </c>
      <c r="K655" s="54" t="s">
        <v>148</v>
      </c>
    </row>
    <row r="656" spans="3:11" x14ac:dyDescent="0.25">
      <c r="C656" s="54">
        <v>43613</v>
      </c>
      <c r="D656" s="55" t="s">
        <v>146</v>
      </c>
      <c r="E656" s="55" t="s">
        <v>147</v>
      </c>
      <c r="F656" s="56">
        <v>16</v>
      </c>
      <c r="G656" s="57">
        <v>1.76</v>
      </c>
      <c r="H656" s="57">
        <f t="shared" si="18"/>
        <v>28.16</v>
      </c>
      <c r="I656" s="54">
        <f t="shared" si="19"/>
        <v>43638</v>
      </c>
      <c r="J656" s="54">
        <v>43638</v>
      </c>
      <c r="K656" s="54" t="s">
        <v>148</v>
      </c>
    </row>
    <row r="657" spans="3:11" x14ac:dyDescent="0.25">
      <c r="C657" s="54">
        <v>43614</v>
      </c>
      <c r="D657" s="55" t="s">
        <v>146</v>
      </c>
      <c r="E657" s="55" t="s">
        <v>147</v>
      </c>
      <c r="F657" s="56">
        <v>26</v>
      </c>
      <c r="G657" s="57">
        <v>1.76</v>
      </c>
      <c r="H657" s="57">
        <f t="shared" si="18"/>
        <v>45.76</v>
      </c>
      <c r="I657" s="54">
        <f t="shared" si="19"/>
        <v>43639</v>
      </c>
      <c r="J657" s="54">
        <v>43638</v>
      </c>
      <c r="K657" s="54" t="s">
        <v>148</v>
      </c>
    </row>
    <row r="658" spans="3:11" x14ac:dyDescent="0.25">
      <c r="C658" s="54">
        <v>43617</v>
      </c>
      <c r="D658" s="55" t="s">
        <v>153</v>
      </c>
      <c r="E658" s="55" t="s">
        <v>147</v>
      </c>
      <c r="F658" s="56">
        <v>22</v>
      </c>
      <c r="G658" s="57">
        <v>1.19</v>
      </c>
      <c r="H658" s="57">
        <f t="shared" si="18"/>
        <v>26.18</v>
      </c>
      <c r="I658" s="54">
        <f t="shared" si="19"/>
        <v>43642</v>
      </c>
      <c r="J658" s="54">
        <v>43640</v>
      </c>
      <c r="K658" s="54" t="s">
        <v>148</v>
      </c>
    </row>
    <row r="659" spans="3:11" x14ac:dyDescent="0.25">
      <c r="C659" s="54">
        <v>43618</v>
      </c>
      <c r="D659" s="55" t="s">
        <v>152</v>
      </c>
      <c r="E659" s="55" t="s">
        <v>147</v>
      </c>
      <c r="F659" s="56">
        <v>10</v>
      </c>
      <c r="G659" s="57">
        <v>1.69</v>
      </c>
      <c r="H659" s="57">
        <f t="shared" si="18"/>
        <v>16.899999999999999</v>
      </c>
      <c r="I659" s="54">
        <f t="shared" si="19"/>
        <v>43643</v>
      </c>
      <c r="J659" s="54">
        <v>43643</v>
      </c>
      <c r="K659" s="54" t="s">
        <v>148</v>
      </c>
    </row>
    <row r="660" spans="3:11" x14ac:dyDescent="0.25">
      <c r="C660" s="54">
        <v>43619</v>
      </c>
      <c r="D660" s="55" t="s">
        <v>151</v>
      </c>
      <c r="E660" s="55" t="s">
        <v>150</v>
      </c>
      <c r="F660" s="56">
        <v>10</v>
      </c>
      <c r="G660" s="57">
        <v>2.39</v>
      </c>
      <c r="H660" s="57">
        <f t="shared" si="18"/>
        <v>23.900000000000002</v>
      </c>
      <c r="I660" s="54">
        <f t="shared" si="19"/>
        <v>43644</v>
      </c>
      <c r="J660" s="54">
        <v>43645</v>
      </c>
      <c r="K660" s="54" t="s">
        <v>148</v>
      </c>
    </row>
    <row r="661" spans="3:11" x14ac:dyDescent="0.25">
      <c r="C661" s="54">
        <v>43620</v>
      </c>
      <c r="D661" s="55" t="s">
        <v>146</v>
      </c>
      <c r="E661" s="55" t="s">
        <v>147</v>
      </c>
      <c r="F661" s="56">
        <v>25</v>
      </c>
      <c r="G661" s="57">
        <v>1.76</v>
      </c>
      <c r="H661" s="57">
        <f t="shared" si="18"/>
        <v>44</v>
      </c>
      <c r="I661" s="54">
        <f t="shared" si="19"/>
        <v>43645</v>
      </c>
      <c r="J661" s="54">
        <v>43644</v>
      </c>
      <c r="K661" s="54" t="s">
        <v>148</v>
      </c>
    </row>
    <row r="662" spans="3:11" x14ac:dyDescent="0.25">
      <c r="C662" s="54">
        <v>43621</v>
      </c>
      <c r="D662" s="55" t="s">
        <v>154</v>
      </c>
      <c r="E662" s="55" t="s">
        <v>150</v>
      </c>
      <c r="F662" s="56">
        <v>15</v>
      </c>
      <c r="G662" s="57">
        <v>1.66</v>
      </c>
      <c r="H662" s="57">
        <f t="shared" si="18"/>
        <v>24.9</v>
      </c>
      <c r="I662" s="54">
        <f t="shared" si="19"/>
        <v>43646</v>
      </c>
      <c r="J662" s="54">
        <v>43645</v>
      </c>
      <c r="K662" s="54" t="s">
        <v>148</v>
      </c>
    </row>
    <row r="663" spans="3:11" x14ac:dyDescent="0.25">
      <c r="C663" s="54">
        <v>43624</v>
      </c>
      <c r="D663" s="55" t="s">
        <v>146</v>
      </c>
      <c r="E663" s="55" t="s">
        <v>147</v>
      </c>
      <c r="F663" s="56">
        <v>8</v>
      </c>
      <c r="G663" s="57">
        <v>1.76</v>
      </c>
      <c r="H663" s="57">
        <f t="shared" si="18"/>
        <v>14.08</v>
      </c>
      <c r="I663" s="54">
        <f t="shared" si="19"/>
        <v>43649</v>
      </c>
      <c r="J663" s="54">
        <v>43647</v>
      </c>
      <c r="K663" s="54" t="s">
        <v>148</v>
      </c>
    </row>
    <row r="664" spans="3:11" x14ac:dyDescent="0.25">
      <c r="C664" s="54">
        <v>43625</v>
      </c>
      <c r="D664" s="55" t="s">
        <v>152</v>
      </c>
      <c r="E664" s="55" t="s">
        <v>147</v>
      </c>
      <c r="F664" s="56">
        <v>23</v>
      </c>
      <c r="G664" s="57">
        <v>1.69</v>
      </c>
      <c r="H664" s="57">
        <f t="shared" si="18"/>
        <v>38.869999999999997</v>
      </c>
      <c r="I664" s="54">
        <f t="shared" si="19"/>
        <v>43650</v>
      </c>
      <c r="J664" s="54">
        <v>43650</v>
      </c>
      <c r="K664" s="54" t="s">
        <v>148</v>
      </c>
    </row>
    <row r="665" spans="3:11" x14ac:dyDescent="0.25">
      <c r="C665" s="54">
        <v>43626</v>
      </c>
      <c r="D665" s="55" t="s">
        <v>146</v>
      </c>
      <c r="E665" s="55" t="s">
        <v>147</v>
      </c>
      <c r="F665" s="56">
        <v>23</v>
      </c>
      <c r="G665" s="57">
        <v>1.76</v>
      </c>
      <c r="H665" s="57">
        <f t="shared" si="18"/>
        <v>40.479999999999997</v>
      </c>
      <c r="I665" s="54">
        <f t="shared" si="19"/>
        <v>43651</v>
      </c>
      <c r="J665" s="54">
        <v>43652</v>
      </c>
      <c r="K665" s="54" t="s">
        <v>148</v>
      </c>
    </row>
    <row r="666" spans="3:11" x14ac:dyDescent="0.25">
      <c r="C666" s="54">
        <v>43627</v>
      </c>
      <c r="D666" s="55" t="s">
        <v>146</v>
      </c>
      <c r="E666" s="55" t="s">
        <v>147</v>
      </c>
      <c r="F666" s="56">
        <v>8</v>
      </c>
      <c r="G666" s="57">
        <v>1.76</v>
      </c>
      <c r="H666" s="57">
        <f t="shared" si="18"/>
        <v>14.08</v>
      </c>
      <c r="I666" s="54">
        <f t="shared" si="19"/>
        <v>43652</v>
      </c>
      <c r="J666" s="54">
        <v>43652</v>
      </c>
      <c r="K666" s="54" t="s">
        <v>148</v>
      </c>
    </row>
    <row r="667" spans="3:11" x14ac:dyDescent="0.25">
      <c r="C667" s="54">
        <v>43628</v>
      </c>
      <c r="D667" s="55" t="s">
        <v>149</v>
      </c>
      <c r="E667" s="55" t="s">
        <v>150</v>
      </c>
      <c r="F667" s="56">
        <v>14</v>
      </c>
      <c r="G667" s="57">
        <v>2.35</v>
      </c>
      <c r="H667" s="57">
        <f t="shared" si="18"/>
        <v>32.9</v>
      </c>
      <c r="I667" s="54">
        <f t="shared" si="19"/>
        <v>43653</v>
      </c>
      <c r="J667" s="54">
        <v>43652</v>
      </c>
      <c r="K667" s="54" t="s">
        <v>148</v>
      </c>
    </row>
    <row r="668" spans="3:11" x14ac:dyDescent="0.25">
      <c r="C668" s="54">
        <v>43631</v>
      </c>
      <c r="D668" s="55" t="s">
        <v>152</v>
      </c>
      <c r="E668" s="55" t="s">
        <v>147</v>
      </c>
      <c r="F668" s="56">
        <v>11</v>
      </c>
      <c r="G668" s="57">
        <v>1.69</v>
      </c>
      <c r="H668" s="57">
        <f t="shared" si="18"/>
        <v>18.59</v>
      </c>
      <c r="I668" s="54">
        <f t="shared" si="19"/>
        <v>43656</v>
      </c>
      <c r="J668" s="54">
        <v>43654</v>
      </c>
      <c r="K668" s="54" t="s">
        <v>148</v>
      </c>
    </row>
    <row r="669" spans="3:11" x14ac:dyDescent="0.25">
      <c r="C669" s="54">
        <v>43632</v>
      </c>
      <c r="D669" s="55" t="s">
        <v>151</v>
      </c>
      <c r="E669" s="55" t="s">
        <v>150</v>
      </c>
      <c r="F669" s="56">
        <v>11</v>
      </c>
      <c r="G669" s="57">
        <v>2.39</v>
      </c>
      <c r="H669" s="57">
        <f t="shared" ref="H669:H702" si="20">F669*G669</f>
        <v>26.290000000000003</v>
      </c>
      <c r="I669" s="54">
        <f t="shared" si="19"/>
        <v>43657</v>
      </c>
      <c r="J669" s="54">
        <v>43657</v>
      </c>
      <c r="K669" s="54" t="s">
        <v>148</v>
      </c>
    </row>
    <row r="670" spans="3:11" x14ac:dyDescent="0.25">
      <c r="C670" s="54">
        <v>43633</v>
      </c>
      <c r="D670" s="55" t="s">
        <v>146</v>
      </c>
      <c r="E670" s="55" t="s">
        <v>147</v>
      </c>
      <c r="F670" s="56">
        <v>12</v>
      </c>
      <c r="G670" s="57">
        <v>1.76</v>
      </c>
      <c r="H670" s="57">
        <f t="shared" si="20"/>
        <v>21.12</v>
      </c>
      <c r="I670" s="54">
        <f t="shared" ref="I670:I702" si="21">+C670+25</f>
        <v>43658</v>
      </c>
      <c r="J670" s="54">
        <v>43659</v>
      </c>
      <c r="K670" s="54" t="s">
        <v>148</v>
      </c>
    </row>
    <row r="671" spans="3:11" x14ac:dyDescent="0.25">
      <c r="C671" s="54">
        <v>43634</v>
      </c>
      <c r="D671" s="55" t="s">
        <v>151</v>
      </c>
      <c r="E671" s="55" t="s">
        <v>150</v>
      </c>
      <c r="F671" s="56">
        <v>6</v>
      </c>
      <c r="G671" s="57">
        <v>2.39</v>
      </c>
      <c r="H671" s="57">
        <f t="shared" si="20"/>
        <v>14.34</v>
      </c>
      <c r="I671" s="54">
        <f t="shared" si="21"/>
        <v>43659</v>
      </c>
      <c r="J671" s="54">
        <v>43659</v>
      </c>
      <c r="K671" s="54" t="s">
        <v>148</v>
      </c>
    </row>
    <row r="672" spans="3:11" x14ac:dyDescent="0.25">
      <c r="C672" s="54">
        <v>43635</v>
      </c>
      <c r="D672" s="55" t="s">
        <v>151</v>
      </c>
      <c r="E672" s="55" t="s">
        <v>150</v>
      </c>
      <c r="F672" s="56">
        <v>19</v>
      </c>
      <c r="G672" s="57">
        <v>2.39</v>
      </c>
      <c r="H672" s="57">
        <f t="shared" si="20"/>
        <v>45.410000000000004</v>
      </c>
      <c r="I672" s="54">
        <f t="shared" si="21"/>
        <v>43660</v>
      </c>
      <c r="J672" s="54">
        <v>43659</v>
      </c>
      <c r="K672" s="54" t="s">
        <v>148</v>
      </c>
    </row>
    <row r="673" spans="3:11" x14ac:dyDescent="0.25">
      <c r="C673" s="54">
        <v>43638</v>
      </c>
      <c r="D673" s="55" t="s">
        <v>153</v>
      </c>
      <c r="E673" s="55" t="s">
        <v>147</v>
      </c>
      <c r="F673" s="56">
        <v>21</v>
      </c>
      <c r="G673" s="57">
        <v>1.19</v>
      </c>
      <c r="H673" s="57">
        <f t="shared" si="20"/>
        <v>24.99</v>
      </c>
      <c r="I673" s="54">
        <f t="shared" si="21"/>
        <v>43663</v>
      </c>
      <c r="J673" s="54"/>
      <c r="K673" s="54" t="s">
        <v>155</v>
      </c>
    </row>
    <row r="674" spans="3:11" x14ac:dyDescent="0.25">
      <c r="C674" s="54">
        <v>43639</v>
      </c>
      <c r="D674" s="55" t="s">
        <v>151</v>
      </c>
      <c r="E674" s="55" t="s">
        <v>150</v>
      </c>
      <c r="F674" s="56">
        <v>25</v>
      </c>
      <c r="G674" s="57">
        <v>2.39</v>
      </c>
      <c r="H674" s="57">
        <f t="shared" si="20"/>
        <v>59.75</v>
      </c>
      <c r="I674" s="54">
        <f t="shared" si="21"/>
        <v>43664</v>
      </c>
      <c r="J674" s="54"/>
      <c r="K674" s="54" t="s">
        <v>155</v>
      </c>
    </row>
    <row r="675" spans="3:11" x14ac:dyDescent="0.25">
      <c r="C675" s="54">
        <v>43640</v>
      </c>
      <c r="D675" s="55" t="s">
        <v>146</v>
      </c>
      <c r="E675" s="55" t="s">
        <v>147</v>
      </c>
      <c r="F675" s="56">
        <v>20</v>
      </c>
      <c r="G675" s="57">
        <v>1.76</v>
      </c>
      <c r="H675" s="57">
        <f t="shared" si="20"/>
        <v>35.200000000000003</v>
      </c>
      <c r="I675" s="54">
        <f t="shared" si="21"/>
        <v>43665</v>
      </c>
      <c r="J675" s="54"/>
      <c r="K675" s="54" t="s">
        <v>155</v>
      </c>
    </row>
    <row r="676" spans="3:11" x14ac:dyDescent="0.25">
      <c r="C676" s="54">
        <v>43641</v>
      </c>
      <c r="D676" s="55" t="s">
        <v>152</v>
      </c>
      <c r="E676" s="55" t="s">
        <v>147</v>
      </c>
      <c r="F676" s="56">
        <v>23</v>
      </c>
      <c r="G676" s="57">
        <v>1.69</v>
      </c>
      <c r="H676" s="57">
        <f t="shared" si="20"/>
        <v>38.869999999999997</v>
      </c>
      <c r="I676" s="54">
        <f t="shared" si="21"/>
        <v>43666</v>
      </c>
      <c r="J676" s="54"/>
      <c r="K676" s="54" t="s">
        <v>155</v>
      </c>
    </row>
    <row r="677" spans="3:11" x14ac:dyDescent="0.25">
      <c r="C677" s="54">
        <v>43642</v>
      </c>
      <c r="D677" s="55" t="s">
        <v>146</v>
      </c>
      <c r="E677" s="55" t="s">
        <v>147</v>
      </c>
      <c r="F677" s="56">
        <v>16</v>
      </c>
      <c r="G677" s="57">
        <v>1.76</v>
      </c>
      <c r="H677" s="57">
        <f t="shared" si="20"/>
        <v>28.16</v>
      </c>
      <c r="I677" s="54">
        <f t="shared" si="21"/>
        <v>43667</v>
      </c>
      <c r="J677" s="54"/>
      <c r="K677" s="54" t="s">
        <v>155</v>
      </c>
    </row>
    <row r="678" spans="3:11" x14ac:dyDescent="0.25">
      <c r="C678" s="54">
        <v>43645</v>
      </c>
      <c r="D678" s="55" t="s">
        <v>149</v>
      </c>
      <c r="E678" s="55" t="s">
        <v>150</v>
      </c>
      <c r="F678" s="56">
        <v>19</v>
      </c>
      <c r="G678" s="57">
        <v>2.35</v>
      </c>
      <c r="H678" s="57">
        <f t="shared" si="20"/>
        <v>44.65</v>
      </c>
      <c r="I678" s="54">
        <f t="shared" si="21"/>
        <v>43670</v>
      </c>
      <c r="J678" s="54"/>
      <c r="K678" s="54" t="s">
        <v>155</v>
      </c>
    </row>
    <row r="679" spans="3:11" x14ac:dyDescent="0.25">
      <c r="C679" s="54">
        <v>43646</v>
      </c>
      <c r="D679" s="55" t="s">
        <v>151</v>
      </c>
      <c r="E679" s="55" t="s">
        <v>150</v>
      </c>
      <c r="F679" s="56">
        <v>25</v>
      </c>
      <c r="G679" s="57">
        <v>2.39</v>
      </c>
      <c r="H679" s="57">
        <f t="shared" si="20"/>
        <v>59.75</v>
      </c>
      <c r="I679" s="54">
        <f t="shared" si="21"/>
        <v>43671</v>
      </c>
      <c r="J679" s="54"/>
      <c r="K679" s="54" t="s">
        <v>155</v>
      </c>
    </row>
    <row r="680" spans="3:11" x14ac:dyDescent="0.25">
      <c r="C680" s="54">
        <v>43647</v>
      </c>
      <c r="D680" s="55" t="s">
        <v>151</v>
      </c>
      <c r="E680" s="55" t="s">
        <v>150</v>
      </c>
      <c r="F680" s="56">
        <v>12</v>
      </c>
      <c r="G680" s="57">
        <v>2.39</v>
      </c>
      <c r="H680" s="57">
        <f t="shared" si="20"/>
        <v>28.68</v>
      </c>
      <c r="I680" s="54">
        <f t="shared" si="21"/>
        <v>43672</v>
      </c>
      <c r="J680" s="54"/>
      <c r="K680" s="54" t="s">
        <v>155</v>
      </c>
    </row>
    <row r="681" spans="3:11" x14ac:dyDescent="0.25">
      <c r="C681" s="54">
        <v>43648</v>
      </c>
      <c r="D681" s="55" t="s">
        <v>149</v>
      </c>
      <c r="E681" s="55" t="s">
        <v>150</v>
      </c>
      <c r="F681" s="56">
        <v>18</v>
      </c>
      <c r="G681" s="57">
        <v>2.35</v>
      </c>
      <c r="H681" s="57">
        <f t="shared" si="20"/>
        <v>42.300000000000004</v>
      </c>
      <c r="I681" s="54">
        <f t="shared" si="21"/>
        <v>43673</v>
      </c>
      <c r="J681" s="54"/>
      <c r="K681" s="54" t="s">
        <v>155</v>
      </c>
    </row>
    <row r="682" spans="3:11" x14ac:dyDescent="0.25">
      <c r="C682" s="54">
        <v>43649</v>
      </c>
      <c r="D682" s="55" t="s">
        <v>146</v>
      </c>
      <c r="E682" s="55" t="s">
        <v>147</v>
      </c>
      <c r="F682" s="56">
        <v>14</v>
      </c>
      <c r="G682" s="57">
        <v>1.76</v>
      </c>
      <c r="H682" s="57">
        <f t="shared" si="20"/>
        <v>24.64</v>
      </c>
      <c r="I682" s="54">
        <f t="shared" si="21"/>
        <v>43674</v>
      </c>
      <c r="J682" s="54"/>
      <c r="K682" s="54" t="s">
        <v>155</v>
      </c>
    </row>
    <row r="683" spans="3:11" x14ac:dyDescent="0.25">
      <c r="C683" s="54">
        <v>43652</v>
      </c>
      <c r="D683" s="55" t="s">
        <v>146</v>
      </c>
      <c r="E683" s="55" t="s">
        <v>147</v>
      </c>
      <c r="F683" s="56">
        <v>14</v>
      </c>
      <c r="G683" s="57">
        <v>1.76</v>
      </c>
      <c r="H683" s="57">
        <f t="shared" si="20"/>
        <v>24.64</v>
      </c>
      <c r="I683" s="54">
        <f t="shared" si="21"/>
        <v>43677</v>
      </c>
      <c r="J683" s="54"/>
      <c r="K683" s="54" t="s">
        <v>155</v>
      </c>
    </row>
    <row r="684" spans="3:11" x14ac:dyDescent="0.25">
      <c r="C684" s="54">
        <v>43653</v>
      </c>
      <c r="D684" s="55" t="s">
        <v>153</v>
      </c>
      <c r="E684" s="55" t="s">
        <v>147</v>
      </c>
      <c r="F684" s="56">
        <v>12</v>
      </c>
      <c r="G684" s="57">
        <v>1.19</v>
      </c>
      <c r="H684" s="57">
        <f t="shared" si="20"/>
        <v>14.28</v>
      </c>
      <c r="I684" s="54">
        <f t="shared" si="21"/>
        <v>43678</v>
      </c>
      <c r="J684" s="54"/>
      <c r="K684" s="54" t="s">
        <v>155</v>
      </c>
    </row>
    <row r="685" spans="3:11" x14ac:dyDescent="0.25">
      <c r="C685" s="54">
        <v>43654</v>
      </c>
      <c r="D685" s="55" t="s">
        <v>153</v>
      </c>
      <c r="E685" s="55" t="s">
        <v>147</v>
      </c>
      <c r="F685" s="56">
        <v>18</v>
      </c>
      <c r="G685" s="57">
        <v>1.19</v>
      </c>
      <c r="H685" s="57">
        <f t="shared" si="20"/>
        <v>21.419999999999998</v>
      </c>
      <c r="I685" s="54">
        <f t="shared" si="21"/>
        <v>43679</v>
      </c>
      <c r="J685" s="54"/>
      <c r="K685" s="54" t="s">
        <v>155</v>
      </c>
    </row>
    <row r="686" spans="3:11" x14ac:dyDescent="0.25">
      <c r="C686" s="54">
        <v>43655</v>
      </c>
      <c r="D686" s="55" t="s">
        <v>146</v>
      </c>
      <c r="E686" s="55" t="s">
        <v>147</v>
      </c>
      <c r="F686" s="56">
        <v>26</v>
      </c>
      <c r="G686" s="57">
        <v>1.76</v>
      </c>
      <c r="H686" s="57">
        <f t="shared" si="20"/>
        <v>45.76</v>
      </c>
      <c r="I686" s="54">
        <f t="shared" si="21"/>
        <v>43680</v>
      </c>
      <c r="J686" s="54"/>
      <c r="K686" s="54" t="s">
        <v>155</v>
      </c>
    </row>
    <row r="687" spans="3:11" x14ac:dyDescent="0.25">
      <c r="C687" s="54">
        <v>43656</v>
      </c>
      <c r="D687" s="55" t="s">
        <v>146</v>
      </c>
      <c r="E687" s="55" t="s">
        <v>147</v>
      </c>
      <c r="F687" s="56">
        <v>12</v>
      </c>
      <c r="G687" s="57">
        <v>1.76</v>
      </c>
      <c r="H687" s="57">
        <f t="shared" si="20"/>
        <v>21.12</v>
      </c>
      <c r="I687" s="54">
        <f t="shared" si="21"/>
        <v>43681</v>
      </c>
      <c r="J687" s="54"/>
      <c r="K687" s="54" t="s">
        <v>155</v>
      </c>
    </row>
    <row r="688" spans="3:11" x14ac:dyDescent="0.25">
      <c r="C688" s="54">
        <v>43659</v>
      </c>
      <c r="D688" s="55" t="s">
        <v>152</v>
      </c>
      <c r="E688" s="55" t="s">
        <v>147</v>
      </c>
      <c r="F688" s="56">
        <v>22</v>
      </c>
      <c r="G688" s="57">
        <v>1.69</v>
      </c>
      <c r="H688" s="57">
        <f t="shared" si="20"/>
        <v>37.18</v>
      </c>
      <c r="I688" s="54">
        <f t="shared" si="21"/>
        <v>43684</v>
      </c>
      <c r="J688" s="54"/>
      <c r="K688" s="54" t="s">
        <v>155</v>
      </c>
    </row>
    <row r="689" spans="3:11" x14ac:dyDescent="0.25">
      <c r="C689" s="54">
        <v>43660</v>
      </c>
      <c r="D689" s="55" t="s">
        <v>149</v>
      </c>
      <c r="E689" s="55" t="s">
        <v>150</v>
      </c>
      <c r="F689" s="56">
        <v>9</v>
      </c>
      <c r="G689" s="57">
        <v>2.35</v>
      </c>
      <c r="H689" s="57">
        <f t="shared" si="20"/>
        <v>21.150000000000002</v>
      </c>
      <c r="I689" s="54">
        <f t="shared" si="21"/>
        <v>43685</v>
      </c>
      <c r="J689" s="54"/>
      <c r="K689" s="54" t="s">
        <v>155</v>
      </c>
    </row>
    <row r="690" spans="3:11" x14ac:dyDescent="0.25">
      <c r="C690" s="54">
        <v>43661</v>
      </c>
      <c r="D690" s="55" t="s">
        <v>149</v>
      </c>
      <c r="E690" s="55" t="s">
        <v>150</v>
      </c>
      <c r="F690" s="56">
        <v>16</v>
      </c>
      <c r="G690" s="57">
        <v>2.35</v>
      </c>
      <c r="H690" s="57">
        <f t="shared" si="20"/>
        <v>37.6</v>
      </c>
      <c r="I690" s="54">
        <f t="shared" si="21"/>
        <v>43686</v>
      </c>
      <c r="J690" s="54"/>
      <c r="K690" s="54" t="s">
        <v>155</v>
      </c>
    </row>
    <row r="691" spans="3:11" x14ac:dyDescent="0.25">
      <c r="C691" s="54">
        <v>43662</v>
      </c>
      <c r="D691" s="55" t="s">
        <v>146</v>
      </c>
      <c r="E691" s="55" t="s">
        <v>147</v>
      </c>
      <c r="F691" s="56">
        <v>26</v>
      </c>
      <c r="G691" s="57">
        <v>1.76</v>
      </c>
      <c r="H691" s="57">
        <f t="shared" si="20"/>
        <v>45.76</v>
      </c>
      <c r="I691" s="54">
        <f t="shared" si="21"/>
        <v>43687</v>
      </c>
      <c r="J691" s="54"/>
      <c r="K691" s="54" t="s">
        <v>155</v>
      </c>
    </row>
    <row r="692" spans="3:11" x14ac:dyDescent="0.25">
      <c r="C692" s="54">
        <v>43663</v>
      </c>
      <c r="D692" s="55" t="s">
        <v>152</v>
      </c>
      <c r="E692" s="55" t="s">
        <v>147</v>
      </c>
      <c r="F692" s="56">
        <v>25</v>
      </c>
      <c r="G692" s="57">
        <v>1.69</v>
      </c>
      <c r="H692" s="57">
        <f t="shared" si="20"/>
        <v>42.25</v>
      </c>
      <c r="I692" s="54">
        <f t="shared" si="21"/>
        <v>43688</v>
      </c>
      <c r="J692" s="54"/>
      <c r="K692" s="54" t="s">
        <v>155</v>
      </c>
    </row>
    <row r="693" spans="3:11" x14ac:dyDescent="0.25">
      <c r="C693" s="54">
        <v>43666</v>
      </c>
      <c r="D693" s="55" t="s">
        <v>149</v>
      </c>
      <c r="E693" s="55" t="s">
        <v>150</v>
      </c>
      <c r="F693" s="56">
        <v>21</v>
      </c>
      <c r="G693" s="57">
        <v>2.35</v>
      </c>
      <c r="H693" s="57">
        <f t="shared" si="20"/>
        <v>49.35</v>
      </c>
      <c r="I693" s="54">
        <f t="shared" si="21"/>
        <v>43691</v>
      </c>
      <c r="J693" s="54"/>
      <c r="K693" s="54" t="s">
        <v>155</v>
      </c>
    </row>
    <row r="694" spans="3:11" x14ac:dyDescent="0.25">
      <c r="C694" s="54">
        <v>43667</v>
      </c>
      <c r="D694" s="55" t="s">
        <v>146</v>
      </c>
      <c r="E694" s="55" t="s">
        <v>147</v>
      </c>
      <c r="F694" s="56">
        <v>25</v>
      </c>
      <c r="G694" s="57">
        <v>1.76</v>
      </c>
      <c r="H694" s="57">
        <f t="shared" si="20"/>
        <v>44</v>
      </c>
      <c r="I694" s="54">
        <f t="shared" si="21"/>
        <v>43692</v>
      </c>
      <c r="J694" s="54"/>
      <c r="K694" s="54" t="s">
        <v>155</v>
      </c>
    </row>
    <row r="695" spans="3:11" x14ac:dyDescent="0.25">
      <c r="C695" s="54">
        <v>43668</v>
      </c>
      <c r="D695" s="55" t="s">
        <v>153</v>
      </c>
      <c r="E695" s="55" t="s">
        <v>147</v>
      </c>
      <c r="F695" s="56">
        <v>24</v>
      </c>
      <c r="G695" s="57">
        <v>1.19</v>
      </c>
      <c r="H695" s="57">
        <f t="shared" si="20"/>
        <v>28.56</v>
      </c>
      <c r="I695" s="54">
        <f t="shared" si="21"/>
        <v>43693</v>
      </c>
      <c r="J695" s="54"/>
      <c r="K695" s="54" t="s">
        <v>155</v>
      </c>
    </row>
    <row r="696" spans="3:11" x14ac:dyDescent="0.25">
      <c r="C696" s="54">
        <v>43669</v>
      </c>
      <c r="D696" s="55" t="s">
        <v>154</v>
      </c>
      <c r="E696" s="55" t="s">
        <v>150</v>
      </c>
      <c r="F696" s="56">
        <v>25</v>
      </c>
      <c r="G696" s="57">
        <v>1.66</v>
      </c>
      <c r="H696" s="57">
        <f t="shared" si="20"/>
        <v>41.5</v>
      </c>
      <c r="I696" s="54">
        <f t="shared" si="21"/>
        <v>43694</v>
      </c>
      <c r="J696" s="54"/>
      <c r="K696" s="54" t="s">
        <v>155</v>
      </c>
    </row>
    <row r="697" spans="3:11" x14ac:dyDescent="0.25">
      <c r="C697" s="54">
        <v>43670</v>
      </c>
      <c r="D697" s="55" t="s">
        <v>149</v>
      </c>
      <c r="E697" s="55" t="s">
        <v>150</v>
      </c>
      <c r="F697" s="56">
        <v>9</v>
      </c>
      <c r="G697" s="57">
        <v>2.35</v>
      </c>
      <c r="H697" s="57">
        <f t="shared" si="20"/>
        <v>21.150000000000002</v>
      </c>
      <c r="I697" s="54">
        <f t="shared" si="21"/>
        <v>43695</v>
      </c>
      <c r="J697" s="54"/>
      <c r="K697" s="54" t="s">
        <v>155</v>
      </c>
    </row>
    <row r="698" spans="3:11" x14ac:dyDescent="0.25">
      <c r="C698" s="54">
        <v>43673</v>
      </c>
      <c r="D698" s="55" t="s">
        <v>153</v>
      </c>
      <c r="E698" s="55" t="s">
        <v>147</v>
      </c>
      <c r="F698" s="56">
        <v>12</v>
      </c>
      <c r="G698" s="57">
        <v>1.19</v>
      </c>
      <c r="H698" s="57">
        <f t="shared" si="20"/>
        <v>14.28</v>
      </c>
      <c r="I698" s="54">
        <f t="shared" si="21"/>
        <v>43698</v>
      </c>
      <c r="J698" s="54"/>
      <c r="K698" s="54" t="s">
        <v>155</v>
      </c>
    </row>
    <row r="699" spans="3:11" x14ac:dyDescent="0.25">
      <c r="C699" s="54">
        <v>43674</v>
      </c>
      <c r="D699" s="55" t="s">
        <v>146</v>
      </c>
      <c r="E699" s="55" t="s">
        <v>147</v>
      </c>
      <c r="F699" s="56">
        <v>6</v>
      </c>
      <c r="G699" s="57">
        <v>1.76</v>
      </c>
      <c r="H699" s="57">
        <f t="shared" si="20"/>
        <v>10.56</v>
      </c>
      <c r="I699" s="54">
        <f t="shared" si="21"/>
        <v>43699</v>
      </c>
      <c r="J699" s="54"/>
      <c r="K699" s="54" t="s">
        <v>155</v>
      </c>
    </row>
    <row r="700" spans="3:11" x14ac:dyDescent="0.25">
      <c r="C700" s="54">
        <v>43675</v>
      </c>
      <c r="D700" s="55" t="s">
        <v>146</v>
      </c>
      <c r="E700" s="55" t="s">
        <v>147</v>
      </c>
      <c r="F700" s="56">
        <v>15</v>
      </c>
      <c r="G700" s="57">
        <v>1.76</v>
      </c>
      <c r="H700" s="57">
        <f t="shared" si="20"/>
        <v>26.4</v>
      </c>
      <c r="I700" s="54">
        <f t="shared" si="21"/>
        <v>43700</v>
      </c>
      <c r="J700" s="54"/>
      <c r="K700" s="54" t="s">
        <v>155</v>
      </c>
    </row>
    <row r="701" spans="3:11" x14ac:dyDescent="0.25">
      <c r="C701" s="54">
        <v>43676</v>
      </c>
      <c r="D701" s="55" t="s">
        <v>152</v>
      </c>
      <c r="E701" s="55" t="s">
        <v>147</v>
      </c>
      <c r="F701" s="56">
        <v>18</v>
      </c>
      <c r="G701" s="57">
        <v>1.69</v>
      </c>
      <c r="H701" s="57">
        <f t="shared" si="20"/>
        <v>30.419999999999998</v>
      </c>
      <c r="I701" s="54">
        <f t="shared" si="21"/>
        <v>43701</v>
      </c>
      <c r="J701" s="54"/>
      <c r="K701" s="54" t="s">
        <v>155</v>
      </c>
    </row>
    <row r="702" spans="3:11" x14ac:dyDescent="0.25">
      <c r="C702" s="54">
        <v>43677</v>
      </c>
      <c r="D702" s="55" t="s">
        <v>146</v>
      </c>
      <c r="E702" s="55" t="s">
        <v>147</v>
      </c>
      <c r="F702" s="56">
        <v>23</v>
      </c>
      <c r="G702" s="57">
        <v>1.76</v>
      </c>
      <c r="H702" s="57">
        <f t="shared" si="20"/>
        <v>40.479999999999997</v>
      </c>
      <c r="I702" s="54">
        <f t="shared" si="21"/>
        <v>43702</v>
      </c>
      <c r="J702" s="54"/>
      <c r="K702" s="54" t="s">
        <v>155</v>
      </c>
    </row>
  </sheetData>
  <pageMargins left="0.7" right="0.7" top="0.75" bottom="0.75" header="0.3" footer="0.3"/>
  <pageSetup paperSize="9" orientation="portrait"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37"/>
  <sheetViews>
    <sheetView topLeftCell="B1" zoomScaleNormal="100" workbookViewId="0">
      <selection activeCell="G9" sqref="G9"/>
    </sheetView>
  </sheetViews>
  <sheetFormatPr defaultRowHeight="15" x14ac:dyDescent="0.25"/>
  <cols>
    <col min="1" max="2" width="13.42578125" customWidth="1"/>
    <col min="3" max="3" width="21.5703125" customWidth="1"/>
    <col min="4" max="4" width="30.42578125" customWidth="1"/>
    <col min="5" max="5" width="13.42578125" customWidth="1"/>
    <col min="6" max="6" width="34.42578125" customWidth="1"/>
    <col min="7" max="7" width="27.140625" customWidth="1"/>
    <col min="9" max="9" width="12.42578125" customWidth="1"/>
    <col min="10" max="10" width="10.5703125" customWidth="1"/>
    <col min="11" max="11" width="21.42578125" customWidth="1"/>
    <col min="12" max="13" width="24.140625" customWidth="1"/>
    <col min="14" max="14" width="20.85546875" customWidth="1"/>
    <col min="17" max="17" width="15.140625" customWidth="1"/>
  </cols>
  <sheetData>
    <row r="1" spans="1:17" ht="23.25" x14ac:dyDescent="0.35">
      <c r="A1" s="257" t="s">
        <v>870</v>
      </c>
      <c r="B1" s="1" t="s">
        <v>156</v>
      </c>
      <c r="C1" s="1"/>
      <c r="D1" s="1"/>
      <c r="E1" s="1"/>
      <c r="F1" s="1"/>
      <c r="G1" s="1"/>
    </row>
    <row r="3" spans="1:17" ht="15" customHeight="1" x14ac:dyDescent="0.25">
      <c r="A3" s="6" t="s">
        <v>27</v>
      </c>
      <c r="B3" s="41" t="s">
        <v>697</v>
      </c>
      <c r="F3" s="42"/>
    </row>
    <row r="5" spans="1:17" x14ac:dyDescent="0.25">
      <c r="A5" s="48" t="s">
        <v>157</v>
      </c>
      <c r="B5" s="48" t="s">
        <v>158</v>
      </c>
      <c r="C5" s="48" t="s">
        <v>159</v>
      </c>
      <c r="D5" s="48" t="s">
        <v>160</v>
      </c>
      <c r="E5" s="58" t="s">
        <v>161</v>
      </c>
      <c r="F5" s="48" t="s">
        <v>162</v>
      </c>
      <c r="G5" s="48" t="s">
        <v>163</v>
      </c>
      <c r="I5" s="320" t="s">
        <v>1153</v>
      </c>
      <c r="J5" s="320"/>
      <c r="K5" s="320" t="s">
        <v>1154</v>
      </c>
      <c r="L5" s="320" t="s">
        <v>1155</v>
      </c>
      <c r="M5" s="320" t="s">
        <v>1156</v>
      </c>
      <c r="N5" s="320" t="s">
        <v>1157</v>
      </c>
      <c r="O5" s="320" t="s">
        <v>1158</v>
      </c>
      <c r="P5" s="320" t="s">
        <v>1159</v>
      </c>
      <c r="Q5" s="320" t="s">
        <v>1154</v>
      </c>
    </row>
    <row r="6" spans="1:17" x14ac:dyDescent="0.25">
      <c r="A6">
        <v>716</v>
      </c>
      <c r="B6" t="s">
        <v>164</v>
      </c>
      <c r="C6" t="s">
        <v>165</v>
      </c>
      <c r="D6" t="s">
        <v>166</v>
      </c>
      <c r="E6">
        <v>852034409</v>
      </c>
      <c r="F6" s="365" t="s">
        <v>167</v>
      </c>
      <c r="G6" t="s">
        <v>168</v>
      </c>
      <c r="I6" t="str">
        <f>LOWER(B5)</f>
        <v>vardas</v>
      </c>
      <c r="J6" t="str">
        <f>LOWER(C5)</f>
        <v>pavardė</v>
      </c>
      <c r="K6" t="str">
        <f>I6&amp;" "&amp;J6</f>
        <v>vardas pavardė</v>
      </c>
      <c r="L6" t="str">
        <f>UPPER(K6)</f>
        <v>VARDAS PAVARDĖ</v>
      </c>
      <c r="M6" t="str">
        <f>PROPER(L6)</f>
        <v>Vardas Pavardė</v>
      </c>
      <c r="N6" t="str">
        <f>LEFT(E6,1)</f>
        <v>8</v>
      </c>
      <c r="O6" t="str">
        <f>LEFT(E6,4)</f>
        <v>8520</v>
      </c>
      <c r="P6" t="str">
        <f>RIGHT(E6,5)</f>
        <v>34409</v>
      </c>
      <c r="Q6" t="str">
        <f>N6&amp;-O6&amp;"-"&amp;P6</f>
        <v>8-8520-34409</v>
      </c>
    </row>
    <row r="7" spans="1:17" ht="15" customHeight="1" x14ac:dyDescent="0.25">
      <c r="A7">
        <v>712</v>
      </c>
      <c r="B7" t="s">
        <v>169</v>
      </c>
      <c r="C7" t="s">
        <v>170</v>
      </c>
      <c r="D7" t="s">
        <v>171</v>
      </c>
      <c r="E7">
        <v>852034407</v>
      </c>
      <c r="F7" t="s">
        <v>1021</v>
      </c>
      <c r="G7" t="s">
        <v>1087</v>
      </c>
      <c r="I7" t="str">
        <f>LOWER(B6)</f>
        <v>egidijus</v>
      </c>
      <c r="J7" t="str">
        <f>LOWER(C6)</f>
        <v>purlys</v>
      </c>
      <c r="K7" t="str">
        <f>I7&amp;" "&amp;J7</f>
        <v>egidijus purlys</v>
      </c>
      <c r="L7" t="str">
        <f>UPPER(K7)</f>
        <v>EGIDIJUS PURLYS</v>
      </c>
      <c r="M7" t="str">
        <f>PROPER(L7)</f>
        <v>Egidijus Purlys</v>
      </c>
      <c r="N7" t="str">
        <f t="shared" ref="N7:N70" si="0">LEFT(E7,1)</f>
        <v>8</v>
      </c>
      <c r="O7" t="str">
        <f t="shared" ref="O7:O70" si="1">LEFT(E7,4)</f>
        <v>8520</v>
      </c>
      <c r="P7" t="str">
        <f t="shared" ref="P7:P70" si="2">RIGHT(E7,5)</f>
        <v>34407</v>
      </c>
      <c r="Q7" t="str">
        <f t="shared" ref="Q7:Q70" si="3">N7&amp;-O7&amp;"-"&amp;P7</f>
        <v>8-8520-34407</v>
      </c>
    </row>
    <row r="8" spans="1:17" x14ac:dyDescent="0.25">
      <c r="A8">
        <v>715</v>
      </c>
      <c r="B8" t="s">
        <v>172</v>
      </c>
      <c r="C8" t="s">
        <v>173</v>
      </c>
      <c r="D8" t="s">
        <v>174</v>
      </c>
      <c r="E8">
        <v>852034408</v>
      </c>
      <c r="F8" t="s">
        <v>1022</v>
      </c>
      <c r="G8" t="s">
        <v>1088</v>
      </c>
      <c r="I8" t="str">
        <f t="shared" ref="I8:I71" si="4">LOWER(B7)</f>
        <v>žygimantas</v>
      </c>
      <c r="J8" t="str">
        <f t="shared" ref="J8:J71" si="5">LOWER(C7)</f>
        <v>vaičiūnas</v>
      </c>
      <c r="K8" t="str">
        <f t="shared" ref="K8:K71" si="6">I8&amp;" "&amp;J8</f>
        <v>žygimantas vaičiūnas</v>
      </c>
      <c r="L8" t="str">
        <f t="shared" ref="L8:L71" si="7">UPPER(K8)</f>
        <v>ŽYGIMANTAS VAIČIŪNAS</v>
      </c>
      <c r="M8" t="str">
        <f t="shared" ref="M8:M71" si="8">PROPER(L8)</f>
        <v>Žygimantas Vaičiūnas</v>
      </c>
      <c r="N8" t="str">
        <f t="shared" si="0"/>
        <v>8</v>
      </c>
      <c r="O8" t="str">
        <f t="shared" si="1"/>
        <v>8520</v>
      </c>
      <c r="P8" t="str">
        <f t="shared" si="2"/>
        <v>34408</v>
      </c>
      <c r="Q8" t="str">
        <f t="shared" si="3"/>
        <v>8-8520-34408</v>
      </c>
    </row>
    <row r="9" spans="1:17" x14ac:dyDescent="0.25">
      <c r="A9">
        <v>719</v>
      </c>
      <c r="B9" t="s">
        <v>175</v>
      </c>
      <c r="C9" t="s">
        <v>176</v>
      </c>
      <c r="D9" t="s">
        <v>177</v>
      </c>
      <c r="E9">
        <v>852034427</v>
      </c>
      <c r="F9" t="s">
        <v>1023</v>
      </c>
      <c r="G9" t="s">
        <v>1089</v>
      </c>
      <c r="I9" t="str">
        <f t="shared" si="4"/>
        <v>lina</v>
      </c>
      <c r="J9" t="str">
        <f t="shared" si="5"/>
        <v>sabaitienė</v>
      </c>
      <c r="K9" t="str">
        <f t="shared" si="6"/>
        <v>lina sabaitienė</v>
      </c>
      <c r="L9" t="str">
        <f t="shared" si="7"/>
        <v>LINA SABAITIENĖ</v>
      </c>
      <c r="M9" t="str">
        <f t="shared" si="8"/>
        <v>Lina Sabaitienė</v>
      </c>
      <c r="N9" t="str">
        <f t="shared" si="0"/>
        <v>8</v>
      </c>
      <c r="O9" t="str">
        <f t="shared" si="1"/>
        <v>8520</v>
      </c>
      <c r="P9" t="str">
        <f t="shared" si="2"/>
        <v>34427</v>
      </c>
      <c r="Q9" t="str">
        <f t="shared" si="3"/>
        <v>8-8520-34427</v>
      </c>
    </row>
    <row r="10" spans="1:17" x14ac:dyDescent="0.25">
      <c r="A10">
        <v>720</v>
      </c>
      <c r="B10" t="s">
        <v>178</v>
      </c>
      <c r="C10" t="s">
        <v>179</v>
      </c>
      <c r="D10" t="s">
        <v>180</v>
      </c>
      <c r="E10">
        <v>852034407</v>
      </c>
      <c r="F10" t="s">
        <v>1024</v>
      </c>
      <c r="G10" t="s">
        <v>1090</v>
      </c>
      <c r="I10" t="str">
        <f t="shared" si="4"/>
        <v>aurelija</v>
      </c>
      <c r="J10" t="str">
        <f t="shared" si="5"/>
        <v>vernickaitė</v>
      </c>
      <c r="K10" t="str">
        <f t="shared" si="6"/>
        <v>aurelija vernickaitė</v>
      </c>
      <c r="L10" t="str">
        <f t="shared" si="7"/>
        <v>AURELIJA VERNICKAITĖ</v>
      </c>
      <c r="M10" t="str">
        <f t="shared" si="8"/>
        <v>Aurelija Vernickaitė</v>
      </c>
      <c r="N10" t="str">
        <f t="shared" si="0"/>
        <v>8</v>
      </c>
      <c r="O10" t="str">
        <f t="shared" si="1"/>
        <v>8520</v>
      </c>
      <c r="P10" t="str">
        <f t="shared" si="2"/>
        <v>34407</v>
      </c>
      <c r="Q10" t="str">
        <f t="shared" si="3"/>
        <v>8-8520-34407</v>
      </c>
    </row>
    <row r="11" spans="1:17" x14ac:dyDescent="0.25">
      <c r="A11">
        <v>724</v>
      </c>
      <c r="B11" t="s">
        <v>181</v>
      </c>
      <c r="C11" t="s">
        <v>182</v>
      </c>
      <c r="D11" t="s">
        <v>183</v>
      </c>
      <c r="E11">
        <v>852034425</v>
      </c>
      <c r="F11" t="s">
        <v>1025</v>
      </c>
      <c r="G11" t="s">
        <v>1091</v>
      </c>
      <c r="I11" t="str">
        <f t="shared" si="4"/>
        <v>sandra</v>
      </c>
      <c r="J11" t="str">
        <f t="shared" si="5"/>
        <v>paulavičienė</v>
      </c>
      <c r="K11" t="str">
        <f t="shared" si="6"/>
        <v>sandra paulavičienė</v>
      </c>
      <c r="L11" t="str">
        <f t="shared" si="7"/>
        <v>SANDRA PAULAVIČIENĖ</v>
      </c>
      <c r="M11" t="str">
        <f t="shared" si="8"/>
        <v>Sandra Paulavičienė</v>
      </c>
      <c r="N11" t="str">
        <f t="shared" si="0"/>
        <v>8</v>
      </c>
      <c r="O11" t="str">
        <f t="shared" si="1"/>
        <v>8520</v>
      </c>
      <c r="P11" t="str">
        <f t="shared" si="2"/>
        <v>34425</v>
      </c>
      <c r="Q11" t="str">
        <f t="shared" si="3"/>
        <v>8-8520-34425</v>
      </c>
    </row>
    <row r="12" spans="1:17" ht="15" customHeight="1" x14ac:dyDescent="0.25">
      <c r="A12">
        <v>725</v>
      </c>
      <c r="B12" t="s">
        <v>184</v>
      </c>
      <c r="C12" t="s">
        <v>185</v>
      </c>
      <c r="D12" t="s">
        <v>186</v>
      </c>
      <c r="E12">
        <v>852034470</v>
      </c>
      <c r="F12" t="s">
        <v>1026</v>
      </c>
      <c r="G12" t="s">
        <v>1092</v>
      </c>
      <c r="I12" t="str">
        <f t="shared" si="4"/>
        <v>ramūnas</v>
      </c>
      <c r="J12" t="str">
        <f t="shared" si="5"/>
        <v>dilba</v>
      </c>
      <c r="K12" t="str">
        <f t="shared" si="6"/>
        <v>ramūnas dilba</v>
      </c>
      <c r="L12" t="str">
        <f t="shared" si="7"/>
        <v>RAMŪNAS DILBA</v>
      </c>
      <c r="M12" t="str">
        <f t="shared" si="8"/>
        <v>Ramūnas Dilba</v>
      </c>
      <c r="N12" t="str">
        <f t="shared" si="0"/>
        <v>8</v>
      </c>
      <c r="O12" t="str">
        <f t="shared" si="1"/>
        <v>8520</v>
      </c>
      <c r="P12" t="str">
        <f t="shared" si="2"/>
        <v>34470</v>
      </c>
      <c r="Q12" t="str">
        <f t="shared" si="3"/>
        <v>8-8520-34470</v>
      </c>
    </row>
    <row r="13" spans="1:17" x14ac:dyDescent="0.25">
      <c r="A13">
        <v>726</v>
      </c>
      <c r="B13" t="s">
        <v>187</v>
      </c>
      <c r="C13" t="s">
        <v>188</v>
      </c>
      <c r="D13" t="s">
        <v>189</v>
      </c>
      <c r="E13">
        <v>852034470</v>
      </c>
      <c r="F13" t="s">
        <v>1027</v>
      </c>
      <c r="G13" t="s">
        <v>1093</v>
      </c>
      <c r="I13" t="str">
        <f t="shared" si="4"/>
        <v>aušra</v>
      </c>
      <c r="J13" t="str">
        <f t="shared" si="5"/>
        <v>siniuvienė</v>
      </c>
      <c r="K13" t="str">
        <f t="shared" si="6"/>
        <v>aušra siniuvienė</v>
      </c>
      <c r="L13" t="str">
        <f t="shared" si="7"/>
        <v>AUŠRA SINIUVIENĖ</v>
      </c>
      <c r="M13" t="str">
        <f t="shared" si="8"/>
        <v>Aušra Siniuvienė</v>
      </c>
      <c r="N13" t="str">
        <f t="shared" si="0"/>
        <v>8</v>
      </c>
      <c r="O13" t="str">
        <f t="shared" si="1"/>
        <v>8520</v>
      </c>
      <c r="P13" t="str">
        <f t="shared" si="2"/>
        <v>34470</v>
      </c>
      <c r="Q13" t="str">
        <f t="shared" si="3"/>
        <v>8-8520-34470</v>
      </c>
    </row>
    <row r="14" spans="1:17" x14ac:dyDescent="0.25">
      <c r="A14">
        <v>727</v>
      </c>
      <c r="B14" t="s">
        <v>190</v>
      </c>
      <c r="C14" t="s">
        <v>191</v>
      </c>
      <c r="D14" t="s">
        <v>192</v>
      </c>
      <c r="E14">
        <v>852034470</v>
      </c>
      <c r="F14" t="s">
        <v>1028</v>
      </c>
      <c r="G14" t="s">
        <v>1094</v>
      </c>
      <c r="I14" t="str">
        <f t="shared" si="4"/>
        <v>ramunė</v>
      </c>
      <c r="J14" t="str">
        <f t="shared" si="5"/>
        <v>mikalauskienė</v>
      </c>
      <c r="K14" t="str">
        <f t="shared" si="6"/>
        <v>ramunė mikalauskienė</v>
      </c>
      <c r="L14" t="str">
        <f t="shared" si="7"/>
        <v>RAMUNĖ MIKALAUSKIENĖ</v>
      </c>
      <c r="M14" t="str">
        <f t="shared" si="8"/>
        <v>Ramunė Mikalauskienė</v>
      </c>
      <c r="N14" t="str">
        <f t="shared" si="0"/>
        <v>8</v>
      </c>
      <c r="O14" t="str">
        <f t="shared" si="1"/>
        <v>8520</v>
      </c>
      <c r="P14" t="str">
        <f t="shared" si="2"/>
        <v>34470</v>
      </c>
      <c r="Q14" t="str">
        <f t="shared" si="3"/>
        <v>8-8520-34470</v>
      </c>
    </row>
    <row r="15" spans="1:17" x14ac:dyDescent="0.25">
      <c r="A15">
        <v>728</v>
      </c>
      <c r="B15" t="s">
        <v>193</v>
      </c>
      <c r="C15" t="s">
        <v>194</v>
      </c>
      <c r="D15" t="s">
        <v>195</v>
      </c>
      <c r="E15">
        <v>852034470</v>
      </c>
      <c r="F15" t="s">
        <v>1029</v>
      </c>
      <c r="G15" t="s">
        <v>1095</v>
      </c>
      <c r="I15" t="str">
        <f t="shared" si="4"/>
        <v>dovilė</v>
      </c>
      <c r="J15" t="str">
        <f t="shared" si="5"/>
        <v>zajauskaitė</v>
      </c>
      <c r="K15" t="str">
        <f t="shared" si="6"/>
        <v>dovilė zajauskaitė</v>
      </c>
      <c r="L15" t="str">
        <f t="shared" si="7"/>
        <v>DOVILĖ ZAJAUSKAITĖ</v>
      </c>
      <c r="M15" t="str">
        <f t="shared" si="8"/>
        <v>Dovilė Zajauskaitė</v>
      </c>
      <c r="N15" t="str">
        <f t="shared" si="0"/>
        <v>8</v>
      </c>
      <c r="O15" t="str">
        <f t="shared" si="1"/>
        <v>8520</v>
      </c>
      <c r="P15" t="str">
        <f t="shared" si="2"/>
        <v>34470</v>
      </c>
      <c r="Q15" t="str">
        <f t="shared" si="3"/>
        <v>8-8520-34470</v>
      </c>
    </row>
    <row r="16" spans="1:17" x14ac:dyDescent="0.25">
      <c r="A16">
        <v>729</v>
      </c>
      <c r="B16" t="s">
        <v>187</v>
      </c>
      <c r="C16" t="s">
        <v>196</v>
      </c>
      <c r="D16" t="s">
        <v>195</v>
      </c>
      <c r="E16">
        <v>852034470</v>
      </c>
      <c r="F16" t="s">
        <v>1030</v>
      </c>
      <c r="G16" t="s">
        <v>1096</v>
      </c>
      <c r="I16" t="str">
        <f t="shared" si="4"/>
        <v>daiva</v>
      </c>
      <c r="J16" t="str">
        <f t="shared" si="5"/>
        <v>brazdžiuvienė</v>
      </c>
      <c r="K16" t="str">
        <f t="shared" si="6"/>
        <v>daiva brazdžiuvienė</v>
      </c>
      <c r="L16" t="str">
        <f t="shared" si="7"/>
        <v>DAIVA BRAZDŽIUVIENĖ</v>
      </c>
      <c r="M16" t="str">
        <f t="shared" si="8"/>
        <v>Daiva Brazdžiuvienė</v>
      </c>
      <c r="N16" t="str">
        <f t="shared" si="0"/>
        <v>8</v>
      </c>
      <c r="O16" t="str">
        <f t="shared" si="1"/>
        <v>8520</v>
      </c>
      <c r="P16" t="str">
        <f t="shared" si="2"/>
        <v>34470</v>
      </c>
      <c r="Q16" t="str">
        <f t="shared" si="3"/>
        <v>8-8520-34470</v>
      </c>
    </row>
    <row r="17" spans="1:17" ht="15" customHeight="1" x14ac:dyDescent="0.25">
      <c r="A17">
        <v>730</v>
      </c>
      <c r="B17" t="s">
        <v>197</v>
      </c>
      <c r="C17" t="s">
        <v>198</v>
      </c>
      <c r="D17" t="s">
        <v>195</v>
      </c>
      <c r="E17">
        <v>852034470</v>
      </c>
      <c r="F17" t="s">
        <v>1031</v>
      </c>
      <c r="G17" t="s">
        <v>1097</v>
      </c>
      <c r="I17" t="str">
        <f t="shared" si="4"/>
        <v>ramunė</v>
      </c>
      <c r="J17" t="str">
        <f t="shared" si="5"/>
        <v>žičkutė-artamonova</v>
      </c>
      <c r="K17" t="str">
        <f t="shared" si="6"/>
        <v>ramunė žičkutė-artamonova</v>
      </c>
      <c r="L17" t="str">
        <f t="shared" si="7"/>
        <v>RAMUNĖ ŽIČKUTĖ-ARTAMONOVA</v>
      </c>
      <c r="M17" t="str">
        <f t="shared" si="8"/>
        <v>Ramunė Žičkutė-Artamonova</v>
      </c>
      <c r="N17" t="str">
        <f t="shared" si="0"/>
        <v>8</v>
      </c>
      <c r="O17" t="str">
        <f t="shared" si="1"/>
        <v>8520</v>
      </c>
      <c r="P17" t="str">
        <f t="shared" si="2"/>
        <v>34470</v>
      </c>
      <c r="Q17" t="str">
        <f t="shared" si="3"/>
        <v>8-8520-34470</v>
      </c>
    </row>
    <row r="18" spans="1:17" x14ac:dyDescent="0.25">
      <c r="A18">
        <v>732</v>
      </c>
      <c r="B18" t="s">
        <v>199</v>
      </c>
      <c r="C18" t="s">
        <v>200</v>
      </c>
      <c r="D18" t="s">
        <v>189</v>
      </c>
      <c r="E18">
        <v>852034684</v>
      </c>
      <c r="F18" t="s">
        <v>1032</v>
      </c>
      <c r="G18" t="s">
        <v>1098</v>
      </c>
      <c r="I18" t="str">
        <f t="shared" si="4"/>
        <v>brigita</v>
      </c>
      <c r="J18" t="str">
        <f t="shared" si="5"/>
        <v>paulikienė</v>
      </c>
      <c r="K18" t="str">
        <f t="shared" si="6"/>
        <v>brigita paulikienė</v>
      </c>
      <c r="L18" t="str">
        <f t="shared" si="7"/>
        <v>BRIGITA PAULIKIENĖ</v>
      </c>
      <c r="M18" t="str">
        <f t="shared" si="8"/>
        <v>Brigita Paulikienė</v>
      </c>
      <c r="N18" t="str">
        <f t="shared" si="0"/>
        <v>8</v>
      </c>
      <c r="O18" t="str">
        <f t="shared" si="1"/>
        <v>8520</v>
      </c>
      <c r="P18" t="str">
        <f t="shared" si="2"/>
        <v>34684</v>
      </c>
      <c r="Q18" t="str">
        <f t="shared" si="3"/>
        <v>8-8520-34684</v>
      </c>
    </row>
    <row r="19" spans="1:17" x14ac:dyDescent="0.25">
      <c r="A19">
        <v>733</v>
      </c>
      <c r="B19" t="s">
        <v>201</v>
      </c>
      <c r="C19" t="s">
        <v>202</v>
      </c>
      <c r="D19" t="s">
        <v>192</v>
      </c>
      <c r="E19">
        <v>852034684</v>
      </c>
      <c r="F19" t="s">
        <v>1033</v>
      </c>
      <c r="G19" t="s">
        <v>1099</v>
      </c>
      <c r="I19" t="str">
        <f t="shared" si="4"/>
        <v>asta</v>
      </c>
      <c r="J19" t="str">
        <f t="shared" si="5"/>
        <v>žalnieriūtė</v>
      </c>
      <c r="K19" t="str">
        <f t="shared" si="6"/>
        <v>asta žalnieriūtė</v>
      </c>
      <c r="L19" t="str">
        <f t="shared" si="7"/>
        <v>ASTA ŽALNIERIŪTĖ</v>
      </c>
      <c r="M19" t="str">
        <f t="shared" si="8"/>
        <v>Asta Žalnieriūtė</v>
      </c>
      <c r="N19" t="str">
        <f t="shared" si="0"/>
        <v>8</v>
      </c>
      <c r="O19" t="str">
        <f t="shared" si="1"/>
        <v>8520</v>
      </c>
      <c r="P19" t="str">
        <f t="shared" si="2"/>
        <v>34684</v>
      </c>
      <c r="Q19" t="str">
        <f t="shared" si="3"/>
        <v>8-8520-34684</v>
      </c>
    </row>
    <row r="20" spans="1:17" x14ac:dyDescent="0.25">
      <c r="A20">
        <v>734</v>
      </c>
      <c r="B20" t="s">
        <v>203</v>
      </c>
      <c r="C20" t="s">
        <v>204</v>
      </c>
      <c r="D20" t="s">
        <v>205</v>
      </c>
      <c r="E20">
        <v>852034684</v>
      </c>
      <c r="F20" t="s">
        <v>1034</v>
      </c>
      <c r="G20" t="s">
        <v>1100</v>
      </c>
      <c r="I20" t="str">
        <f t="shared" si="4"/>
        <v>patricija</v>
      </c>
      <c r="J20" t="str">
        <f t="shared" si="5"/>
        <v>ceiko</v>
      </c>
      <c r="K20" t="str">
        <f t="shared" si="6"/>
        <v>patricija ceiko</v>
      </c>
      <c r="L20" t="str">
        <f t="shared" si="7"/>
        <v>PATRICIJA CEIKO</v>
      </c>
      <c r="M20" t="str">
        <f t="shared" si="8"/>
        <v>Patricija Ceiko</v>
      </c>
      <c r="N20" t="str">
        <f t="shared" si="0"/>
        <v>8</v>
      </c>
      <c r="O20" t="str">
        <f t="shared" si="1"/>
        <v>8520</v>
      </c>
      <c r="P20" t="str">
        <f t="shared" si="2"/>
        <v>34684</v>
      </c>
      <c r="Q20" t="str">
        <f t="shared" si="3"/>
        <v>8-8520-34684</v>
      </c>
    </row>
    <row r="21" spans="1:17" x14ac:dyDescent="0.25">
      <c r="A21">
        <v>735</v>
      </c>
      <c r="B21" t="s">
        <v>206</v>
      </c>
      <c r="C21" t="s">
        <v>207</v>
      </c>
      <c r="D21" t="s">
        <v>195</v>
      </c>
      <c r="E21">
        <v>852034684</v>
      </c>
      <c r="F21" t="s">
        <v>1035</v>
      </c>
      <c r="G21" t="s">
        <v>1101</v>
      </c>
      <c r="I21" t="str">
        <f t="shared" si="4"/>
        <v>renatas</v>
      </c>
      <c r="J21" t="str">
        <f t="shared" si="5"/>
        <v>šumskis</v>
      </c>
      <c r="K21" t="str">
        <f t="shared" si="6"/>
        <v>renatas šumskis</v>
      </c>
      <c r="L21" t="str">
        <f t="shared" si="7"/>
        <v>RENATAS ŠUMSKIS</v>
      </c>
      <c r="M21" t="str">
        <f t="shared" si="8"/>
        <v>Renatas Šumskis</v>
      </c>
      <c r="N21" t="str">
        <f t="shared" si="0"/>
        <v>8</v>
      </c>
      <c r="O21" t="str">
        <f t="shared" si="1"/>
        <v>8520</v>
      </c>
      <c r="P21" t="str">
        <f t="shared" si="2"/>
        <v>34684</v>
      </c>
      <c r="Q21" t="str">
        <f t="shared" si="3"/>
        <v>8-8520-34684</v>
      </c>
    </row>
    <row r="22" spans="1:17" x14ac:dyDescent="0.25">
      <c r="A22">
        <v>737</v>
      </c>
      <c r="B22" t="s">
        <v>172</v>
      </c>
      <c r="C22" t="s">
        <v>208</v>
      </c>
      <c r="D22" t="s">
        <v>189</v>
      </c>
      <c r="E22">
        <v>852034456</v>
      </c>
      <c r="F22" t="s">
        <v>1036</v>
      </c>
      <c r="G22" t="s">
        <v>1102</v>
      </c>
      <c r="I22" t="str">
        <f t="shared" si="4"/>
        <v>ieva</v>
      </c>
      <c r="J22" t="str">
        <f t="shared" si="5"/>
        <v>lukošiūtė</v>
      </c>
      <c r="K22" t="str">
        <f t="shared" si="6"/>
        <v>ieva lukošiūtė</v>
      </c>
      <c r="L22" t="str">
        <f t="shared" si="7"/>
        <v>IEVA LUKOŠIŪTĖ</v>
      </c>
      <c r="M22" t="str">
        <f t="shared" si="8"/>
        <v>Ieva Lukošiūtė</v>
      </c>
      <c r="N22" t="str">
        <f t="shared" si="0"/>
        <v>8</v>
      </c>
      <c r="O22" t="str">
        <f t="shared" si="1"/>
        <v>8520</v>
      </c>
      <c r="P22" t="str">
        <f t="shared" si="2"/>
        <v>34456</v>
      </c>
      <c r="Q22" t="str">
        <f t="shared" si="3"/>
        <v>8-8520-34456</v>
      </c>
    </row>
    <row r="23" spans="1:17" x14ac:dyDescent="0.25">
      <c r="A23">
        <v>739</v>
      </c>
      <c r="B23" t="s">
        <v>209</v>
      </c>
      <c r="C23" t="s">
        <v>210</v>
      </c>
      <c r="D23" t="s">
        <v>189</v>
      </c>
      <c r="E23">
        <v>852034679</v>
      </c>
      <c r="F23" t="s">
        <v>1037</v>
      </c>
      <c r="G23" t="s">
        <v>1103</v>
      </c>
      <c r="I23" t="str">
        <f t="shared" si="4"/>
        <v>lina</v>
      </c>
      <c r="J23" t="str">
        <f t="shared" si="5"/>
        <v>šmočiukienė</v>
      </c>
      <c r="K23" t="str">
        <f t="shared" si="6"/>
        <v>lina šmočiukienė</v>
      </c>
      <c r="L23" t="str">
        <f t="shared" si="7"/>
        <v>LINA ŠMOČIUKIENĖ</v>
      </c>
      <c r="M23" t="str">
        <f t="shared" si="8"/>
        <v>Lina Šmočiukienė</v>
      </c>
      <c r="N23" t="str">
        <f t="shared" si="0"/>
        <v>8</v>
      </c>
      <c r="O23" t="str">
        <f t="shared" si="1"/>
        <v>8520</v>
      </c>
      <c r="P23" t="str">
        <f t="shared" si="2"/>
        <v>34679</v>
      </c>
      <c r="Q23" t="str">
        <f t="shared" si="3"/>
        <v>8-8520-34679</v>
      </c>
    </row>
    <row r="24" spans="1:17" x14ac:dyDescent="0.25">
      <c r="A24">
        <v>741</v>
      </c>
      <c r="B24" t="s">
        <v>211</v>
      </c>
      <c r="C24" t="s">
        <v>212</v>
      </c>
      <c r="D24" t="s">
        <v>195</v>
      </c>
      <c r="E24">
        <v>852034679</v>
      </c>
      <c r="F24" t="s">
        <v>1038</v>
      </c>
      <c r="G24" t="s">
        <v>1104</v>
      </c>
      <c r="I24" t="str">
        <f t="shared" si="4"/>
        <v>violeta</v>
      </c>
      <c r="J24" t="str">
        <f t="shared" si="5"/>
        <v>greičiuvienė</v>
      </c>
      <c r="K24" t="str">
        <f t="shared" si="6"/>
        <v>violeta greičiuvienė</v>
      </c>
      <c r="L24" t="str">
        <f t="shared" si="7"/>
        <v>VIOLETA GREIČIUVIENĖ</v>
      </c>
      <c r="M24" t="str">
        <f t="shared" si="8"/>
        <v>Violeta Greičiuvienė</v>
      </c>
      <c r="N24" t="str">
        <f t="shared" si="0"/>
        <v>8</v>
      </c>
      <c r="O24" t="str">
        <f t="shared" si="1"/>
        <v>8520</v>
      </c>
      <c r="P24" t="str">
        <f t="shared" si="2"/>
        <v>34679</v>
      </c>
      <c r="Q24" t="str">
        <f t="shared" si="3"/>
        <v>8-8520-34679</v>
      </c>
    </row>
    <row r="25" spans="1:17" x14ac:dyDescent="0.25">
      <c r="A25">
        <v>743</v>
      </c>
      <c r="B25" t="s">
        <v>213</v>
      </c>
      <c r="C25" t="s">
        <v>214</v>
      </c>
      <c r="D25" t="s">
        <v>195</v>
      </c>
      <c r="E25">
        <v>852034679</v>
      </c>
      <c r="F25" t="s">
        <v>1039</v>
      </c>
      <c r="G25" t="s">
        <v>1105</v>
      </c>
      <c r="I25" t="str">
        <f t="shared" si="4"/>
        <v>vida</v>
      </c>
      <c r="J25" t="str">
        <f t="shared" si="5"/>
        <v>baltmiškytė</v>
      </c>
      <c r="K25" t="str">
        <f t="shared" si="6"/>
        <v>vida baltmiškytė</v>
      </c>
      <c r="L25" t="str">
        <f t="shared" si="7"/>
        <v>VIDA BALTMIŠKYTĖ</v>
      </c>
      <c r="M25" t="str">
        <f t="shared" si="8"/>
        <v>Vida Baltmiškytė</v>
      </c>
      <c r="N25" t="str">
        <f t="shared" si="0"/>
        <v>8</v>
      </c>
      <c r="O25" t="str">
        <f t="shared" si="1"/>
        <v>8520</v>
      </c>
      <c r="P25" t="str">
        <f t="shared" si="2"/>
        <v>34679</v>
      </c>
      <c r="Q25" t="str">
        <f t="shared" si="3"/>
        <v>8-8520-34679</v>
      </c>
    </row>
    <row r="26" spans="1:17" x14ac:dyDescent="0.25">
      <c r="A26">
        <v>744</v>
      </c>
      <c r="B26" t="s">
        <v>215</v>
      </c>
      <c r="C26" t="s">
        <v>216</v>
      </c>
      <c r="D26" t="s">
        <v>195</v>
      </c>
      <c r="E26">
        <v>852034679</v>
      </c>
      <c r="F26" t="s">
        <v>1040</v>
      </c>
      <c r="G26" t="s">
        <v>1106</v>
      </c>
      <c r="I26" t="str">
        <f t="shared" si="4"/>
        <v>ineta</v>
      </c>
      <c r="J26" t="str">
        <f t="shared" si="5"/>
        <v>blakunovaitė</v>
      </c>
      <c r="K26" t="str">
        <f t="shared" si="6"/>
        <v>ineta blakunovaitė</v>
      </c>
      <c r="L26" t="str">
        <f t="shared" si="7"/>
        <v>INETA BLAKUNOVAITĖ</v>
      </c>
      <c r="M26" t="str">
        <f t="shared" si="8"/>
        <v>Ineta Blakunovaitė</v>
      </c>
      <c r="N26" t="str">
        <f t="shared" si="0"/>
        <v>8</v>
      </c>
      <c r="O26" t="str">
        <f t="shared" si="1"/>
        <v>8520</v>
      </c>
      <c r="P26" t="str">
        <f t="shared" si="2"/>
        <v>34679</v>
      </c>
      <c r="Q26" t="str">
        <f t="shared" si="3"/>
        <v>8-8520-34679</v>
      </c>
    </row>
    <row r="27" spans="1:17" x14ac:dyDescent="0.25">
      <c r="A27">
        <v>746</v>
      </c>
      <c r="B27" t="s">
        <v>217</v>
      </c>
      <c r="C27" t="s">
        <v>218</v>
      </c>
      <c r="D27" t="s">
        <v>205</v>
      </c>
      <c r="E27">
        <v>852034830</v>
      </c>
      <c r="F27" t="s">
        <v>1041</v>
      </c>
      <c r="G27" t="s">
        <v>1107</v>
      </c>
      <c r="I27" t="str">
        <f t="shared" si="4"/>
        <v>reda</v>
      </c>
      <c r="J27" t="str">
        <f t="shared" si="5"/>
        <v>lichadziauskienė</v>
      </c>
      <c r="K27" t="str">
        <f t="shared" si="6"/>
        <v>reda lichadziauskienė</v>
      </c>
      <c r="L27" t="str">
        <f t="shared" si="7"/>
        <v>REDA LICHADZIAUSKIENĖ</v>
      </c>
      <c r="M27" t="str">
        <f t="shared" si="8"/>
        <v>Reda Lichadziauskienė</v>
      </c>
      <c r="N27" t="str">
        <f t="shared" si="0"/>
        <v>8</v>
      </c>
      <c r="O27" t="str">
        <f t="shared" si="1"/>
        <v>8520</v>
      </c>
      <c r="P27" t="str">
        <f t="shared" si="2"/>
        <v>34830</v>
      </c>
      <c r="Q27" t="str">
        <f t="shared" si="3"/>
        <v>8-8520-34830</v>
      </c>
    </row>
    <row r="28" spans="1:17" x14ac:dyDescent="0.25">
      <c r="A28">
        <v>747</v>
      </c>
      <c r="B28" t="s">
        <v>219</v>
      </c>
      <c r="C28" t="s">
        <v>220</v>
      </c>
      <c r="D28" t="s">
        <v>205</v>
      </c>
      <c r="E28">
        <v>852034830</v>
      </c>
      <c r="F28" t="s">
        <v>1042</v>
      </c>
      <c r="G28" t="s">
        <v>1108</v>
      </c>
      <c r="I28" t="str">
        <f t="shared" si="4"/>
        <v>arūnas</v>
      </c>
      <c r="J28" t="str">
        <f t="shared" si="5"/>
        <v>tepelys</v>
      </c>
      <c r="K28" t="str">
        <f t="shared" si="6"/>
        <v>arūnas tepelys</v>
      </c>
      <c r="L28" t="str">
        <f t="shared" si="7"/>
        <v>ARŪNAS TEPELYS</v>
      </c>
      <c r="M28" t="str">
        <f t="shared" si="8"/>
        <v>Arūnas Tepelys</v>
      </c>
      <c r="N28" t="str">
        <f t="shared" si="0"/>
        <v>8</v>
      </c>
      <c r="O28" t="str">
        <f t="shared" si="1"/>
        <v>8520</v>
      </c>
      <c r="P28" t="str">
        <f t="shared" si="2"/>
        <v>34830</v>
      </c>
      <c r="Q28" t="str">
        <f t="shared" si="3"/>
        <v>8-8520-34830</v>
      </c>
    </row>
    <row r="29" spans="1:17" x14ac:dyDescent="0.25">
      <c r="A29">
        <v>748</v>
      </c>
      <c r="B29" t="s">
        <v>221</v>
      </c>
      <c r="C29" t="s">
        <v>222</v>
      </c>
      <c r="D29" t="s">
        <v>205</v>
      </c>
      <c r="E29">
        <v>852034830</v>
      </c>
      <c r="F29" t="s">
        <v>1043</v>
      </c>
      <c r="G29" t="s">
        <v>1109</v>
      </c>
      <c r="I29" t="str">
        <f t="shared" si="4"/>
        <v>edvinas</v>
      </c>
      <c r="J29" t="str">
        <f t="shared" si="5"/>
        <v>federas</v>
      </c>
      <c r="K29" t="str">
        <f t="shared" si="6"/>
        <v>edvinas federas</v>
      </c>
      <c r="L29" t="str">
        <f t="shared" si="7"/>
        <v>EDVINAS FEDERAS</v>
      </c>
      <c r="M29" t="str">
        <f t="shared" si="8"/>
        <v>Edvinas Federas</v>
      </c>
      <c r="N29" t="str">
        <f t="shared" si="0"/>
        <v>8</v>
      </c>
      <c r="O29" t="str">
        <f t="shared" si="1"/>
        <v>8520</v>
      </c>
      <c r="P29" t="str">
        <f t="shared" si="2"/>
        <v>34830</v>
      </c>
      <c r="Q29" t="str">
        <f t="shared" si="3"/>
        <v>8-8520-34830</v>
      </c>
    </row>
    <row r="30" spans="1:17" x14ac:dyDescent="0.25">
      <c r="A30">
        <v>750</v>
      </c>
      <c r="B30" t="s">
        <v>223</v>
      </c>
      <c r="C30" t="s">
        <v>224</v>
      </c>
      <c r="D30" t="s">
        <v>205</v>
      </c>
      <c r="E30">
        <v>852034830</v>
      </c>
      <c r="F30" t="s">
        <v>1044</v>
      </c>
      <c r="G30" t="s">
        <v>1110</v>
      </c>
      <c r="I30" t="str">
        <f t="shared" si="4"/>
        <v>andrius</v>
      </c>
      <c r="J30" t="str">
        <f t="shared" si="5"/>
        <v>jovaiša</v>
      </c>
      <c r="K30" t="str">
        <f t="shared" si="6"/>
        <v>andrius jovaiša</v>
      </c>
      <c r="L30" t="str">
        <f t="shared" si="7"/>
        <v>ANDRIUS JOVAIŠA</v>
      </c>
      <c r="M30" t="str">
        <f t="shared" si="8"/>
        <v>Andrius Jovaiša</v>
      </c>
      <c r="N30" t="str">
        <f t="shared" si="0"/>
        <v>8</v>
      </c>
      <c r="O30" t="str">
        <f t="shared" si="1"/>
        <v>8520</v>
      </c>
      <c r="P30" t="str">
        <f t="shared" si="2"/>
        <v>34830</v>
      </c>
      <c r="Q30" t="str">
        <f t="shared" si="3"/>
        <v>8-8520-34830</v>
      </c>
    </row>
    <row r="31" spans="1:17" x14ac:dyDescent="0.25">
      <c r="A31">
        <v>751</v>
      </c>
      <c r="B31" t="s">
        <v>225</v>
      </c>
      <c r="C31" t="s">
        <v>226</v>
      </c>
      <c r="D31" t="s">
        <v>205</v>
      </c>
      <c r="E31">
        <v>852034830</v>
      </c>
      <c r="F31" t="s">
        <v>1045</v>
      </c>
      <c r="G31" t="s">
        <v>1111</v>
      </c>
      <c r="I31" t="str">
        <f t="shared" si="4"/>
        <v>valdas</v>
      </c>
      <c r="J31" t="str">
        <f t="shared" si="5"/>
        <v>zibalas</v>
      </c>
      <c r="K31" t="str">
        <f t="shared" si="6"/>
        <v>valdas zibalas</v>
      </c>
      <c r="L31" t="str">
        <f t="shared" si="7"/>
        <v>VALDAS ZIBALAS</v>
      </c>
      <c r="M31" t="str">
        <f t="shared" si="8"/>
        <v>Valdas Zibalas</v>
      </c>
      <c r="N31" t="str">
        <f t="shared" si="0"/>
        <v>8</v>
      </c>
      <c r="O31" t="str">
        <f t="shared" si="1"/>
        <v>8520</v>
      </c>
      <c r="P31" t="str">
        <f t="shared" si="2"/>
        <v>34830</v>
      </c>
      <c r="Q31" t="str">
        <f t="shared" si="3"/>
        <v>8-8520-34830</v>
      </c>
    </row>
    <row r="32" spans="1:17" x14ac:dyDescent="0.25">
      <c r="A32">
        <v>752</v>
      </c>
      <c r="B32" t="s">
        <v>227</v>
      </c>
      <c r="C32" t="s">
        <v>228</v>
      </c>
      <c r="D32" t="s">
        <v>195</v>
      </c>
      <c r="E32">
        <v>852034830</v>
      </c>
      <c r="F32" t="s">
        <v>1046</v>
      </c>
      <c r="G32" t="s">
        <v>1112</v>
      </c>
      <c r="I32" t="str">
        <f t="shared" si="4"/>
        <v>alfonsas</v>
      </c>
      <c r="J32" t="str">
        <f t="shared" si="5"/>
        <v>martinkėnas</v>
      </c>
      <c r="K32" t="str">
        <f t="shared" si="6"/>
        <v>alfonsas martinkėnas</v>
      </c>
      <c r="L32" t="str">
        <f t="shared" si="7"/>
        <v>ALFONSAS MARTINKĖNAS</v>
      </c>
      <c r="M32" t="str">
        <f t="shared" si="8"/>
        <v>Alfonsas Martinkėnas</v>
      </c>
      <c r="N32" t="str">
        <f t="shared" si="0"/>
        <v>8</v>
      </c>
      <c r="O32" t="str">
        <f t="shared" si="1"/>
        <v>8520</v>
      </c>
      <c r="P32" t="str">
        <f t="shared" si="2"/>
        <v>34830</v>
      </c>
      <c r="Q32" t="str">
        <f t="shared" si="3"/>
        <v>8-8520-34830</v>
      </c>
    </row>
    <row r="33" spans="1:17" x14ac:dyDescent="0.25">
      <c r="A33">
        <v>754</v>
      </c>
      <c r="B33" t="s">
        <v>229</v>
      </c>
      <c r="C33" t="s">
        <v>230</v>
      </c>
      <c r="D33" t="s">
        <v>195</v>
      </c>
      <c r="E33">
        <v>852034830</v>
      </c>
      <c r="F33" t="s">
        <v>1047</v>
      </c>
      <c r="G33" t="s">
        <v>1113</v>
      </c>
      <c r="I33" t="str">
        <f t="shared" si="4"/>
        <v>alina</v>
      </c>
      <c r="J33" t="str">
        <f t="shared" si="5"/>
        <v>grigalaitienė</v>
      </c>
      <c r="K33" t="str">
        <f t="shared" si="6"/>
        <v>alina grigalaitienė</v>
      </c>
      <c r="L33" t="str">
        <f t="shared" si="7"/>
        <v>ALINA GRIGALAITIENĖ</v>
      </c>
      <c r="M33" t="str">
        <f t="shared" si="8"/>
        <v>Alina Grigalaitienė</v>
      </c>
      <c r="N33" t="str">
        <f t="shared" si="0"/>
        <v>8</v>
      </c>
      <c r="O33" t="str">
        <f t="shared" si="1"/>
        <v>8520</v>
      </c>
      <c r="P33" t="str">
        <f t="shared" si="2"/>
        <v>34830</v>
      </c>
      <c r="Q33" t="str">
        <f t="shared" si="3"/>
        <v>8-8520-34830</v>
      </c>
    </row>
    <row r="34" spans="1:17" x14ac:dyDescent="0.25">
      <c r="A34">
        <v>755</v>
      </c>
      <c r="B34" t="s">
        <v>231</v>
      </c>
      <c r="C34" t="s">
        <v>232</v>
      </c>
      <c r="D34" t="s">
        <v>195</v>
      </c>
      <c r="E34">
        <v>852034830</v>
      </c>
      <c r="F34" t="s">
        <v>1048</v>
      </c>
      <c r="G34" t="s">
        <v>1114</v>
      </c>
      <c r="I34" t="str">
        <f t="shared" si="4"/>
        <v>ona</v>
      </c>
      <c r="J34" t="str">
        <f t="shared" si="5"/>
        <v>bankauskienė</v>
      </c>
      <c r="K34" t="str">
        <f t="shared" si="6"/>
        <v>ona bankauskienė</v>
      </c>
      <c r="L34" t="str">
        <f t="shared" si="7"/>
        <v>ONA BANKAUSKIENĖ</v>
      </c>
      <c r="M34" t="str">
        <f t="shared" si="8"/>
        <v>Ona Bankauskienė</v>
      </c>
      <c r="N34" t="str">
        <f t="shared" si="0"/>
        <v>8</v>
      </c>
      <c r="O34" t="str">
        <f t="shared" si="1"/>
        <v>8520</v>
      </c>
      <c r="P34" t="str">
        <f t="shared" si="2"/>
        <v>34830</v>
      </c>
      <c r="Q34" t="str">
        <f t="shared" si="3"/>
        <v>8-8520-34830</v>
      </c>
    </row>
    <row r="35" spans="1:17" x14ac:dyDescent="0.25">
      <c r="A35">
        <v>756</v>
      </c>
      <c r="B35" t="s">
        <v>233</v>
      </c>
      <c r="C35" t="s">
        <v>234</v>
      </c>
      <c r="D35" t="s">
        <v>189</v>
      </c>
      <c r="E35">
        <v>852034830</v>
      </c>
      <c r="F35" t="s">
        <v>1049</v>
      </c>
      <c r="G35" t="s">
        <v>1115</v>
      </c>
      <c r="I35" t="str">
        <f t="shared" si="4"/>
        <v>inga</v>
      </c>
      <c r="J35" t="str">
        <f t="shared" si="5"/>
        <v>štrofienė</v>
      </c>
      <c r="K35" t="str">
        <f t="shared" si="6"/>
        <v>inga štrofienė</v>
      </c>
      <c r="L35" t="str">
        <f t="shared" si="7"/>
        <v>INGA ŠTROFIENĖ</v>
      </c>
      <c r="M35" t="str">
        <f t="shared" si="8"/>
        <v>Inga Štrofienė</v>
      </c>
      <c r="N35" t="str">
        <f t="shared" si="0"/>
        <v>8</v>
      </c>
      <c r="O35" t="str">
        <f t="shared" si="1"/>
        <v>8520</v>
      </c>
      <c r="P35" t="str">
        <f t="shared" si="2"/>
        <v>34830</v>
      </c>
      <c r="Q35" t="str">
        <f t="shared" si="3"/>
        <v>8-8520-34830</v>
      </c>
    </row>
    <row r="36" spans="1:17" x14ac:dyDescent="0.25">
      <c r="A36">
        <v>758</v>
      </c>
      <c r="B36" t="s">
        <v>235</v>
      </c>
      <c r="C36" t="s">
        <v>236</v>
      </c>
      <c r="D36" t="s">
        <v>192</v>
      </c>
      <c r="E36">
        <v>852034830</v>
      </c>
      <c r="F36" t="s">
        <v>1050</v>
      </c>
      <c r="G36" t="s">
        <v>1116</v>
      </c>
      <c r="I36" t="str">
        <f t="shared" si="4"/>
        <v>snieguolė</v>
      </c>
      <c r="J36" t="str">
        <f t="shared" si="5"/>
        <v>kanapickaitė</v>
      </c>
      <c r="K36" t="str">
        <f t="shared" si="6"/>
        <v>snieguolė kanapickaitė</v>
      </c>
      <c r="L36" t="str">
        <f t="shared" si="7"/>
        <v>SNIEGUOLĖ KANAPICKAITĖ</v>
      </c>
      <c r="M36" t="str">
        <f t="shared" si="8"/>
        <v>Snieguolė Kanapickaitė</v>
      </c>
      <c r="N36" t="str">
        <f t="shared" si="0"/>
        <v>8</v>
      </c>
      <c r="O36" t="str">
        <f t="shared" si="1"/>
        <v>8520</v>
      </c>
      <c r="P36" t="str">
        <f t="shared" si="2"/>
        <v>34830</v>
      </c>
      <c r="Q36" t="str">
        <f t="shared" si="3"/>
        <v>8-8520-34830</v>
      </c>
    </row>
    <row r="37" spans="1:17" x14ac:dyDescent="0.25">
      <c r="A37">
        <v>806</v>
      </c>
      <c r="B37" t="s">
        <v>237</v>
      </c>
      <c r="C37" t="s">
        <v>238</v>
      </c>
      <c r="D37" t="s">
        <v>239</v>
      </c>
      <c r="E37">
        <v>852034424</v>
      </c>
      <c r="F37" t="s">
        <v>1051</v>
      </c>
      <c r="G37" t="s">
        <v>1117</v>
      </c>
      <c r="I37" t="str">
        <f t="shared" si="4"/>
        <v>renata</v>
      </c>
      <c r="J37" t="str">
        <f t="shared" si="5"/>
        <v>adomaitytė-šliogerienė</v>
      </c>
      <c r="K37" t="str">
        <f t="shared" si="6"/>
        <v>renata adomaitytė-šliogerienė</v>
      </c>
      <c r="L37" t="str">
        <f t="shared" si="7"/>
        <v>RENATA ADOMAITYTĖ-ŠLIOGERIENĖ</v>
      </c>
      <c r="M37" t="str">
        <f t="shared" si="8"/>
        <v>Renata Adomaitytė-Šliogerienė</v>
      </c>
      <c r="N37" t="str">
        <f t="shared" si="0"/>
        <v>8</v>
      </c>
      <c r="O37" t="str">
        <f t="shared" si="1"/>
        <v>8520</v>
      </c>
      <c r="P37" t="str">
        <f t="shared" si="2"/>
        <v>34424</v>
      </c>
      <c r="Q37" t="str">
        <f t="shared" si="3"/>
        <v>8-8520-34424</v>
      </c>
    </row>
    <row r="38" spans="1:17" x14ac:dyDescent="0.25">
      <c r="A38">
        <v>813</v>
      </c>
      <c r="B38" t="s">
        <v>231</v>
      </c>
      <c r="C38" t="s">
        <v>240</v>
      </c>
      <c r="D38" t="s">
        <v>195</v>
      </c>
      <c r="E38">
        <v>852034684</v>
      </c>
      <c r="F38" t="s">
        <v>1052</v>
      </c>
      <c r="G38" t="s">
        <v>1118</v>
      </c>
      <c r="I38" t="str">
        <f t="shared" si="4"/>
        <v>liudmila</v>
      </c>
      <c r="J38" t="str">
        <f t="shared" si="5"/>
        <v>naruševičiūtė</v>
      </c>
      <c r="K38" t="str">
        <f t="shared" si="6"/>
        <v>liudmila naruševičiūtė</v>
      </c>
      <c r="L38" t="str">
        <f t="shared" si="7"/>
        <v>LIUDMILA NARUŠEVIČIŪTĖ</v>
      </c>
      <c r="M38" t="str">
        <f t="shared" si="8"/>
        <v>Liudmila Naruševičiūtė</v>
      </c>
      <c r="N38" t="str">
        <f t="shared" si="0"/>
        <v>8</v>
      </c>
      <c r="O38" t="str">
        <f t="shared" si="1"/>
        <v>8520</v>
      </c>
      <c r="P38" t="str">
        <f t="shared" si="2"/>
        <v>34684</v>
      </c>
      <c r="Q38" t="str">
        <f t="shared" si="3"/>
        <v>8-8520-34684</v>
      </c>
    </row>
    <row r="39" spans="1:17" x14ac:dyDescent="0.25">
      <c r="A39">
        <v>819</v>
      </c>
      <c r="B39" t="s">
        <v>241</v>
      </c>
      <c r="C39" t="s">
        <v>242</v>
      </c>
      <c r="D39" t="s">
        <v>166</v>
      </c>
      <c r="E39">
        <v>852034410</v>
      </c>
      <c r="F39" t="s">
        <v>1053</v>
      </c>
      <c r="G39" t="s">
        <v>1119</v>
      </c>
      <c r="I39" t="str">
        <f t="shared" si="4"/>
        <v>inga</v>
      </c>
      <c r="J39" t="str">
        <f t="shared" si="5"/>
        <v>jakubėnaitė</v>
      </c>
      <c r="K39" t="str">
        <f t="shared" si="6"/>
        <v>inga jakubėnaitė</v>
      </c>
      <c r="L39" t="str">
        <f t="shared" si="7"/>
        <v>INGA JAKUBĖNAITĖ</v>
      </c>
      <c r="M39" t="str">
        <f t="shared" si="8"/>
        <v>Inga Jakubėnaitė</v>
      </c>
      <c r="N39" t="str">
        <f t="shared" si="0"/>
        <v>8</v>
      </c>
      <c r="O39" t="str">
        <f t="shared" si="1"/>
        <v>8520</v>
      </c>
      <c r="P39" t="str">
        <f t="shared" si="2"/>
        <v>34410</v>
      </c>
      <c r="Q39" t="str">
        <f t="shared" si="3"/>
        <v>8-8520-34410</v>
      </c>
    </row>
    <row r="40" spans="1:17" x14ac:dyDescent="0.25">
      <c r="A40">
        <v>820</v>
      </c>
      <c r="B40" t="s">
        <v>243</v>
      </c>
      <c r="C40" t="s">
        <v>244</v>
      </c>
      <c r="D40" t="s">
        <v>245</v>
      </c>
      <c r="E40">
        <v>852034451</v>
      </c>
      <c r="F40" t="s">
        <v>1054</v>
      </c>
      <c r="G40" t="s">
        <v>1120</v>
      </c>
      <c r="I40" t="str">
        <f t="shared" si="4"/>
        <v>rytis</v>
      </c>
      <c r="J40" t="str">
        <f t="shared" si="5"/>
        <v>kėvelaitis</v>
      </c>
      <c r="K40" t="str">
        <f t="shared" si="6"/>
        <v>rytis kėvelaitis</v>
      </c>
      <c r="L40" t="str">
        <f t="shared" si="7"/>
        <v>RYTIS KĖVELAITIS</v>
      </c>
      <c r="M40" t="str">
        <f t="shared" si="8"/>
        <v>Rytis Kėvelaitis</v>
      </c>
      <c r="N40" t="str">
        <f t="shared" si="0"/>
        <v>8</v>
      </c>
      <c r="O40" t="str">
        <f t="shared" si="1"/>
        <v>8520</v>
      </c>
      <c r="P40" t="str">
        <f t="shared" si="2"/>
        <v>34451</v>
      </c>
      <c r="Q40" t="str">
        <f t="shared" si="3"/>
        <v>8-8520-34451</v>
      </c>
    </row>
    <row r="41" spans="1:17" x14ac:dyDescent="0.25">
      <c r="A41">
        <v>822</v>
      </c>
      <c r="B41" t="s">
        <v>235</v>
      </c>
      <c r="C41" t="s">
        <v>246</v>
      </c>
      <c r="D41" t="s">
        <v>192</v>
      </c>
      <c r="E41">
        <v>852034679</v>
      </c>
      <c r="F41" t="s">
        <v>1055</v>
      </c>
      <c r="G41" t="s">
        <v>1121</v>
      </c>
      <c r="I41" t="str">
        <f t="shared" si="4"/>
        <v>alvydas</v>
      </c>
      <c r="J41" t="str">
        <f t="shared" si="5"/>
        <v>sakavičius</v>
      </c>
      <c r="K41" t="str">
        <f t="shared" si="6"/>
        <v>alvydas sakavičius</v>
      </c>
      <c r="L41" t="str">
        <f t="shared" si="7"/>
        <v>ALVYDAS SAKAVIČIUS</v>
      </c>
      <c r="M41" t="str">
        <f t="shared" si="8"/>
        <v>Alvydas Sakavičius</v>
      </c>
      <c r="N41" t="str">
        <f t="shared" si="0"/>
        <v>8</v>
      </c>
      <c r="O41" t="str">
        <f t="shared" si="1"/>
        <v>8520</v>
      </c>
      <c r="P41" t="str">
        <f t="shared" si="2"/>
        <v>34679</v>
      </c>
      <c r="Q41" t="str">
        <f t="shared" si="3"/>
        <v>8-8520-34679</v>
      </c>
    </row>
    <row r="42" spans="1:17" x14ac:dyDescent="0.25">
      <c r="A42">
        <v>830</v>
      </c>
      <c r="B42" t="s">
        <v>247</v>
      </c>
      <c r="C42" t="s">
        <v>248</v>
      </c>
      <c r="D42" t="s">
        <v>249</v>
      </c>
      <c r="E42">
        <v>852034474</v>
      </c>
      <c r="F42" t="s">
        <v>1056</v>
      </c>
      <c r="G42" t="s">
        <v>1122</v>
      </c>
      <c r="I42" t="str">
        <f t="shared" si="4"/>
        <v>renata</v>
      </c>
      <c r="J42" t="str">
        <f t="shared" si="5"/>
        <v>ambrazevičienė</v>
      </c>
      <c r="K42" t="str">
        <f t="shared" si="6"/>
        <v>renata ambrazevičienė</v>
      </c>
      <c r="L42" t="str">
        <f t="shared" si="7"/>
        <v>RENATA AMBRAZEVIČIENĖ</v>
      </c>
      <c r="M42" t="str">
        <f t="shared" si="8"/>
        <v>Renata Ambrazevičienė</v>
      </c>
      <c r="N42" t="str">
        <f t="shared" si="0"/>
        <v>8</v>
      </c>
      <c r="O42" t="str">
        <f t="shared" si="1"/>
        <v>8520</v>
      </c>
      <c r="P42" t="str">
        <f t="shared" si="2"/>
        <v>34474</v>
      </c>
      <c r="Q42" t="str">
        <f t="shared" si="3"/>
        <v>8-8520-34474</v>
      </c>
    </row>
    <row r="43" spans="1:17" x14ac:dyDescent="0.25">
      <c r="A43">
        <v>832</v>
      </c>
      <c r="B43" t="s">
        <v>184</v>
      </c>
      <c r="C43" t="s">
        <v>250</v>
      </c>
      <c r="D43" t="s">
        <v>195</v>
      </c>
      <c r="E43">
        <v>852034474</v>
      </c>
      <c r="F43" t="s">
        <v>1057</v>
      </c>
      <c r="G43" t="s">
        <v>1123</v>
      </c>
      <c r="I43" t="str">
        <f t="shared" si="4"/>
        <v>karolis</v>
      </c>
      <c r="J43" t="str">
        <f t="shared" si="5"/>
        <v>švaikauskas</v>
      </c>
      <c r="K43" t="str">
        <f t="shared" si="6"/>
        <v>karolis švaikauskas</v>
      </c>
      <c r="L43" t="str">
        <f t="shared" si="7"/>
        <v>KAROLIS ŠVAIKAUSKAS</v>
      </c>
      <c r="M43" t="str">
        <f t="shared" si="8"/>
        <v>Karolis Švaikauskas</v>
      </c>
      <c r="N43" t="str">
        <f t="shared" si="0"/>
        <v>8</v>
      </c>
      <c r="O43" t="str">
        <f t="shared" si="1"/>
        <v>8520</v>
      </c>
      <c r="P43" t="str">
        <f t="shared" si="2"/>
        <v>34474</v>
      </c>
      <c r="Q43" t="str">
        <f t="shared" si="3"/>
        <v>8-8520-34474</v>
      </c>
    </row>
    <row r="44" spans="1:17" x14ac:dyDescent="0.25">
      <c r="A44">
        <v>833</v>
      </c>
      <c r="B44" t="s">
        <v>211</v>
      </c>
      <c r="C44" t="s">
        <v>251</v>
      </c>
      <c r="D44" t="s">
        <v>195</v>
      </c>
      <c r="E44">
        <v>852034474</v>
      </c>
      <c r="F44" t="s">
        <v>1058</v>
      </c>
      <c r="G44" t="s">
        <v>1124</v>
      </c>
      <c r="I44" t="str">
        <f t="shared" si="4"/>
        <v>aušra</v>
      </c>
      <c r="J44" t="str">
        <f t="shared" si="5"/>
        <v>grėbliūnaitė</v>
      </c>
      <c r="K44" t="str">
        <f t="shared" si="6"/>
        <v>aušra grėbliūnaitė</v>
      </c>
      <c r="L44" t="str">
        <f t="shared" si="7"/>
        <v>AUŠRA GRĖBLIŪNAITĖ</v>
      </c>
      <c r="M44" t="str">
        <f t="shared" si="8"/>
        <v>Aušra Grėbliūnaitė</v>
      </c>
      <c r="N44" t="str">
        <f t="shared" si="0"/>
        <v>8</v>
      </c>
      <c r="O44" t="str">
        <f t="shared" si="1"/>
        <v>8520</v>
      </c>
      <c r="P44" t="str">
        <f t="shared" si="2"/>
        <v>34474</v>
      </c>
      <c r="Q44" t="str">
        <f t="shared" si="3"/>
        <v>8-8520-34474</v>
      </c>
    </row>
    <row r="45" spans="1:17" x14ac:dyDescent="0.25">
      <c r="A45">
        <v>835</v>
      </c>
      <c r="B45" t="s">
        <v>252</v>
      </c>
      <c r="C45" t="s">
        <v>253</v>
      </c>
      <c r="D45" t="s">
        <v>205</v>
      </c>
      <c r="E45">
        <v>852034474</v>
      </c>
      <c r="F45" t="s">
        <v>1059</v>
      </c>
      <c r="G45" t="s">
        <v>1125</v>
      </c>
      <c r="I45" t="str">
        <f t="shared" si="4"/>
        <v>vida</v>
      </c>
      <c r="J45" t="str">
        <f t="shared" si="5"/>
        <v>dzermeikienė</v>
      </c>
      <c r="K45" t="str">
        <f t="shared" si="6"/>
        <v>vida dzermeikienė</v>
      </c>
      <c r="L45" t="str">
        <f t="shared" si="7"/>
        <v>VIDA DZERMEIKIENĖ</v>
      </c>
      <c r="M45" t="str">
        <f t="shared" si="8"/>
        <v>Vida Dzermeikienė</v>
      </c>
      <c r="N45" t="str">
        <f t="shared" si="0"/>
        <v>8</v>
      </c>
      <c r="O45" t="str">
        <f t="shared" si="1"/>
        <v>8520</v>
      </c>
      <c r="P45" t="str">
        <f t="shared" si="2"/>
        <v>34474</v>
      </c>
      <c r="Q45" t="str">
        <f t="shared" si="3"/>
        <v>8-8520-34474</v>
      </c>
    </row>
    <row r="46" spans="1:17" x14ac:dyDescent="0.25">
      <c r="A46">
        <v>836</v>
      </c>
      <c r="B46" t="s">
        <v>254</v>
      </c>
      <c r="C46" t="s">
        <v>255</v>
      </c>
      <c r="D46" t="s">
        <v>256</v>
      </c>
      <c r="E46">
        <v>852034689</v>
      </c>
      <c r="F46" t="s">
        <v>1060</v>
      </c>
      <c r="G46" t="s">
        <v>1126</v>
      </c>
      <c r="I46" t="str">
        <f t="shared" si="4"/>
        <v>kristina</v>
      </c>
      <c r="J46" t="str">
        <f t="shared" si="5"/>
        <v>rimkūnaitė</v>
      </c>
      <c r="K46" t="str">
        <f t="shared" si="6"/>
        <v>kristina rimkūnaitė</v>
      </c>
      <c r="L46" t="str">
        <f t="shared" si="7"/>
        <v>KRISTINA RIMKŪNAITĖ</v>
      </c>
      <c r="M46" t="str">
        <f t="shared" si="8"/>
        <v>Kristina Rimkūnaitė</v>
      </c>
      <c r="N46" t="str">
        <f t="shared" si="0"/>
        <v>8</v>
      </c>
      <c r="O46" t="str">
        <f t="shared" si="1"/>
        <v>8520</v>
      </c>
      <c r="P46" t="str">
        <f t="shared" si="2"/>
        <v>34689</v>
      </c>
      <c r="Q46" t="str">
        <f t="shared" si="3"/>
        <v>8-8520-34689</v>
      </c>
    </row>
    <row r="47" spans="1:17" x14ac:dyDescent="0.25">
      <c r="A47">
        <v>837</v>
      </c>
      <c r="B47" t="s">
        <v>193</v>
      </c>
      <c r="C47" t="s">
        <v>257</v>
      </c>
      <c r="D47" t="s">
        <v>258</v>
      </c>
      <c r="E47">
        <v>852034689</v>
      </c>
      <c r="F47" t="s">
        <v>1061</v>
      </c>
      <c r="G47" t="s">
        <v>1127</v>
      </c>
      <c r="I47" t="str">
        <f t="shared" si="4"/>
        <v>tomas</v>
      </c>
      <c r="J47" t="str">
        <f t="shared" si="5"/>
        <v>lukoševičius</v>
      </c>
      <c r="K47" t="str">
        <f t="shared" si="6"/>
        <v>tomas lukoševičius</v>
      </c>
      <c r="L47" t="str">
        <f t="shared" si="7"/>
        <v>TOMAS LUKOŠEVIČIUS</v>
      </c>
      <c r="M47" t="str">
        <f t="shared" si="8"/>
        <v>Tomas Lukoševičius</v>
      </c>
      <c r="N47" t="str">
        <f t="shared" si="0"/>
        <v>8</v>
      </c>
      <c r="O47" t="str">
        <f t="shared" si="1"/>
        <v>8520</v>
      </c>
      <c r="P47" t="str">
        <f t="shared" si="2"/>
        <v>34689</v>
      </c>
      <c r="Q47" t="str">
        <f t="shared" si="3"/>
        <v>8-8520-34689</v>
      </c>
    </row>
    <row r="48" spans="1:17" x14ac:dyDescent="0.25">
      <c r="A48">
        <v>838</v>
      </c>
      <c r="B48" t="s">
        <v>259</v>
      </c>
      <c r="C48" t="s">
        <v>260</v>
      </c>
      <c r="D48" t="s">
        <v>192</v>
      </c>
      <c r="E48">
        <v>852034689</v>
      </c>
      <c r="F48" t="s">
        <v>1062</v>
      </c>
      <c r="G48" t="s">
        <v>1128</v>
      </c>
      <c r="I48" t="str">
        <f t="shared" si="4"/>
        <v>daiva</v>
      </c>
      <c r="J48" t="str">
        <f t="shared" si="5"/>
        <v>gelusevičienė</v>
      </c>
      <c r="K48" t="str">
        <f t="shared" si="6"/>
        <v>daiva gelusevičienė</v>
      </c>
      <c r="L48" t="str">
        <f t="shared" si="7"/>
        <v>DAIVA GELUSEVIČIENĖ</v>
      </c>
      <c r="M48" t="str">
        <f t="shared" si="8"/>
        <v>Daiva Gelusevičienė</v>
      </c>
      <c r="N48" t="str">
        <f t="shared" si="0"/>
        <v>8</v>
      </c>
      <c r="O48" t="str">
        <f t="shared" si="1"/>
        <v>8520</v>
      </c>
      <c r="P48" t="str">
        <f t="shared" si="2"/>
        <v>34689</v>
      </c>
      <c r="Q48" t="str">
        <f t="shared" si="3"/>
        <v>8-8520-34689</v>
      </c>
    </row>
    <row r="49" spans="1:17" x14ac:dyDescent="0.25">
      <c r="A49">
        <v>839</v>
      </c>
      <c r="B49" t="s">
        <v>261</v>
      </c>
      <c r="C49" t="s">
        <v>262</v>
      </c>
      <c r="D49" t="s">
        <v>205</v>
      </c>
      <c r="E49">
        <v>852034689</v>
      </c>
      <c r="F49" t="s">
        <v>1063</v>
      </c>
      <c r="G49" t="s">
        <v>1129</v>
      </c>
      <c r="I49" t="str">
        <f t="shared" si="4"/>
        <v>ingrida</v>
      </c>
      <c r="J49" t="str">
        <f t="shared" si="5"/>
        <v>markinienė</v>
      </c>
      <c r="K49" t="str">
        <f t="shared" si="6"/>
        <v>ingrida markinienė</v>
      </c>
      <c r="L49" t="str">
        <f t="shared" si="7"/>
        <v>INGRIDA MARKINIENĖ</v>
      </c>
      <c r="M49" t="str">
        <f t="shared" si="8"/>
        <v>Ingrida Markinienė</v>
      </c>
      <c r="N49" t="str">
        <f t="shared" si="0"/>
        <v>8</v>
      </c>
      <c r="O49" t="str">
        <f t="shared" si="1"/>
        <v>8520</v>
      </c>
      <c r="P49" t="str">
        <f t="shared" si="2"/>
        <v>34689</v>
      </c>
      <c r="Q49" t="str">
        <f t="shared" si="3"/>
        <v>8-8520-34689</v>
      </c>
    </row>
    <row r="50" spans="1:17" x14ac:dyDescent="0.25">
      <c r="A50">
        <v>840</v>
      </c>
      <c r="B50" t="s">
        <v>235</v>
      </c>
      <c r="C50" t="s">
        <v>263</v>
      </c>
      <c r="D50" t="s">
        <v>195</v>
      </c>
      <c r="E50">
        <v>852034689</v>
      </c>
      <c r="F50" t="s">
        <v>1064</v>
      </c>
      <c r="G50" t="s">
        <v>1130</v>
      </c>
      <c r="I50" t="str">
        <f t="shared" si="4"/>
        <v>vaidas</v>
      </c>
      <c r="J50" t="str">
        <f t="shared" si="5"/>
        <v>vaitėnas</v>
      </c>
      <c r="K50" t="str">
        <f t="shared" si="6"/>
        <v>vaidas vaitėnas</v>
      </c>
      <c r="L50" t="str">
        <f t="shared" si="7"/>
        <v>VAIDAS VAITĖNAS</v>
      </c>
      <c r="M50" t="str">
        <f t="shared" si="8"/>
        <v>Vaidas Vaitėnas</v>
      </c>
      <c r="N50" t="str">
        <f t="shared" si="0"/>
        <v>8</v>
      </c>
      <c r="O50" t="str">
        <f t="shared" si="1"/>
        <v>8520</v>
      </c>
      <c r="P50" t="str">
        <f t="shared" si="2"/>
        <v>34689</v>
      </c>
      <c r="Q50" t="str">
        <f t="shared" si="3"/>
        <v>8-8520-34689</v>
      </c>
    </row>
    <row r="51" spans="1:17" x14ac:dyDescent="0.25">
      <c r="A51">
        <v>841</v>
      </c>
      <c r="B51" t="s">
        <v>264</v>
      </c>
      <c r="C51" t="s">
        <v>265</v>
      </c>
      <c r="D51" t="s">
        <v>249</v>
      </c>
      <c r="E51">
        <v>852034471</v>
      </c>
      <c r="F51" t="s">
        <v>1065</v>
      </c>
      <c r="G51" t="s">
        <v>1131</v>
      </c>
      <c r="I51" t="str">
        <f t="shared" si="4"/>
        <v>renata</v>
      </c>
      <c r="J51" t="str">
        <f t="shared" si="5"/>
        <v>banytė</v>
      </c>
      <c r="K51" t="str">
        <f t="shared" si="6"/>
        <v>renata banytė</v>
      </c>
      <c r="L51" t="str">
        <f t="shared" si="7"/>
        <v>RENATA BANYTĖ</v>
      </c>
      <c r="M51" t="str">
        <f t="shared" si="8"/>
        <v>Renata Banytė</v>
      </c>
      <c r="N51" t="str">
        <f t="shared" si="0"/>
        <v>8</v>
      </c>
      <c r="O51" t="str">
        <f t="shared" si="1"/>
        <v>8520</v>
      </c>
      <c r="P51" t="str">
        <f t="shared" si="2"/>
        <v>34471</v>
      </c>
      <c r="Q51" t="str">
        <f t="shared" si="3"/>
        <v>8-8520-34471</v>
      </c>
    </row>
    <row r="52" spans="1:17" x14ac:dyDescent="0.25">
      <c r="A52">
        <v>843</v>
      </c>
      <c r="B52" t="s">
        <v>266</v>
      </c>
      <c r="C52" t="s">
        <v>267</v>
      </c>
      <c r="D52" t="s">
        <v>195</v>
      </c>
      <c r="E52">
        <v>852034471</v>
      </c>
      <c r="F52" t="s">
        <v>1066</v>
      </c>
      <c r="G52" t="s">
        <v>1132</v>
      </c>
      <c r="I52" t="str">
        <f t="shared" si="4"/>
        <v>dainius</v>
      </c>
      <c r="J52" t="str">
        <f t="shared" si="5"/>
        <v>bražiūnas</v>
      </c>
      <c r="K52" t="str">
        <f t="shared" si="6"/>
        <v>dainius bražiūnas</v>
      </c>
      <c r="L52" t="str">
        <f t="shared" si="7"/>
        <v>DAINIUS BRAŽIŪNAS</v>
      </c>
      <c r="M52" t="str">
        <f t="shared" si="8"/>
        <v>Dainius Bražiūnas</v>
      </c>
      <c r="N52" t="str">
        <f t="shared" si="0"/>
        <v>8</v>
      </c>
      <c r="O52" t="str">
        <f t="shared" si="1"/>
        <v>8520</v>
      </c>
      <c r="P52" t="str">
        <f t="shared" si="2"/>
        <v>34471</v>
      </c>
      <c r="Q52" t="str">
        <f t="shared" si="3"/>
        <v>8-8520-34471</v>
      </c>
    </row>
    <row r="53" spans="1:17" x14ac:dyDescent="0.25">
      <c r="A53">
        <v>844</v>
      </c>
      <c r="B53" t="s">
        <v>268</v>
      </c>
      <c r="C53" t="s">
        <v>269</v>
      </c>
      <c r="D53" t="s">
        <v>205</v>
      </c>
      <c r="E53">
        <v>852034471</v>
      </c>
      <c r="F53" t="s">
        <v>1067</v>
      </c>
      <c r="G53" t="s">
        <v>1133</v>
      </c>
      <c r="I53" t="str">
        <f t="shared" si="4"/>
        <v>gabija</v>
      </c>
      <c r="J53" t="str">
        <f t="shared" si="5"/>
        <v>talačkaitė</v>
      </c>
      <c r="K53" t="str">
        <f t="shared" si="6"/>
        <v>gabija talačkaitė</v>
      </c>
      <c r="L53" t="str">
        <f t="shared" si="7"/>
        <v>GABIJA TALAČKAITĖ</v>
      </c>
      <c r="M53" t="str">
        <f t="shared" si="8"/>
        <v>Gabija Talačkaitė</v>
      </c>
      <c r="N53" t="str">
        <f t="shared" si="0"/>
        <v>8</v>
      </c>
      <c r="O53" t="str">
        <f t="shared" si="1"/>
        <v>8520</v>
      </c>
      <c r="P53" t="str">
        <f t="shared" si="2"/>
        <v>34471</v>
      </c>
      <c r="Q53" t="str">
        <f t="shared" si="3"/>
        <v>8-8520-34471</v>
      </c>
    </row>
    <row r="54" spans="1:17" x14ac:dyDescent="0.25">
      <c r="A54">
        <v>846</v>
      </c>
      <c r="B54" t="s">
        <v>270</v>
      </c>
      <c r="C54" t="s">
        <v>271</v>
      </c>
      <c r="D54" t="s">
        <v>195</v>
      </c>
      <c r="E54">
        <v>852034471</v>
      </c>
      <c r="F54" t="s">
        <v>1068</v>
      </c>
      <c r="G54" t="s">
        <v>1134</v>
      </c>
      <c r="I54" t="str">
        <f t="shared" si="4"/>
        <v>gintautas</v>
      </c>
      <c r="J54" t="str">
        <f t="shared" si="5"/>
        <v>danaitis</v>
      </c>
      <c r="K54" t="str">
        <f t="shared" si="6"/>
        <v>gintautas danaitis</v>
      </c>
      <c r="L54" t="str">
        <f t="shared" si="7"/>
        <v>GINTAUTAS DANAITIS</v>
      </c>
      <c r="M54" t="str">
        <f t="shared" si="8"/>
        <v>Gintautas Danaitis</v>
      </c>
      <c r="N54" t="str">
        <f t="shared" si="0"/>
        <v>8</v>
      </c>
      <c r="O54" t="str">
        <f t="shared" si="1"/>
        <v>8520</v>
      </c>
      <c r="P54" t="str">
        <f t="shared" si="2"/>
        <v>34471</v>
      </c>
      <c r="Q54" t="str">
        <f t="shared" si="3"/>
        <v>8-8520-34471</v>
      </c>
    </row>
    <row r="55" spans="1:17" x14ac:dyDescent="0.25">
      <c r="A55">
        <v>847</v>
      </c>
      <c r="B55" t="s">
        <v>272</v>
      </c>
      <c r="C55" t="s">
        <v>273</v>
      </c>
      <c r="D55" t="s">
        <v>195</v>
      </c>
      <c r="E55">
        <v>852034471</v>
      </c>
      <c r="F55" t="s">
        <v>1069</v>
      </c>
      <c r="G55" t="s">
        <v>1135</v>
      </c>
      <c r="I55" t="str">
        <f t="shared" si="4"/>
        <v>janina</v>
      </c>
      <c r="J55" t="str">
        <f t="shared" si="5"/>
        <v>danaitienė</v>
      </c>
      <c r="K55" t="str">
        <f t="shared" si="6"/>
        <v>janina danaitienė</v>
      </c>
      <c r="L55" t="str">
        <f t="shared" si="7"/>
        <v>JANINA DANAITIENĖ</v>
      </c>
      <c r="M55" t="str">
        <f t="shared" si="8"/>
        <v>Janina Danaitienė</v>
      </c>
      <c r="N55" t="str">
        <f t="shared" si="0"/>
        <v>8</v>
      </c>
      <c r="O55" t="str">
        <f t="shared" si="1"/>
        <v>8520</v>
      </c>
      <c r="P55" t="str">
        <f t="shared" si="2"/>
        <v>34471</v>
      </c>
      <c r="Q55" t="str">
        <f t="shared" si="3"/>
        <v>8-8520-34471</v>
      </c>
    </row>
    <row r="56" spans="1:17" x14ac:dyDescent="0.25">
      <c r="A56">
        <v>848</v>
      </c>
      <c r="B56" t="s">
        <v>274</v>
      </c>
      <c r="C56" t="s">
        <v>275</v>
      </c>
      <c r="D56" t="s">
        <v>205</v>
      </c>
      <c r="E56">
        <v>852034471</v>
      </c>
      <c r="F56" t="s">
        <v>1070</v>
      </c>
      <c r="G56" t="s">
        <v>1136</v>
      </c>
      <c r="I56" t="str">
        <f t="shared" si="4"/>
        <v>giedrė</v>
      </c>
      <c r="J56" t="str">
        <f t="shared" si="5"/>
        <v>šeškevičienė</v>
      </c>
      <c r="K56" t="str">
        <f t="shared" si="6"/>
        <v>giedrė šeškevičienė</v>
      </c>
      <c r="L56" t="str">
        <f t="shared" si="7"/>
        <v>GIEDRĖ ŠEŠKEVIČIENĖ</v>
      </c>
      <c r="M56" t="str">
        <f t="shared" si="8"/>
        <v>Giedrė Šeškevičienė</v>
      </c>
      <c r="N56" t="str">
        <f t="shared" si="0"/>
        <v>8</v>
      </c>
      <c r="O56" t="str">
        <f t="shared" si="1"/>
        <v>8520</v>
      </c>
      <c r="P56" t="str">
        <f t="shared" si="2"/>
        <v>34471</v>
      </c>
      <c r="Q56" t="str">
        <f t="shared" si="3"/>
        <v>8-8520-34471</v>
      </c>
    </row>
    <row r="57" spans="1:17" x14ac:dyDescent="0.25">
      <c r="A57">
        <v>850</v>
      </c>
      <c r="B57" t="s">
        <v>190</v>
      </c>
      <c r="C57" t="s">
        <v>276</v>
      </c>
      <c r="D57" t="s">
        <v>249</v>
      </c>
      <c r="E57">
        <v>852034667</v>
      </c>
      <c r="F57" t="s">
        <v>1071</v>
      </c>
      <c r="G57" t="s">
        <v>1137</v>
      </c>
      <c r="I57" t="str">
        <f t="shared" si="4"/>
        <v>marius</v>
      </c>
      <c r="J57" t="str">
        <f t="shared" si="5"/>
        <v>pareigis</v>
      </c>
      <c r="K57" t="str">
        <f t="shared" si="6"/>
        <v>marius pareigis</v>
      </c>
      <c r="L57" t="str">
        <f t="shared" si="7"/>
        <v>MARIUS PAREIGIS</v>
      </c>
      <c r="M57" t="str">
        <f t="shared" si="8"/>
        <v>Marius Pareigis</v>
      </c>
      <c r="N57" t="str">
        <f t="shared" si="0"/>
        <v>8</v>
      </c>
      <c r="O57" t="str">
        <f t="shared" si="1"/>
        <v>8520</v>
      </c>
      <c r="P57" t="str">
        <f t="shared" si="2"/>
        <v>34667</v>
      </c>
      <c r="Q57" t="str">
        <f t="shared" si="3"/>
        <v>8-8520-34667</v>
      </c>
    </row>
    <row r="58" spans="1:17" x14ac:dyDescent="0.25">
      <c r="A58">
        <v>852</v>
      </c>
      <c r="B58" t="s">
        <v>172</v>
      </c>
      <c r="C58" t="s">
        <v>277</v>
      </c>
      <c r="D58" t="s">
        <v>192</v>
      </c>
      <c r="E58">
        <v>852034667</v>
      </c>
      <c r="F58" t="s">
        <v>1072</v>
      </c>
      <c r="G58" t="s">
        <v>1138</v>
      </c>
      <c r="I58" t="str">
        <f t="shared" si="4"/>
        <v>dovilė</v>
      </c>
      <c r="J58" t="str">
        <f t="shared" si="5"/>
        <v>almanytė</v>
      </c>
      <c r="K58" t="str">
        <f t="shared" si="6"/>
        <v>dovilė almanytė</v>
      </c>
      <c r="L58" t="str">
        <f t="shared" si="7"/>
        <v>DOVILĖ ALMANYTĖ</v>
      </c>
      <c r="M58" t="str">
        <f t="shared" si="8"/>
        <v>Dovilė Almanytė</v>
      </c>
      <c r="N58" t="str">
        <f t="shared" si="0"/>
        <v>8</v>
      </c>
      <c r="O58" t="str">
        <f t="shared" si="1"/>
        <v>8520</v>
      </c>
      <c r="P58" t="str">
        <f t="shared" si="2"/>
        <v>34667</v>
      </c>
      <c r="Q58" t="str">
        <f t="shared" si="3"/>
        <v>8-8520-34667</v>
      </c>
    </row>
    <row r="59" spans="1:17" x14ac:dyDescent="0.25">
      <c r="A59">
        <v>853</v>
      </c>
      <c r="B59" t="s">
        <v>278</v>
      </c>
      <c r="C59" t="s">
        <v>279</v>
      </c>
      <c r="D59" t="s">
        <v>280</v>
      </c>
      <c r="E59">
        <v>852034667</v>
      </c>
      <c r="F59" t="s">
        <v>1073</v>
      </c>
      <c r="G59" t="s">
        <v>1139</v>
      </c>
      <c r="I59" t="str">
        <f t="shared" si="4"/>
        <v>lina</v>
      </c>
      <c r="J59" t="str">
        <f t="shared" si="5"/>
        <v>sveklaitė</v>
      </c>
      <c r="K59" t="str">
        <f t="shared" si="6"/>
        <v>lina sveklaitė</v>
      </c>
      <c r="L59" t="str">
        <f t="shared" si="7"/>
        <v>LINA SVEKLAITĖ</v>
      </c>
      <c r="M59" t="str">
        <f t="shared" si="8"/>
        <v>Lina Sveklaitė</v>
      </c>
      <c r="N59" t="str">
        <f t="shared" si="0"/>
        <v>8</v>
      </c>
      <c r="O59" t="str">
        <f t="shared" si="1"/>
        <v>8520</v>
      </c>
      <c r="P59" t="str">
        <f t="shared" si="2"/>
        <v>34667</v>
      </c>
      <c r="Q59" t="str">
        <f t="shared" si="3"/>
        <v>8-8520-34667</v>
      </c>
    </row>
    <row r="60" spans="1:17" x14ac:dyDescent="0.25">
      <c r="A60">
        <v>854</v>
      </c>
      <c r="B60" t="s">
        <v>281</v>
      </c>
      <c r="C60" t="s">
        <v>282</v>
      </c>
      <c r="D60" t="s">
        <v>205</v>
      </c>
      <c r="E60">
        <v>852034667</v>
      </c>
      <c r="F60" t="s">
        <v>1074</v>
      </c>
      <c r="G60" t="s">
        <v>1140</v>
      </c>
      <c r="I60" t="str">
        <f t="shared" si="4"/>
        <v>mindaugas</v>
      </c>
      <c r="J60" t="str">
        <f t="shared" si="5"/>
        <v>stonkus</v>
      </c>
      <c r="K60" t="str">
        <f t="shared" si="6"/>
        <v>mindaugas stonkus</v>
      </c>
      <c r="L60" t="str">
        <f t="shared" si="7"/>
        <v>MINDAUGAS STONKUS</v>
      </c>
      <c r="M60" t="str">
        <f t="shared" si="8"/>
        <v>Mindaugas Stonkus</v>
      </c>
      <c r="N60" t="str">
        <f t="shared" si="0"/>
        <v>8</v>
      </c>
      <c r="O60" t="str">
        <f t="shared" si="1"/>
        <v>8520</v>
      </c>
      <c r="P60" t="str">
        <f t="shared" si="2"/>
        <v>34667</v>
      </c>
      <c r="Q60" t="str">
        <f t="shared" si="3"/>
        <v>8-8520-34667</v>
      </c>
    </row>
    <row r="61" spans="1:17" x14ac:dyDescent="0.25">
      <c r="A61">
        <v>855</v>
      </c>
      <c r="B61" t="s">
        <v>283</v>
      </c>
      <c r="C61" t="s">
        <v>284</v>
      </c>
      <c r="D61" t="s">
        <v>195</v>
      </c>
      <c r="E61">
        <v>852034667</v>
      </c>
      <c r="F61" t="s">
        <v>1075</v>
      </c>
      <c r="G61" t="s">
        <v>1141</v>
      </c>
      <c r="I61" t="str">
        <f t="shared" si="4"/>
        <v>aurimas</v>
      </c>
      <c r="J61" t="str">
        <f t="shared" si="5"/>
        <v>salapėta</v>
      </c>
      <c r="K61" t="str">
        <f t="shared" si="6"/>
        <v>aurimas salapėta</v>
      </c>
      <c r="L61" t="str">
        <f t="shared" si="7"/>
        <v>AURIMAS SALAPĖTA</v>
      </c>
      <c r="M61" t="str">
        <f t="shared" si="8"/>
        <v>Aurimas Salapėta</v>
      </c>
      <c r="N61" t="str">
        <f t="shared" si="0"/>
        <v>8</v>
      </c>
      <c r="O61" t="str">
        <f t="shared" si="1"/>
        <v>8520</v>
      </c>
      <c r="P61" t="str">
        <f t="shared" si="2"/>
        <v>34667</v>
      </c>
      <c r="Q61" t="str">
        <f t="shared" si="3"/>
        <v>8-8520-34667</v>
      </c>
    </row>
    <row r="62" spans="1:17" x14ac:dyDescent="0.25">
      <c r="A62">
        <v>856</v>
      </c>
      <c r="B62" t="s">
        <v>285</v>
      </c>
      <c r="C62" t="s">
        <v>286</v>
      </c>
      <c r="D62" t="s">
        <v>205</v>
      </c>
      <c r="E62">
        <v>852034667</v>
      </c>
      <c r="F62" t="s">
        <v>1076</v>
      </c>
      <c r="G62" t="s">
        <v>1142</v>
      </c>
      <c r="I62" t="str">
        <f t="shared" si="4"/>
        <v>jevgenija</v>
      </c>
      <c r="J62" t="str">
        <f t="shared" si="5"/>
        <v>jankevič</v>
      </c>
      <c r="K62" t="str">
        <f t="shared" si="6"/>
        <v>jevgenija jankevič</v>
      </c>
      <c r="L62" t="str">
        <f t="shared" si="7"/>
        <v>JEVGENIJA JANKEVIČ</v>
      </c>
      <c r="M62" t="str">
        <f t="shared" si="8"/>
        <v>Jevgenija Jankevič</v>
      </c>
      <c r="N62" t="str">
        <f t="shared" si="0"/>
        <v>8</v>
      </c>
      <c r="O62" t="str">
        <f t="shared" si="1"/>
        <v>8520</v>
      </c>
      <c r="P62" t="str">
        <f t="shared" si="2"/>
        <v>34667</v>
      </c>
      <c r="Q62" t="str">
        <f t="shared" si="3"/>
        <v>8-8520-34667</v>
      </c>
    </row>
    <row r="63" spans="1:17" x14ac:dyDescent="0.25">
      <c r="A63">
        <v>857</v>
      </c>
      <c r="B63" t="s">
        <v>287</v>
      </c>
      <c r="C63" t="s">
        <v>288</v>
      </c>
      <c r="D63" t="s">
        <v>195</v>
      </c>
      <c r="E63">
        <v>852034667</v>
      </c>
      <c r="F63" t="s">
        <v>1077</v>
      </c>
      <c r="G63" t="s">
        <v>1143</v>
      </c>
      <c r="I63" t="str">
        <f t="shared" si="4"/>
        <v>sergej</v>
      </c>
      <c r="J63" t="str">
        <f t="shared" si="5"/>
        <v>garbar</v>
      </c>
      <c r="K63" t="str">
        <f t="shared" si="6"/>
        <v>sergej garbar</v>
      </c>
      <c r="L63" t="str">
        <f t="shared" si="7"/>
        <v>SERGEJ GARBAR</v>
      </c>
      <c r="M63" t="str">
        <f t="shared" si="8"/>
        <v>Sergej Garbar</v>
      </c>
      <c r="N63" t="str">
        <f t="shared" si="0"/>
        <v>8</v>
      </c>
      <c r="O63" t="str">
        <f t="shared" si="1"/>
        <v>8520</v>
      </c>
      <c r="P63" t="str">
        <f t="shared" si="2"/>
        <v>34667</v>
      </c>
      <c r="Q63" t="str">
        <f t="shared" si="3"/>
        <v>8-8520-34667</v>
      </c>
    </row>
    <row r="64" spans="1:17" x14ac:dyDescent="0.25">
      <c r="A64">
        <v>858</v>
      </c>
      <c r="B64" t="s">
        <v>289</v>
      </c>
      <c r="C64" t="s">
        <v>290</v>
      </c>
      <c r="D64" t="s">
        <v>205</v>
      </c>
      <c r="E64">
        <v>852034667</v>
      </c>
      <c r="F64" t="s">
        <v>1078</v>
      </c>
      <c r="G64" t="s">
        <v>1144</v>
      </c>
      <c r="I64" t="str">
        <f t="shared" si="4"/>
        <v>vilija</v>
      </c>
      <c r="J64" t="str">
        <f t="shared" si="5"/>
        <v>tomkė</v>
      </c>
      <c r="K64" t="str">
        <f t="shared" si="6"/>
        <v>vilija tomkė</v>
      </c>
      <c r="L64" t="str">
        <f t="shared" si="7"/>
        <v>VILIJA TOMKĖ</v>
      </c>
      <c r="M64" t="str">
        <f t="shared" si="8"/>
        <v>Vilija Tomkė</v>
      </c>
      <c r="N64" t="str">
        <f t="shared" si="0"/>
        <v>8</v>
      </c>
      <c r="O64" t="str">
        <f t="shared" si="1"/>
        <v>8520</v>
      </c>
      <c r="P64" t="str">
        <f t="shared" si="2"/>
        <v>34667</v>
      </c>
      <c r="Q64" t="str">
        <f t="shared" si="3"/>
        <v>8-8520-34667</v>
      </c>
    </row>
    <row r="65" spans="1:17" x14ac:dyDescent="0.25">
      <c r="A65">
        <v>859</v>
      </c>
      <c r="B65" t="s">
        <v>291</v>
      </c>
      <c r="C65" t="s">
        <v>292</v>
      </c>
      <c r="D65" t="s">
        <v>205</v>
      </c>
      <c r="E65">
        <v>852034667</v>
      </c>
      <c r="F65" t="s">
        <v>1079</v>
      </c>
      <c r="G65" t="s">
        <v>1145</v>
      </c>
      <c r="I65" t="str">
        <f t="shared" si="4"/>
        <v>linas</v>
      </c>
      <c r="J65" t="str">
        <f t="shared" si="5"/>
        <v>bagdonavičius</v>
      </c>
      <c r="K65" t="str">
        <f t="shared" si="6"/>
        <v>linas bagdonavičius</v>
      </c>
      <c r="L65" t="str">
        <f t="shared" si="7"/>
        <v>LINAS BAGDONAVIČIUS</v>
      </c>
      <c r="M65" t="str">
        <f t="shared" si="8"/>
        <v>Linas Bagdonavičius</v>
      </c>
      <c r="N65" t="str">
        <f t="shared" si="0"/>
        <v>8</v>
      </c>
      <c r="O65" t="str">
        <f t="shared" si="1"/>
        <v>8520</v>
      </c>
      <c r="P65" t="str">
        <f t="shared" si="2"/>
        <v>34667</v>
      </c>
      <c r="Q65" t="str">
        <f t="shared" si="3"/>
        <v>8-8520-34667</v>
      </c>
    </row>
    <row r="66" spans="1:17" x14ac:dyDescent="0.25">
      <c r="A66">
        <v>861</v>
      </c>
      <c r="B66" t="s">
        <v>293</v>
      </c>
      <c r="C66" t="s">
        <v>294</v>
      </c>
      <c r="D66" t="s">
        <v>295</v>
      </c>
      <c r="E66">
        <v>852034472</v>
      </c>
      <c r="F66" t="s">
        <v>1080</v>
      </c>
      <c r="G66" t="s">
        <v>1146</v>
      </c>
      <c r="I66" t="str">
        <f t="shared" si="4"/>
        <v>vytautas</v>
      </c>
      <c r="J66" t="str">
        <f t="shared" si="5"/>
        <v>bernadišius</v>
      </c>
      <c r="K66" t="str">
        <f t="shared" si="6"/>
        <v>vytautas bernadišius</v>
      </c>
      <c r="L66" t="str">
        <f t="shared" si="7"/>
        <v>VYTAUTAS BERNADIŠIUS</v>
      </c>
      <c r="M66" t="str">
        <f t="shared" si="8"/>
        <v>Vytautas Bernadišius</v>
      </c>
      <c r="N66" t="str">
        <f t="shared" si="0"/>
        <v>8</v>
      </c>
      <c r="O66" t="str">
        <f t="shared" si="1"/>
        <v>8520</v>
      </c>
      <c r="P66" t="str">
        <f t="shared" si="2"/>
        <v>34472</v>
      </c>
      <c r="Q66" t="str">
        <f t="shared" si="3"/>
        <v>8-8520-34472</v>
      </c>
    </row>
    <row r="67" spans="1:17" x14ac:dyDescent="0.25">
      <c r="A67">
        <v>864</v>
      </c>
      <c r="B67" t="s">
        <v>297</v>
      </c>
      <c r="C67" t="s">
        <v>298</v>
      </c>
      <c r="D67" t="s">
        <v>177</v>
      </c>
      <c r="E67">
        <v>852034354</v>
      </c>
      <c r="F67" t="s">
        <v>1081</v>
      </c>
      <c r="G67" t="s">
        <v>1147</v>
      </c>
      <c r="I67" t="str">
        <f t="shared" si="4"/>
        <v>justina</v>
      </c>
      <c r="J67" t="str">
        <f t="shared" si="5"/>
        <v>ratkevičiūtė</v>
      </c>
      <c r="K67" t="str">
        <f t="shared" si="6"/>
        <v>justina ratkevičiūtė</v>
      </c>
      <c r="L67" t="str">
        <f t="shared" si="7"/>
        <v>JUSTINA RATKEVIČIŪTĖ</v>
      </c>
      <c r="M67" t="str">
        <f t="shared" si="8"/>
        <v>Justina Ratkevičiūtė</v>
      </c>
      <c r="N67" t="str">
        <f t="shared" si="0"/>
        <v>8</v>
      </c>
      <c r="O67" t="str">
        <f t="shared" si="1"/>
        <v>8520</v>
      </c>
      <c r="P67" t="str">
        <f t="shared" si="2"/>
        <v>34354</v>
      </c>
      <c r="Q67" t="str">
        <f t="shared" si="3"/>
        <v>8-8520-34354</v>
      </c>
    </row>
    <row r="68" spans="1:17" x14ac:dyDescent="0.25">
      <c r="A68">
        <v>865</v>
      </c>
      <c r="B68" t="s">
        <v>299</v>
      </c>
      <c r="C68" t="s">
        <v>300</v>
      </c>
      <c r="D68" t="s">
        <v>249</v>
      </c>
      <c r="E68">
        <v>852034677</v>
      </c>
      <c r="F68" t="s">
        <v>1082</v>
      </c>
      <c r="G68" t="s">
        <v>1148</v>
      </c>
      <c r="I68" t="str">
        <f t="shared" si="4"/>
        <v>gintarė</v>
      </c>
      <c r="J68" t="str">
        <f t="shared" si="5"/>
        <v>krušnienė</v>
      </c>
      <c r="K68" t="str">
        <f t="shared" si="6"/>
        <v>gintarė krušnienė</v>
      </c>
      <c r="L68" t="str">
        <f t="shared" si="7"/>
        <v>GINTARĖ KRUŠNIENĖ</v>
      </c>
      <c r="M68" t="str">
        <f t="shared" si="8"/>
        <v>Gintarė Krušnienė</v>
      </c>
      <c r="N68" t="str">
        <f t="shared" si="0"/>
        <v>8</v>
      </c>
      <c r="O68" t="str">
        <f t="shared" si="1"/>
        <v>8520</v>
      </c>
      <c r="P68" t="str">
        <f t="shared" si="2"/>
        <v>34677</v>
      </c>
      <c r="Q68" t="str">
        <f t="shared" si="3"/>
        <v>8-8520-34677</v>
      </c>
    </row>
    <row r="69" spans="1:17" x14ac:dyDescent="0.25">
      <c r="A69">
        <v>868</v>
      </c>
      <c r="B69" t="s">
        <v>301</v>
      </c>
      <c r="C69" t="s">
        <v>302</v>
      </c>
      <c r="D69" t="s">
        <v>205</v>
      </c>
      <c r="E69">
        <v>852034677</v>
      </c>
      <c r="F69" t="s">
        <v>1083</v>
      </c>
      <c r="G69" t="s">
        <v>1149</v>
      </c>
      <c r="I69" t="str">
        <f t="shared" si="4"/>
        <v>daumantas</v>
      </c>
      <c r="J69" t="str">
        <f t="shared" si="5"/>
        <v>kerežis</v>
      </c>
      <c r="K69" t="str">
        <f t="shared" si="6"/>
        <v>daumantas kerežis</v>
      </c>
      <c r="L69" t="str">
        <f t="shared" si="7"/>
        <v>DAUMANTAS KEREŽIS</v>
      </c>
      <c r="M69" t="str">
        <f t="shared" si="8"/>
        <v>Daumantas Kerežis</v>
      </c>
      <c r="N69" t="str">
        <f t="shared" si="0"/>
        <v>8</v>
      </c>
      <c r="O69" t="str">
        <f t="shared" si="1"/>
        <v>8520</v>
      </c>
      <c r="P69" t="str">
        <f t="shared" si="2"/>
        <v>34677</v>
      </c>
      <c r="Q69" t="str">
        <f t="shared" si="3"/>
        <v>8-8520-34677</v>
      </c>
    </row>
    <row r="70" spans="1:17" x14ac:dyDescent="0.25">
      <c r="A70">
        <v>869</v>
      </c>
      <c r="B70" t="s">
        <v>303</v>
      </c>
      <c r="C70" t="s">
        <v>304</v>
      </c>
      <c r="D70" t="s">
        <v>195</v>
      </c>
      <c r="E70">
        <v>852034677</v>
      </c>
      <c r="F70" t="s">
        <v>1084</v>
      </c>
      <c r="G70" t="s">
        <v>1150</v>
      </c>
      <c r="I70" t="str">
        <f t="shared" si="4"/>
        <v>jurgita</v>
      </c>
      <c r="J70" t="str">
        <f t="shared" si="5"/>
        <v>jakevičiūtė</v>
      </c>
      <c r="K70" t="str">
        <f t="shared" si="6"/>
        <v>jurgita jakevičiūtė</v>
      </c>
      <c r="L70" t="str">
        <f t="shared" si="7"/>
        <v>JURGITA JAKEVIČIŪTĖ</v>
      </c>
      <c r="M70" t="str">
        <f t="shared" si="8"/>
        <v>Jurgita Jakevičiūtė</v>
      </c>
      <c r="N70" t="str">
        <f t="shared" si="0"/>
        <v>8</v>
      </c>
      <c r="O70" t="str">
        <f t="shared" si="1"/>
        <v>8520</v>
      </c>
      <c r="P70" t="str">
        <f t="shared" si="2"/>
        <v>34677</v>
      </c>
      <c r="Q70" t="str">
        <f t="shared" si="3"/>
        <v>8-8520-34677</v>
      </c>
    </row>
    <row r="71" spans="1:17" x14ac:dyDescent="0.25">
      <c r="A71">
        <v>874</v>
      </c>
      <c r="B71" t="s">
        <v>293</v>
      </c>
      <c r="C71" t="s">
        <v>294</v>
      </c>
      <c r="D71" t="s">
        <v>295</v>
      </c>
      <c r="E71">
        <v>852034472</v>
      </c>
      <c r="F71" t="s">
        <v>1080</v>
      </c>
      <c r="G71" t="s">
        <v>1146</v>
      </c>
      <c r="I71" t="str">
        <f t="shared" si="4"/>
        <v>eglė</v>
      </c>
      <c r="J71" t="str">
        <f t="shared" si="5"/>
        <v>krinickienė</v>
      </c>
      <c r="K71" t="str">
        <f t="shared" si="6"/>
        <v>eglė krinickienė</v>
      </c>
      <c r="L71" t="str">
        <f t="shared" si="7"/>
        <v>EGLĖ KRINICKIENĖ</v>
      </c>
      <c r="M71" t="str">
        <f t="shared" si="8"/>
        <v>Eglė Krinickienė</v>
      </c>
      <c r="N71" t="str">
        <f t="shared" ref="N71:N73" si="9">LEFT(E71,1)</f>
        <v>8</v>
      </c>
      <c r="O71" t="str">
        <f t="shared" ref="O71:O73" si="10">LEFT(E71,4)</f>
        <v>8520</v>
      </c>
      <c r="P71" t="str">
        <f t="shared" ref="P71:P73" si="11">RIGHT(E71,5)</f>
        <v>34472</v>
      </c>
      <c r="Q71" t="str">
        <f t="shared" ref="Q71:Q73" si="12">N71&amp;-O71&amp;"-"&amp;P71</f>
        <v>8-8520-34472</v>
      </c>
    </row>
    <row r="72" spans="1:17" x14ac:dyDescent="0.25">
      <c r="A72">
        <v>875</v>
      </c>
      <c r="B72" t="s">
        <v>305</v>
      </c>
      <c r="C72" t="s">
        <v>306</v>
      </c>
      <c r="D72" t="s">
        <v>307</v>
      </c>
      <c r="E72">
        <v>852034472</v>
      </c>
      <c r="F72" t="s">
        <v>1085</v>
      </c>
      <c r="G72" t="s">
        <v>1151</v>
      </c>
      <c r="I72" t="str">
        <f t="shared" ref="I72:I73" si="13">LOWER(B71)</f>
        <v>justina</v>
      </c>
      <c r="J72" t="str">
        <f t="shared" ref="J72:J73" si="14">LOWER(C71)</f>
        <v>ratkevičiūtė</v>
      </c>
      <c r="K72" t="str">
        <f t="shared" ref="K72:K73" si="15">I72&amp;" "&amp;J72</f>
        <v>justina ratkevičiūtė</v>
      </c>
      <c r="L72" t="str">
        <f t="shared" ref="L72:L73" si="16">UPPER(K72)</f>
        <v>JUSTINA RATKEVIČIŪTĖ</v>
      </c>
      <c r="M72" t="str">
        <f t="shared" ref="M72:M73" si="17">PROPER(L72)</f>
        <v>Justina Ratkevičiūtė</v>
      </c>
      <c r="N72" t="str">
        <f t="shared" si="9"/>
        <v>8</v>
      </c>
      <c r="O72" t="str">
        <f t="shared" si="10"/>
        <v>8520</v>
      </c>
      <c r="P72" t="str">
        <f t="shared" si="11"/>
        <v>34472</v>
      </c>
      <c r="Q72" t="str">
        <f t="shared" si="12"/>
        <v>8-8520-34472</v>
      </c>
    </row>
    <row r="73" spans="1:17" x14ac:dyDescent="0.25">
      <c r="A73">
        <v>877</v>
      </c>
      <c r="B73" t="s">
        <v>308</v>
      </c>
      <c r="C73" t="s">
        <v>309</v>
      </c>
      <c r="D73" t="s">
        <v>205</v>
      </c>
      <c r="E73">
        <v>852034679</v>
      </c>
      <c r="F73" t="s">
        <v>1086</v>
      </c>
      <c r="G73" t="s">
        <v>1152</v>
      </c>
      <c r="I73" t="str">
        <f t="shared" si="13"/>
        <v>gediminas</v>
      </c>
      <c r="J73" t="str">
        <f t="shared" si="14"/>
        <v>karalius</v>
      </c>
      <c r="K73" t="str">
        <f t="shared" si="15"/>
        <v>gediminas karalius</v>
      </c>
      <c r="L73" t="str">
        <f t="shared" si="16"/>
        <v>GEDIMINAS KARALIUS</v>
      </c>
      <c r="M73" t="str">
        <f t="shared" si="17"/>
        <v>Gediminas Karalius</v>
      </c>
      <c r="N73" t="str">
        <f t="shared" si="9"/>
        <v>8</v>
      </c>
      <c r="O73" t="str">
        <f t="shared" si="10"/>
        <v>8520</v>
      </c>
      <c r="P73" t="str">
        <f t="shared" si="11"/>
        <v>34679</v>
      </c>
      <c r="Q73" t="str">
        <f t="shared" si="12"/>
        <v>8-8520-34679</v>
      </c>
    </row>
    <row r="75" spans="1:17" x14ac:dyDescent="0.25">
      <c r="A75" s="60" t="s">
        <v>746</v>
      </c>
      <c r="B75" s="60"/>
      <c r="C75" s="60"/>
      <c r="D75" s="60"/>
      <c r="E75" s="60"/>
      <c r="F75" s="60"/>
      <c r="G75" s="60"/>
    </row>
    <row r="76" spans="1:17" x14ac:dyDescent="0.25">
      <c r="A76" s="60">
        <v>875</v>
      </c>
      <c r="B76" s="60" t="s">
        <v>305</v>
      </c>
      <c r="C76" s="60" t="s">
        <v>306</v>
      </c>
      <c r="D76" s="60" t="s">
        <v>307</v>
      </c>
      <c r="E76" s="61" t="s">
        <v>296</v>
      </c>
      <c r="F76" s="60" t="str">
        <f>LOWER(B76)&amp;"."&amp;LOWER(C76)&amp;"@enmin.lt"</f>
        <v>gediminas.karalius@enmin.lt</v>
      </c>
      <c r="G76" s="60" t="str">
        <f>LEFT(B76,1)&amp;". "&amp;UPPER(C76)&amp;", tel. "&amp;E76</f>
        <v>G. KARALIUS, tel. 852034472</v>
      </c>
    </row>
    <row r="78" spans="1:17" x14ac:dyDescent="0.25">
      <c r="A78" s="6" t="s">
        <v>26</v>
      </c>
      <c r="B78" s="41" t="s">
        <v>698</v>
      </c>
    </row>
    <row r="80" spans="1:17" x14ac:dyDescent="0.25">
      <c r="C80" s="48" t="s">
        <v>310</v>
      </c>
      <c r="D80" s="48"/>
    </row>
    <row r="81" spans="1:7" x14ac:dyDescent="0.25">
      <c r="C81" t="s">
        <v>311</v>
      </c>
      <c r="D81" t="s">
        <v>312</v>
      </c>
    </row>
    <row r="82" spans="1:7" x14ac:dyDescent="0.25">
      <c r="C82" t="s">
        <v>313</v>
      </c>
      <c r="D82" t="s">
        <v>210</v>
      </c>
    </row>
    <row r="83" spans="1:7" x14ac:dyDescent="0.25">
      <c r="C83" t="s">
        <v>314</v>
      </c>
      <c r="D83" t="s">
        <v>292</v>
      </c>
    </row>
    <row r="84" spans="1:7" x14ac:dyDescent="0.25">
      <c r="C84" t="s">
        <v>315</v>
      </c>
      <c r="D84" t="s">
        <v>309</v>
      </c>
    </row>
    <row r="85" spans="1:7" x14ac:dyDescent="0.25">
      <c r="C85" t="s">
        <v>316</v>
      </c>
      <c r="D85" t="s">
        <v>170</v>
      </c>
    </row>
    <row r="87" spans="1:7" x14ac:dyDescent="0.25">
      <c r="A87" s="60" t="s">
        <v>746</v>
      </c>
      <c r="B87" s="60"/>
      <c r="C87" s="60"/>
      <c r="D87" s="60"/>
    </row>
    <row r="88" spans="1:7" x14ac:dyDescent="0.25">
      <c r="A88" s="60"/>
      <c r="B88" s="60"/>
      <c r="C88" s="60" t="s">
        <v>311</v>
      </c>
      <c r="D88" s="60" t="str">
        <f>PROPER(REPLACE(C88,1,FIND(" ",C88),""))</f>
        <v>Petraitis</v>
      </c>
    </row>
    <row r="89" spans="1:7" x14ac:dyDescent="0.25">
      <c r="E89" s="59"/>
    </row>
    <row r="90" spans="1:7" x14ac:dyDescent="0.25">
      <c r="A90" s="6" t="s">
        <v>25</v>
      </c>
      <c r="B90" s="41" t="s">
        <v>699</v>
      </c>
    </row>
    <row r="92" spans="1:7" x14ac:dyDescent="0.25">
      <c r="A92" t="s">
        <v>1160</v>
      </c>
      <c r="B92" t="s">
        <v>1161</v>
      </c>
      <c r="C92" t="s">
        <v>1162</v>
      </c>
      <c r="D92" t="s">
        <v>1163</v>
      </c>
      <c r="E92" t="s">
        <v>1164</v>
      </c>
      <c r="F92" t="s">
        <v>1165</v>
      </c>
      <c r="G92" t="s">
        <v>1166</v>
      </c>
    </row>
    <row r="93" spans="1:7" x14ac:dyDescent="0.25">
      <c r="A93" s="42">
        <v>43617</v>
      </c>
      <c r="B93">
        <v>96.97</v>
      </c>
      <c r="C93">
        <v>0</v>
      </c>
      <c r="D93">
        <v>4</v>
      </c>
      <c r="E93">
        <v>0</v>
      </c>
      <c r="F93">
        <v>4</v>
      </c>
      <c r="G93">
        <v>0</v>
      </c>
    </row>
    <row r="94" spans="1:7" x14ac:dyDescent="0.25">
      <c r="A94" s="42">
        <v>43618</v>
      </c>
      <c r="B94">
        <v>174.95</v>
      </c>
      <c r="C94">
        <v>0</v>
      </c>
      <c r="D94">
        <v>8</v>
      </c>
      <c r="E94">
        <v>0</v>
      </c>
      <c r="F94">
        <v>8</v>
      </c>
      <c r="G94">
        <v>0</v>
      </c>
    </row>
    <row r="95" spans="1:7" x14ac:dyDescent="0.25">
      <c r="A95" s="42">
        <v>43619</v>
      </c>
      <c r="B95">
        <v>64.989999999999995</v>
      </c>
      <c r="C95">
        <v>0</v>
      </c>
      <c r="D95">
        <v>4</v>
      </c>
      <c r="E95">
        <v>0</v>
      </c>
      <c r="F95">
        <v>4</v>
      </c>
      <c r="G95">
        <v>0</v>
      </c>
    </row>
    <row r="96" spans="1:7" x14ac:dyDescent="0.25">
      <c r="A96" s="42">
        <v>43620</v>
      </c>
      <c r="B96">
        <v>34.97</v>
      </c>
      <c r="C96">
        <v>0</v>
      </c>
      <c r="D96">
        <v>2</v>
      </c>
      <c r="E96">
        <v>0</v>
      </c>
      <c r="F96">
        <v>2</v>
      </c>
      <c r="G96">
        <v>0</v>
      </c>
    </row>
    <row r="97" spans="1:7" x14ac:dyDescent="0.25">
      <c r="A97" s="42">
        <v>43621</v>
      </c>
      <c r="B97">
        <v>89.96</v>
      </c>
      <c r="C97">
        <v>0</v>
      </c>
      <c r="D97">
        <v>6</v>
      </c>
      <c r="E97">
        <v>0</v>
      </c>
      <c r="F97">
        <v>6</v>
      </c>
      <c r="G97">
        <v>0</v>
      </c>
    </row>
    <row r="98" spans="1:7" x14ac:dyDescent="0.25">
      <c r="A98" s="42">
        <v>43622</v>
      </c>
      <c r="B98">
        <v>74.97</v>
      </c>
      <c r="C98">
        <v>0</v>
      </c>
      <c r="D98">
        <v>5</v>
      </c>
      <c r="E98">
        <v>0</v>
      </c>
      <c r="F98">
        <v>5</v>
      </c>
      <c r="G98">
        <v>0</v>
      </c>
    </row>
    <row r="99" spans="1:7" x14ac:dyDescent="0.25">
      <c r="A99" s="42">
        <v>43623</v>
      </c>
      <c r="B99">
        <v>44.99</v>
      </c>
      <c r="C99">
        <v>0</v>
      </c>
      <c r="D99">
        <v>3</v>
      </c>
      <c r="E99">
        <v>0</v>
      </c>
      <c r="F99">
        <v>3</v>
      </c>
      <c r="G99">
        <v>0</v>
      </c>
    </row>
    <row r="100" spans="1:7" x14ac:dyDescent="0.25">
      <c r="A100" s="42">
        <v>43624</v>
      </c>
      <c r="B100">
        <v>44.99</v>
      </c>
      <c r="C100">
        <v>0</v>
      </c>
      <c r="D100">
        <v>3</v>
      </c>
      <c r="E100">
        <v>0</v>
      </c>
      <c r="F100">
        <v>3</v>
      </c>
      <c r="G100">
        <v>0</v>
      </c>
    </row>
    <row r="101" spans="1:7" x14ac:dyDescent="0.25">
      <c r="A101" s="42">
        <v>43625</v>
      </c>
      <c r="B101">
        <v>55.97</v>
      </c>
      <c r="C101">
        <v>0</v>
      </c>
      <c r="D101">
        <v>3</v>
      </c>
      <c r="E101">
        <v>0</v>
      </c>
      <c r="F101">
        <v>3</v>
      </c>
      <c r="G101">
        <v>0</v>
      </c>
    </row>
    <row r="102" spans="1:7" x14ac:dyDescent="0.25">
      <c r="A102" s="42">
        <v>43626</v>
      </c>
      <c r="B102">
        <v>36.9</v>
      </c>
      <c r="C102">
        <v>0</v>
      </c>
      <c r="D102">
        <v>2</v>
      </c>
      <c r="E102">
        <v>0</v>
      </c>
      <c r="F102">
        <v>2</v>
      </c>
      <c r="G102">
        <v>0</v>
      </c>
    </row>
    <row r="103" spans="1:7" x14ac:dyDescent="0.25">
      <c r="A103" s="42">
        <v>43627</v>
      </c>
      <c r="B103">
        <v>89.96</v>
      </c>
      <c r="C103">
        <v>0</v>
      </c>
      <c r="D103">
        <v>6</v>
      </c>
      <c r="E103">
        <v>0</v>
      </c>
      <c r="F103">
        <v>6</v>
      </c>
      <c r="G103">
        <v>0</v>
      </c>
    </row>
    <row r="104" spans="1:7" x14ac:dyDescent="0.25">
      <c r="A104" s="42">
        <v>43628</v>
      </c>
      <c r="B104">
        <v>129.97999999999999</v>
      </c>
      <c r="C104">
        <v>0</v>
      </c>
      <c r="D104">
        <v>8</v>
      </c>
      <c r="E104">
        <v>0</v>
      </c>
      <c r="F104">
        <v>7</v>
      </c>
      <c r="G104">
        <v>0</v>
      </c>
    </row>
    <row r="105" spans="1:7" x14ac:dyDescent="0.25">
      <c r="A105" s="42">
        <v>43629</v>
      </c>
      <c r="B105">
        <v>71.959999999999994</v>
      </c>
      <c r="C105">
        <v>0</v>
      </c>
      <c r="D105">
        <v>4</v>
      </c>
      <c r="E105">
        <v>0</v>
      </c>
      <c r="F105">
        <v>4</v>
      </c>
      <c r="G105">
        <v>0</v>
      </c>
    </row>
    <row r="106" spans="1:7" x14ac:dyDescent="0.25">
      <c r="A106" s="42">
        <v>43630</v>
      </c>
      <c r="B106">
        <v>56.95</v>
      </c>
      <c r="C106">
        <v>0</v>
      </c>
      <c r="D106">
        <v>3</v>
      </c>
      <c r="E106">
        <v>0</v>
      </c>
      <c r="F106">
        <v>3</v>
      </c>
      <c r="G106">
        <v>0</v>
      </c>
    </row>
    <row r="107" spans="1:7" x14ac:dyDescent="0.25">
      <c r="A107" s="42">
        <v>43631</v>
      </c>
      <c r="B107">
        <v>36.99</v>
      </c>
      <c r="C107">
        <v>0</v>
      </c>
      <c r="D107">
        <v>2</v>
      </c>
      <c r="E107">
        <v>0</v>
      </c>
      <c r="F107">
        <v>2</v>
      </c>
      <c r="G107">
        <v>0</v>
      </c>
    </row>
    <row r="108" spans="1:7" x14ac:dyDescent="0.25">
      <c r="A108" s="42">
        <v>43632</v>
      </c>
      <c r="B108">
        <v>124.95</v>
      </c>
      <c r="C108">
        <v>0</v>
      </c>
      <c r="D108">
        <v>8</v>
      </c>
      <c r="E108">
        <v>0</v>
      </c>
      <c r="F108">
        <v>8</v>
      </c>
      <c r="G108">
        <v>0</v>
      </c>
    </row>
    <row r="109" spans="1:7" x14ac:dyDescent="0.25">
      <c r="A109" s="42">
        <v>43633</v>
      </c>
      <c r="B109">
        <v>53.98</v>
      </c>
      <c r="C109">
        <v>0</v>
      </c>
      <c r="D109">
        <v>3</v>
      </c>
      <c r="E109">
        <v>0</v>
      </c>
      <c r="F109">
        <v>3</v>
      </c>
      <c r="G109">
        <v>0</v>
      </c>
    </row>
    <row r="110" spans="1:7" x14ac:dyDescent="0.25">
      <c r="A110" s="42">
        <v>43634</v>
      </c>
      <c r="B110">
        <v>59.93</v>
      </c>
      <c r="C110">
        <v>0</v>
      </c>
      <c r="D110">
        <v>3</v>
      </c>
      <c r="E110">
        <v>0</v>
      </c>
      <c r="F110">
        <v>3</v>
      </c>
      <c r="G110">
        <v>0</v>
      </c>
    </row>
    <row r="111" spans="1:7" x14ac:dyDescent="0.25">
      <c r="A111" s="42">
        <v>43635</v>
      </c>
      <c r="B111">
        <v>76.930000000000007</v>
      </c>
      <c r="C111">
        <v>0</v>
      </c>
      <c r="D111">
        <v>5</v>
      </c>
      <c r="E111">
        <v>0</v>
      </c>
      <c r="F111">
        <v>5</v>
      </c>
      <c r="G111">
        <v>0</v>
      </c>
    </row>
    <row r="112" spans="1:7" x14ac:dyDescent="0.25">
      <c r="A112" s="42">
        <v>43636</v>
      </c>
      <c r="B112">
        <v>36.979999999999997</v>
      </c>
      <c r="C112">
        <v>0</v>
      </c>
      <c r="D112">
        <v>2</v>
      </c>
      <c r="E112">
        <v>0</v>
      </c>
      <c r="F112">
        <v>2</v>
      </c>
      <c r="G112">
        <v>0</v>
      </c>
    </row>
    <row r="113" spans="1:7" x14ac:dyDescent="0.25">
      <c r="A113" s="42">
        <v>43637</v>
      </c>
      <c r="B113">
        <v>0</v>
      </c>
      <c r="C113">
        <v>0</v>
      </c>
      <c r="D113">
        <v>0</v>
      </c>
      <c r="E113">
        <v>0</v>
      </c>
      <c r="F113">
        <v>0</v>
      </c>
      <c r="G113">
        <v>0</v>
      </c>
    </row>
    <row r="114" spans="1:7" x14ac:dyDescent="0.25">
      <c r="A114" s="42">
        <v>43638</v>
      </c>
      <c r="B114">
        <v>46.98</v>
      </c>
      <c r="C114">
        <v>0</v>
      </c>
      <c r="D114">
        <v>2</v>
      </c>
      <c r="E114">
        <v>0</v>
      </c>
      <c r="F114">
        <v>2</v>
      </c>
      <c r="G114">
        <v>0</v>
      </c>
    </row>
    <row r="115" spans="1:7" x14ac:dyDescent="0.25">
      <c r="A115" s="42">
        <v>43639</v>
      </c>
      <c r="B115">
        <v>0</v>
      </c>
      <c r="C115">
        <v>0</v>
      </c>
      <c r="D115">
        <v>0</v>
      </c>
      <c r="E115">
        <v>0</v>
      </c>
      <c r="F115">
        <v>0</v>
      </c>
      <c r="G115">
        <v>0</v>
      </c>
    </row>
    <row r="116" spans="1:7" x14ac:dyDescent="0.25">
      <c r="A116" s="42">
        <v>43640</v>
      </c>
      <c r="B116">
        <v>18.96</v>
      </c>
      <c r="C116">
        <v>0</v>
      </c>
      <c r="D116">
        <v>1</v>
      </c>
      <c r="E116">
        <v>0</v>
      </c>
      <c r="F116">
        <v>1</v>
      </c>
      <c r="G116">
        <v>0</v>
      </c>
    </row>
    <row r="117" spans="1:7" x14ac:dyDescent="0.25">
      <c r="A117" s="42">
        <v>43641</v>
      </c>
      <c r="B117">
        <v>65.95</v>
      </c>
      <c r="C117">
        <v>0</v>
      </c>
      <c r="D117">
        <v>4</v>
      </c>
      <c r="E117">
        <v>0</v>
      </c>
      <c r="F117">
        <v>4</v>
      </c>
      <c r="G117">
        <v>0</v>
      </c>
    </row>
    <row r="118" spans="1:7" x14ac:dyDescent="0.25">
      <c r="A118" s="42">
        <v>43642</v>
      </c>
      <c r="B118">
        <v>0</v>
      </c>
      <c r="C118">
        <v>0</v>
      </c>
      <c r="D118">
        <v>0</v>
      </c>
      <c r="E118">
        <v>0</v>
      </c>
      <c r="F118">
        <v>0</v>
      </c>
      <c r="G118">
        <v>0</v>
      </c>
    </row>
    <row r="119" spans="1:7" x14ac:dyDescent="0.25">
      <c r="A119" s="42">
        <v>43643</v>
      </c>
      <c r="B119">
        <v>97.92</v>
      </c>
      <c r="C119">
        <v>0</v>
      </c>
      <c r="D119">
        <v>5</v>
      </c>
      <c r="E119">
        <v>0</v>
      </c>
      <c r="F119">
        <v>5</v>
      </c>
      <c r="G119">
        <v>0</v>
      </c>
    </row>
    <row r="120" spans="1:7" x14ac:dyDescent="0.25">
      <c r="A120" s="42">
        <v>43644</v>
      </c>
      <c r="B120">
        <v>0</v>
      </c>
      <c r="C120">
        <v>0</v>
      </c>
      <c r="D120">
        <v>0</v>
      </c>
      <c r="E120">
        <v>0</v>
      </c>
      <c r="F120">
        <v>0</v>
      </c>
      <c r="G120">
        <v>0</v>
      </c>
    </row>
    <row r="121" spans="1:7" x14ac:dyDescent="0.25">
      <c r="A121" s="42">
        <v>43645</v>
      </c>
      <c r="B121">
        <v>36.979999999999997</v>
      </c>
      <c r="C121">
        <v>0</v>
      </c>
      <c r="D121">
        <v>2</v>
      </c>
      <c r="E121">
        <v>0</v>
      </c>
      <c r="F121">
        <v>2</v>
      </c>
      <c r="G121">
        <v>0</v>
      </c>
    </row>
    <row r="122" spans="1:7" x14ac:dyDescent="0.25">
      <c r="A122" s="42">
        <v>43646</v>
      </c>
      <c r="B122">
        <v>36.979999999999997</v>
      </c>
      <c r="C122">
        <v>0</v>
      </c>
      <c r="D122">
        <v>2</v>
      </c>
      <c r="E122">
        <v>0</v>
      </c>
      <c r="F122">
        <v>2</v>
      </c>
      <c r="G122">
        <v>0</v>
      </c>
    </row>
    <row r="124" spans="1:7" x14ac:dyDescent="0.25">
      <c r="A124" s="6" t="s">
        <v>24</v>
      </c>
      <c r="B124" s="41" t="s">
        <v>895</v>
      </c>
    </row>
    <row r="126" spans="1:7" x14ac:dyDescent="0.25">
      <c r="B126" s="6" t="s">
        <v>896</v>
      </c>
      <c r="C126" t="s">
        <v>899</v>
      </c>
    </row>
    <row r="127" spans="1:7" x14ac:dyDescent="0.25">
      <c r="B127" s="6"/>
    </row>
    <row r="128" spans="1:7" x14ac:dyDescent="0.25">
      <c r="D128" t="s">
        <v>48</v>
      </c>
      <c r="E128" t="s">
        <v>1167</v>
      </c>
    </row>
    <row r="129" spans="2:8" x14ac:dyDescent="0.25">
      <c r="D129" t="s">
        <v>53</v>
      </c>
      <c r="E129" t="s">
        <v>1168</v>
      </c>
    </row>
    <row r="130" spans="2:8" x14ac:dyDescent="0.25">
      <c r="D130" t="s">
        <v>229</v>
      </c>
      <c r="E130" t="s">
        <v>1169</v>
      </c>
    </row>
    <row r="131" spans="2:8" x14ac:dyDescent="0.25">
      <c r="D131" t="s">
        <v>1170</v>
      </c>
      <c r="E131" t="s">
        <v>1171</v>
      </c>
    </row>
    <row r="133" spans="2:8" x14ac:dyDescent="0.25">
      <c r="B133" s="6" t="s">
        <v>897</v>
      </c>
      <c r="C133" t="s">
        <v>898</v>
      </c>
      <c r="H133" t="s">
        <v>1178</v>
      </c>
    </row>
    <row r="134" spans="2:8" x14ac:dyDescent="0.25">
      <c r="B134" s="6"/>
    </row>
    <row r="135" spans="2:8" x14ac:dyDescent="0.25">
      <c r="D135" t="s">
        <v>1172</v>
      </c>
      <c r="E135" t="s">
        <v>1173</v>
      </c>
      <c r="F135">
        <v>28</v>
      </c>
    </row>
    <row r="136" spans="2:8" x14ac:dyDescent="0.25">
      <c r="D136" t="s">
        <v>1174</v>
      </c>
      <c r="E136" t="s">
        <v>1175</v>
      </c>
      <c r="F136">
        <v>53</v>
      </c>
    </row>
    <row r="137" spans="2:8" x14ac:dyDescent="0.25">
      <c r="D137" t="s">
        <v>1176</v>
      </c>
      <c r="E137" t="s">
        <v>1177</v>
      </c>
      <c r="F137">
        <v>39</v>
      </c>
    </row>
  </sheetData>
  <phoneticPr fontId="22" type="noConversion"/>
  <hyperlinks>
    <hyperlink ref="F6" r:id="rId1" xr:uid="{6432940F-9275-4B1A-BA6E-221E5921D709}"/>
  </hyperlinks>
  <pageMargins left="1.1023622047244095" right="0.31496062992125984" top="0.74803149606299213" bottom="0.74803149606299213" header="0.31496062992125984" footer="0.31496062992125984"/>
  <pageSetup paperSize="9" firstPageNumber="10" orientation="portrait" useFirstPageNumber="1" r:id="rId2"/>
  <headerFooter differentOddEven="1" differentFirst="1">
    <oddHeader>&amp;L&amp;P</oddHeader>
    <evenHeader>&amp;R&amp;P</even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7"/>
  <sheetViews>
    <sheetView zoomScaleNormal="100" workbookViewId="0"/>
  </sheetViews>
  <sheetFormatPr defaultRowHeight="15" outlineLevelRow="1" outlineLevelCol="1" x14ac:dyDescent="0.25"/>
  <cols>
    <col min="1" max="1" width="14.5703125" customWidth="1"/>
    <col min="2" max="2" width="30.5703125" customWidth="1"/>
    <col min="3" max="5" width="9.140625" customWidth="1" outlineLevel="1"/>
    <col min="6" max="6" width="12" customWidth="1"/>
    <col min="7" max="9" width="9.140625" customWidth="1" outlineLevel="1"/>
    <col min="10" max="10" width="12" customWidth="1"/>
    <col min="11" max="13" width="9.140625" customWidth="1"/>
    <col min="14" max="14" width="12" customWidth="1"/>
    <col min="15" max="17" width="9.140625" customWidth="1"/>
    <col min="18" max="18" width="12" customWidth="1"/>
    <col min="19" max="19" width="11.42578125" customWidth="1"/>
    <col min="20" max="22" width="9.140625" customWidth="1"/>
    <col min="23" max="23" width="12" customWidth="1"/>
    <col min="24" max="26" width="9.140625" customWidth="1"/>
    <col min="27" max="27" width="12" customWidth="1"/>
    <col min="28" max="30" width="9.140625" customWidth="1"/>
    <col min="31" max="31" width="12" customWidth="1"/>
    <col min="32" max="34" width="9.140625" customWidth="1"/>
    <col min="35" max="36" width="12" customWidth="1"/>
  </cols>
  <sheetData>
    <row r="1" spans="1:36" ht="23.25" x14ac:dyDescent="0.35">
      <c r="A1" s="257" t="s">
        <v>871</v>
      </c>
      <c r="B1" s="1" t="s">
        <v>156</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x14ac:dyDescent="0.25">
      <c r="B2" s="45" t="s">
        <v>317</v>
      </c>
    </row>
    <row r="3" spans="1:36" x14ac:dyDescent="0.25">
      <c r="C3" s="47" t="s">
        <v>109</v>
      </c>
      <c r="D3" s="47" t="s">
        <v>318</v>
      </c>
      <c r="E3" s="47" t="s">
        <v>319</v>
      </c>
      <c r="F3" s="43" t="s">
        <v>320</v>
      </c>
      <c r="G3" s="47" t="s">
        <v>321</v>
      </c>
      <c r="H3" s="47" t="s">
        <v>322</v>
      </c>
      <c r="I3" s="47" t="s">
        <v>323</v>
      </c>
      <c r="J3" s="43" t="s">
        <v>324</v>
      </c>
      <c r="K3" s="47" t="s">
        <v>325</v>
      </c>
      <c r="L3" s="47" t="s">
        <v>326</v>
      </c>
      <c r="M3" s="47" t="s">
        <v>327</v>
      </c>
      <c r="N3" s="43" t="s">
        <v>328</v>
      </c>
      <c r="O3" s="47" t="s">
        <v>329</v>
      </c>
      <c r="P3" s="47" t="s">
        <v>330</v>
      </c>
      <c r="Q3" s="47" t="s">
        <v>331</v>
      </c>
      <c r="R3" s="43" t="s">
        <v>332</v>
      </c>
      <c r="S3" s="62" t="s">
        <v>333</v>
      </c>
      <c r="T3" s="63" t="s">
        <v>109</v>
      </c>
      <c r="U3" s="63" t="s">
        <v>318</v>
      </c>
      <c r="V3" s="63" t="s">
        <v>319</v>
      </c>
      <c r="W3" s="64" t="s">
        <v>334</v>
      </c>
      <c r="X3" s="63" t="s">
        <v>321</v>
      </c>
      <c r="Y3" s="63" t="s">
        <v>322</v>
      </c>
      <c r="Z3" s="63" t="s">
        <v>323</v>
      </c>
      <c r="AA3" s="64" t="s">
        <v>335</v>
      </c>
      <c r="AB3" s="63" t="s">
        <v>325</v>
      </c>
      <c r="AC3" s="63" t="s">
        <v>326</v>
      </c>
      <c r="AD3" s="63" t="s">
        <v>327</v>
      </c>
      <c r="AE3" s="64" t="s">
        <v>336</v>
      </c>
      <c r="AF3" s="63" t="s">
        <v>329</v>
      </c>
      <c r="AG3" s="63" t="s">
        <v>330</v>
      </c>
      <c r="AH3" s="63" t="s">
        <v>331</v>
      </c>
      <c r="AI3" s="64" t="s">
        <v>337</v>
      </c>
      <c r="AJ3" s="65" t="s">
        <v>338</v>
      </c>
    </row>
    <row r="4" spans="1:36" outlineLevel="1" x14ac:dyDescent="0.25">
      <c r="B4" t="s">
        <v>700</v>
      </c>
      <c r="C4" s="66">
        <v>2046</v>
      </c>
      <c r="D4" s="66">
        <v>2057</v>
      </c>
      <c r="E4" s="66">
        <v>2067</v>
      </c>
      <c r="F4" s="66">
        <f>+SUM(C4:E4)</f>
        <v>6170</v>
      </c>
      <c r="G4" s="66">
        <v>2028</v>
      </c>
      <c r="H4" s="66">
        <v>2044</v>
      </c>
      <c r="I4" s="66">
        <v>2085</v>
      </c>
      <c r="J4" s="66">
        <f>+SUM(G4:I4)</f>
        <v>6157</v>
      </c>
      <c r="K4" s="66">
        <v>2023</v>
      </c>
      <c r="L4" s="66">
        <v>2016</v>
      </c>
      <c r="M4" s="66">
        <v>2048</v>
      </c>
      <c r="N4" s="66">
        <f>+SUM(K4:M4)</f>
        <v>6087</v>
      </c>
      <c r="O4" s="66">
        <v>2079</v>
      </c>
      <c r="P4" s="66">
        <v>2091</v>
      </c>
      <c r="Q4" s="66">
        <v>2030</v>
      </c>
      <c r="R4" s="66">
        <f>+SUM(O4:Q4)</f>
        <v>6200</v>
      </c>
      <c r="S4" s="66">
        <f>+F4+J4+N4+R4</f>
        <v>24614</v>
      </c>
      <c r="T4" s="66">
        <v>2053</v>
      </c>
      <c r="U4" s="66">
        <v>2084</v>
      </c>
      <c r="V4" s="66">
        <v>2085</v>
      </c>
      <c r="W4" s="66">
        <f>+SUM(T4:V4)</f>
        <v>6222</v>
      </c>
      <c r="X4" s="66">
        <v>2026</v>
      </c>
      <c r="Y4" s="66">
        <v>2043</v>
      </c>
      <c r="Z4" s="66">
        <v>2024</v>
      </c>
      <c r="AA4" s="66">
        <f>+SUM(X4:Z4)</f>
        <v>6093</v>
      </c>
      <c r="AB4" s="66"/>
      <c r="AC4" s="66"/>
      <c r="AD4" s="66"/>
      <c r="AE4" s="66">
        <f>+SUM(AB4:AD4)</f>
        <v>0</v>
      </c>
      <c r="AF4" s="66"/>
      <c r="AG4" s="66"/>
      <c r="AH4" s="66"/>
      <c r="AI4" s="66">
        <f>+SUM(AF4:AH4)</f>
        <v>0</v>
      </c>
      <c r="AJ4" s="66">
        <f>+W4+AA4+AE4+AI4</f>
        <v>12315</v>
      </c>
    </row>
    <row r="5" spans="1:36" outlineLevel="1" x14ac:dyDescent="0.25">
      <c r="B5" t="s">
        <v>339</v>
      </c>
      <c r="C5" s="66">
        <v>2592</v>
      </c>
      <c r="D5" s="66">
        <v>2517</v>
      </c>
      <c r="E5" s="66">
        <v>2550</v>
      </c>
      <c r="F5" s="66">
        <f>+SUM(C5:E5)</f>
        <v>7659</v>
      </c>
      <c r="G5" s="66">
        <v>2570</v>
      </c>
      <c r="H5" s="66">
        <v>2505</v>
      </c>
      <c r="I5" s="66">
        <v>2576</v>
      </c>
      <c r="J5" s="66">
        <f>+SUM(G5:I5)</f>
        <v>7651</v>
      </c>
      <c r="K5" s="66">
        <v>2522</v>
      </c>
      <c r="L5" s="66">
        <v>2517</v>
      </c>
      <c r="M5" s="66">
        <v>2577</v>
      </c>
      <c r="N5" s="66">
        <f>+SUM(K5:M5)</f>
        <v>7616</v>
      </c>
      <c r="O5" s="66">
        <v>2511</v>
      </c>
      <c r="P5" s="66">
        <v>2557</v>
      </c>
      <c r="Q5" s="66">
        <v>2516</v>
      </c>
      <c r="R5" s="66">
        <f>+SUM(O5:Q5)</f>
        <v>7584</v>
      </c>
      <c r="S5" s="66">
        <f>+F5+J5+N5+R5</f>
        <v>30510</v>
      </c>
      <c r="T5" s="66">
        <v>2523</v>
      </c>
      <c r="U5" s="66">
        <v>2504</v>
      </c>
      <c r="V5" s="66">
        <v>2588</v>
      </c>
      <c r="W5" s="66">
        <f>+SUM(T5:V5)</f>
        <v>7615</v>
      </c>
      <c r="X5" s="66">
        <v>2571</v>
      </c>
      <c r="Y5" s="66">
        <v>2504</v>
      </c>
      <c r="Z5" s="66">
        <v>2507</v>
      </c>
      <c r="AA5" s="66">
        <f>+SUM(X5:Z5)</f>
        <v>7582</v>
      </c>
      <c r="AB5" s="66"/>
      <c r="AC5" s="66"/>
      <c r="AD5" s="66"/>
      <c r="AE5" s="66">
        <f>+SUM(AB5:AD5)</f>
        <v>0</v>
      </c>
      <c r="AF5" s="66"/>
      <c r="AG5" s="66"/>
      <c r="AH5" s="66"/>
      <c r="AI5" s="66">
        <f>+SUM(AF5:AH5)</f>
        <v>0</v>
      </c>
      <c r="AJ5" s="66">
        <f>+W5+AA5+AE5+AI5</f>
        <v>15197</v>
      </c>
    </row>
    <row r="6" spans="1:36" outlineLevel="1" x14ac:dyDescent="0.25">
      <c r="B6" t="s">
        <v>340</v>
      </c>
      <c r="C6" s="66">
        <v>4091</v>
      </c>
      <c r="D6" s="66">
        <v>4033</v>
      </c>
      <c r="E6" s="66">
        <v>4054</v>
      </c>
      <c r="F6" s="66">
        <f>+SUM(C6:E6)</f>
        <v>12178</v>
      </c>
      <c r="G6" s="66">
        <v>4082</v>
      </c>
      <c r="H6" s="66">
        <v>4065</v>
      </c>
      <c r="I6" s="66">
        <v>4057</v>
      </c>
      <c r="J6" s="66">
        <f>+SUM(G6:I6)</f>
        <v>12204</v>
      </c>
      <c r="K6" s="66">
        <v>4037</v>
      </c>
      <c r="L6" s="66">
        <v>4095</v>
      </c>
      <c r="M6" s="66">
        <v>4039</v>
      </c>
      <c r="N6" s="66">
        <f>+SUM(K6:M6)</f>
        <v>12171</v>
      </c>
      <c r="O6" s="66">
        <v>4038</v>
      </c>
      <c r="P6" s="66">
        <v>4031</v>
      </c>
      <c r="Q6" s="66">
        <v>4035</v>
      </c>
      <c r="R6" s="66">
        <f>+SUM(O6:Q6)</f>
        <v>12104</v>
      </c>
      <c r="S6" s="66">
        <f>+F6+J6+N6+R6</f>
        <v>48657</v>
      </c>
      <c r="T6" s="66">
        <v>4034</v>
      </c>
      <c r="U6" s="66">
        <v>4073</v>
      </c>
      <c r="V6" s="66">
        <v>4016</v>
      </c>
      <c r="W6" s="66">
        <f>+SUM(T6:V6)</f>
        <v>12123</v>
      </c>
      <c r="X6" s="66">
        <v>4021</v>
      </c>
      <c r="Y6" s="66">
        <v>4014</v>
      </c>
      <c r="Z6" s="66">
        <v>4085</v>
      </c>
      <c r="AA6" s="66">
        <f>+SUM(X6:Z6)</f>
        <v>12120</v>
      </c>
      <c r="AB6" s="66"/>
      <c r="AC6" s="66"/>
      <c r="AD6" s="66"/>
      <c r="AE6" s="66">
        <f>+SUM(AB6:AD6)</f>
        <v>0</v>
      </c>
      <c r="AF6" s="66"/>
      <c r="AG6" s="66"/>
      <c r="AH6" s="66"/>
      <c r="AI6" s="66">
        <f>+SUM(AF6:AH6)</f>
        <v>0</v>
      </c>
      <c r="AJ6" s="66">
        <f>+W6+AA6+AE6+AI6</f>
        <v>24243</v>
      </c>
    </row>
    <row r="7" spans="1:36" outlineLevel="1" x14ac:dyDescent="0.25">
      <c r="B7" t="s">
        <v>341</v>
      </c>
      <c r="C7" s="66">
        <v>1501</v>
      </c>
      <c r="D7" s="66">
        <v>1510</v>
      </c>
      <c r="E7" s="66">
        <v>1551</v>
      </c>
      <c r="F7" s="66">
        <f>+SUM(C7:E7)</f>
        <v>4562</v>
      </c>
      <c r="G7" s="66">
        <v>1536</v>
      </c>
      <c r="H7" s="66">
        <v>1502</v>
      </c>
      <c r="I7" s="66">
        <v>1557</v>
      </c>
      <c r="J7" s="66">
        <f>+SUM(G7:I7)</f>
        <v>4595</v>
      </c>
      <c r="K7" s="66">
        <v>1522</v>
      </c>
      <c r="L7" s="66">
        <v>1516</v>
      </c>
      <c r="M7" s="66">
        <v>1529</v>
      </c>
      <c r="N7" s="66">
        <f>+SUM(K7:M7)</f>
        <v>4567</v>
      </c>
      <c r="O7" s="66">
        <v>1500</v>
      </c>
      <c r="P7" s="66">
        <v>1509</v>
      </c>
      <c r="Q7" s="66">
        <v>1554</v>
      </c>
      <c r="R7" s="66">
        <f>+SUM(O7:Q7)</f>
        <v>4563</v>
      </c>
      <c r="S7" s="66">
        <f>+F7+J7+N7+R7</f>
        <v>18287</v>
      </c>
      <c r="T7" s="66">
        <v>1519</v>
      </c>
      <c r="U7" s="66">
        <v>1540</v>
      </c>
      <c r="V7" s="66">
        <v>1518</v>
      </c>
      <c r="W7" s="66">
        <f>+SUM(T7:V7)</f>
        <v>4577</v>
      </c>
      <c r="X7" s="66">
        <v>1559</v>
      </c>
      <c r="Y7" s="66">
        <v>1533</v>
      </c>
      <c r="Z7" s="66">
        <v>1521</v>
      </c>
      <c r="AA7" s="66">
        <f>+SUM(X7:Z7)</f>
        <v>4613</v>
      </c>
      <c r="AB7" s="66"/>
      <c r="AC7" s="66"/>
      <c r="AD7" s="66"/>
      <c r="AE7" s="66">
        <f>+SUM(AB7:AD7)</f>
        <v>0</v>
      </c>
      <c r="AF7" s="66"/>
      <c r="AG7" s="66"/>
      <c r="AH7" s="66"/>
      <c r="AI7" s="66">
        <f>+SUM(AF7:AH7)</f>
        <v>0</v>
      </c>
      <c r="AJ7" s="66">
        <f>+W7+AA7+AE7+AI7</f>
        <v>9190</v>
      </c>
    </row>
    <row r="8" spans="1:36" x14ac:dyDescent="0.25">
      <c r="B8" s="67" t="s">
        <v>701</v>
      </c>
      <c r="C8" s="68">
        <f>+SUBTOTAL(9,C4:C7)</f>
        <v>10230</v>
      </c>
      <c r="D8" s="68">
        <f t="shared" ref="D8:AJ8" si="0">+SUBTOTAL(9,D4:D7)</f>
        <v>10117</v>
      </c>
      <c r="E8" s="68">
        <f t="shared" si="0"/>
        <v>10222</v>
      </c>
      <c r="F8" s="68">
        <f>+SUBTOTAL(9,F4:F7)</f>
        <v>30569</v>
      </c>
      <c r="G8" s="68">
        <f t="shared" si="0"/>
        <v>10216</v>
      </c>
      <c r="H8" s="68">
        <f t="shared" si="0"/>
        <v>10116</v>
      </c>
      <c r="I8" s="68">
        <f t="shared" si="0"/>
        <v>10275</v>
      </c>
      <c r="J8" s="68">
        <f t="shared" si="0"/>
        <v>30607</v>
      </c>
      <c r="K8" s="68">
        <f t="shared" si="0"/>
        <v>10104</v>
      </c>
      <c r="L8" s="68">
        <f t="shared" si="0"/>
        <v>10144</v>
      </c>
      <c r="M8" s="68">
        <f t="shared" si="0"/>
        <v>10193</v>
      </c>
      <c r="N8" s="68">
        <f t="shared" si="0"/>
        <v>30441</v>
      </c>
      <c r="O8" s="68">
        <f t="shared" si="0"/>
        <v>10128</v>
      </c>
      <c r="P8" s="68">
        <f t="shared" si="0"/>
        <v>10188</v>
      </c>
      <c r="Q8" s="68">
        <f t="shared" si="0"/>
        <v>10135</v>
      </c>
      <c r="R8" s="68">
        <f t="shared" si="0"/>
        <v>30451</v>
      </c>
      <c r="S8" s="68">
        <f>+SUBTOTAL(9,S4:S7)</f>
        <v>122068</v>
      </c>
      <c r="T8" s="68">
        <f t="shared" si="0"/>
        <v>10129</v>
      </c>
      <c r="U8" s="68">
        <f t="shared" si="0"/>
        <v>10201</v>
      </c>
      <c r="V8" s="68">
        <f t="shared" si="0"/>
        <v>10207</v>
      </c>
      <c r="W8" s="68">
        <f t="shared" si="0"/>
        <v>30537</v>
      </c>
      <c r="X8" s="68">
        <f t="shared" si="0"/>
        <v>10177</v>
      </c>
      <c r="Y8" s="68">
        <f t="shared" si="0"/>
        <v>10094</v>
      </c>
      <c r="Z8" s="68">
        <f t="shared" si="0"/>
        <v>10137</v>
      </c>
      <c r="AA8" s="68">
        <f t="shared" si="0"/>
        <v>30408</v>
      </c>
      <c r="AB8" s="68">
        <f t="shared" si="0"/>
        <v>0</v>
      </c>
      <c r="AC8" s="68">
        <f t="shared" si="0"/>
        <v>0</v>
      </c>
      <c r="AD8" s="68">
        <f t="shared" si="0"/>
        <v>0</v>
      </c>
      <c r="AE8" s="68">
        <f t="shared" si="0"/>
        <v>0</v>
      </c>
      <c r="AF8" s="68">
        <f t="shared" si="0"/>
        <v>0</v>
      </c>
      <c r="AG8" s="68">
        <f t="shared" si="0"/>
        <v>0</v>
      </c>
      <c r="AH8" s="68">
        <f t="shared" si="0"/>
        <v>0</v>
      </c>
      <c r="AI8" s="68">
        <f t="shared" si="0"/>
        <v>0</v>
      </c>
      <c r="AJ8" s="68">
        <f t="shared" si="0"/>
        <v>60945</v>
      </c>
    </row>
    <row r="9" spans="1:36" x14ac:dyDescent="0.25">
      <c r="B9" s="67" t="s">
        <v>342</v>
      </c>
      <c r="C9" s="68">
        <f>+ROUND(C8*0.3,0)</f>
        <v>3069</v>
      </c>
      <c r="D9" s="68">
        <f t="shared" ref="D9:AJ9" si="1">+ROUND(D8*0.3,0)</f>
        <v>3035</v>
      </c>
      <c r="E9" s="68">
        <f t="shared" si="1"/>
        <v>3067</v>
      </c>
      <c r="F9" s="68">
        <f t="shared" si="1"/>
        <v>9171</v>
      </c>
      <c r="G9" s="68">
        <f t="shared" si="1"/>
        <v>3065</v>
      </c>
      <c r="H9" s="68">
        <f t="shared" si="1"/>
        <v>3035</v>
      </c>
      <c r="I9" s="68">
        <f t="shared" si="1"/>
        <v>3083</v>
      </c>
      <c r="J9" s="68">
        <f t="shared" si="1"/>
        <v>9182</v>
      </c>
      <c r="K9" s="68">
        <f t="shared" si="1"/>
        <v>3031</v>
      </c>
      <c r="L9" s="68">
        <f t="shared" si="1"/>
        <v>3043</v>
      </c>
      <c r="M9" s="68">
        <f t="shared" si="1"/>
        <v>3058</v>
      </c>
      <c r="N9" s="68">
        <f t="shared" si="1"/>
        <v>9132</v>
      </c>
      <c r="O9" s="68">
        <f t="shared" si="1"/>
        <v>3038</v>
      </c>
      <c r="P9" s="68">
        <f t="shared" si="1"/>
        <v>3056</v>
      </c>
      <c r="Q9" s="68">
        <f t="shared" si="1"/>
        <v>3041</v>
      </c>
      <c r="R9" s="68">
        <f t="shared" si="1"/>
        <v>9135</v>
      </c>
      <c r="S9" s="68">
        <f t="shared" si="1"/>
        <v>36620</v>
      </c>
      <c r="T9" s="68">
        <f t="shared" si="1"/>
        <v>3039</v>
      </c>
      <c r="U9" s="68">
        <f t="shared" si="1"/>
        <v>3060</v>
      </c>
      <c r="V9" s="68">
        <f t="shared" si="1"/>
        <v>3062</v>
      </c>
      <c r="W9" s="68">
        <f t="shared" si="1"/>
        <v>9161</v>
      </c>
      <c r="X9" s="68">
        <f t="shared" si="1"/>
        <v>3053</v>
      </c>
      <c r="Y9" s="68">
        <f t="shared" si="1"/>
        <v>3028</v>
      </c>
      <c r="Z9" s="68">
        <f t="shared" si="1"/>
        <v>3041</v>
      </c>
      <c r="AA9" s="68">
        <f t="shared" si="1"/>
        <v>9122</v>
      </c>
      <c r="AB9" s="68">
        <f t="shared" si="1"/>
        <v>0</v>
      </c>
      <c r="AC9" s="68">
        <f t="shared" si="1"/>
        <v>0</v>
      </c>
      <c r="AD9" s="68">
        <f t="shared" si="1"/>
        <v>0</v>
      </c>
      <c r="AE9" s="68">
        <f t="shared" si="1"/>
        <v>0</v>
      </c>
      <c r="AF9" s="68">
        <f t="shared" si="1"/>
        <v>0</v>
      </c>
      <c r="AG9" s="68">
        <f t="shared" si="1"/>
        <v>0</v>
      </c>
      <c r="AH9" s="68">
        <f t="shared" si="1"/>
        <v>0</v>
      </c>
      <c r="AI9" s="68">
        <f t="shared" si="1"/>
        <v>0</v>
      </c>
      <c r="AJ9" s="68">
        <f t="shared" si="1"/>
        <v>18284</v>
      </c>
    </row>
    <row r="10" spans="1:36" x14ac:dyDescent="0.25">
      <c r="B10" s="67" t="s">
        <v>343</v>
      </c>
      <c r="C10" s="68">
        <f>+SUBTOTAL(9,C4:C9)</f>
        <v>13299</v>
      </c>
      <c r="D10" s="68">
        <f t="shared" ref="D10:AJ10" si="2">+SUBTOTAL(9,D4:D9)</f>
        <v>13152</v>
      </c>
      <c r="E10" s="68">
        <f t="shared" si="2"/>
        <v>13289</v>
      </c>
      <c r="F10" s="68">
        <f>+SUBTOTAL(9,F4:F9)</f>
        <v>39740</v>
      </c>
      <c r="G10" s="68">
        <f t="shared" si="2"/>
        <v>13281</v>
      </c>
      <c r="H10" s="68">
        <f t="shared" si="2"/>
        <v>13151</v>
      </c>
      <c r="I10" s="68">
        <f t="shared" si="2"/>
        <v>13358</v>
      </c>
      <c r="J10" s="68">
        <f t="shared" si="2"/>
        <v>39789</v>
      </c>
      <c r="K10" s="68">
        <f t="shared" si="2"/>
        <v>13135</v>
      </c>
      <c r="L10" s="68">
        <f t="shared" si="2"/>
        <v>13187</v>
      </c>
      <c r="M10" s="68">
        <f t="shared" si="2"/>
        <v>13251</v>
      </c>
      <c r="N10" s="68">
        <f t="shared" si="2"/>
        <v>39573</v>
      </c>
      <c r="O10" s="68">
        <f t="shared" si="2"/>
        <v>13166</v>
      </c>
      <c r="P10" s="68">
        <f t="shared" si="2"/>
        <v>13244</v>
      </c>
      <c r="Q10" s="68">
        <f t="shared" si="2"/>
        <v>13176</v>
      </c>
      <c r="R10" s="68">
        <f t="shared" si="2"/>
        <v>39586</v>
      </c>
      <c r="S10" s="68">
        <f>+SUBTOTAL(9,S4:S9)</f>
        <v>158688</v>
      </c>
      <c r="T10" s="68">
        <f t="shared" si="2"/>
        <v>13168</v>
      </c>
      <c r="U10" s="68">
        <f t="shared" si="2"/>
        <v>13261</v>
      </c>
      <c r="V10" s="68">
        <f t="shared" si="2"/>
        <v>13269</v>
      </c>
      <c r="W10" s="68">
        <f t="shared" si="2"/>
        <v>39698</v>
      </c>
      <c r="X10" s="68">
        <f t="shared" si="2"/>
        <v>13230</v>
      </c>
      <c r="Y10" s="68">
        <f t="shared" si="2"/>
        <v>13122</v>
      </c>
      <c r="Z10" s="68">
        <f t="shared" si="2"/>
        <v>13178</v>
      </c>
      <c r="AA10" s="68">
        <f t="shared" si="2"/>
        <v>39530</v>
      </c>
      <c r="AB10" s="68">
        <f t="shared" si="2"/>
        <v>0</v>
      </c>
      <c r="AC10" s="68">
        <f t="shared" si="2"/>
        <v>0</v>
      </c>
      <c r="AD10" s="68">
        <f t="shared" si="2"/>
        <v>0</v>
      </c>
      <c r="AE10" s="68">
        <f t="shared" si="2"/>
        <v>0</v>
      </c>
      <c r="AF10" s="68">
        <f t="shared" si="2"/>
        <v>0</v>
      </c>
      <c r="AG10" s="68">
        <f t="shared" si="2"/>
        <v>0</v>
      </c>
      <c r="AH10" s="68">
        <f t="shared" si="2"/>
        <v>0</v>
      </c>
      <c r="AI10" s="68">
        <f t="shared" si="2"/>
        <v>0</v>
      </c>
      <c r="AJ10" s="68">
        <f t="shared" si="2"/>
        <v>79229</v>
      </c>
    </row>
    <row r="11" spans="1:36" x14ac:dyDescent="0.25">
      <c r="B11" t="s">
        <v>344</v>
      </c>
      <c r="C11">
        <v>3325</v>
      </c>
      <c r="D11">
        <v>3288</v>
      </c>
      <c r="E11">
        <v>3322</v>
      </c>
      <c r="F11" s="66">
        <f>+SUM(C11:E11)</f>
        <v>9935</v>
      </c>
      <c r="G11">
        <v>3320</v>
      </c>
      <c r="H11">
        <v>3288</v>
      </c>
      <c r="I11">
        <v>3340</v>
      </c>
      <c r="J11" s="66">
        <f>+SUM(G11:I11)</f>
        <v>9948</v>
      </c>
      <c r="K11">
        <v>3284</v>
      </c>
      <c r="L11">
        <v>3297</v>
      </c>
      <c r="M11">
        <v>3313</v>
      </c>
      <c r="N11" s="66">
        <f>+SUM(K11:M11)</f>
        <v>9894</v>
      </c>
      <c r="O11">
        <v>3292</v>
      </c>
      <c r="P11">
        <v>3311</v>
      </c>
      <c r="Q11">
        <v>3294</v>
      </c>
      <c r="R11" s="66">
        <f>+SUM(O11:Q11)</f>
        <v>9897</v>
      </c>
      <c r="S11" s="66">
        <f>+F11+J11+N11+R11</f>
        <v>39674</v>
      </c>
      <c r="T11">
        <v>3292</v>
      </c>
      <c r="U11">
        <v>3315</v>
      </c>
      <c r="V11">
        <v>3317</v>
      </c>
      <c r="W11" s="66">
        <f>+SUM(T11:V11)</f>
        <v>9924</v>
      </c>
      <c r="X11">
        <v>3308</v>
      </c>
      <c r="Y11">
        <v>3281</v>
      </c>
      <c r="Z11">
        <v>3295</v>
      </c>
      <c r="AA11" s="66">
        <f>+SUM(X11:Z11)</f>
        <v>9884</v>
      </c>
      <c r="AE11" s="66">
        <f>+SUM(AB11:AD11)</f>
        <v>0</v>
      </c>
      <c r="AI11" s="66">
        <f>+SUM(AF11:AH11)</f>
        <v>0</v>
      </c>
      <c r="AJ11" s="66">
        <f>+W11+AA11+AE11+AI11</f>
        <v>19808</v>
      </c>
    </row>
    <row r="12" spans="1:36" x14ac:dyDescent="0.25">
      <c r="B12" t="s">
        <v>345</v>
      </c>
      <c r="C12">
        <v>665</v>
      </c>
      <c r="D12">
        <v>658</v>
      </c>
      <c r="E12">
        <v>664</v>
      </c>
      <c r="F12" s="66">
        <f>+SUM(C12:E12)</f>
        <v>1987</v>
      </c>
      <c r="G12">
        <v>664</v>
      </c>
      <c r="H12">
        <v>658</v>
      </c>
      <c r="I12">
        <v>668</v>
      </c>
      <c r="J12" s="66">
        <f>+SUM(G12:I12)</f>
        <v>1990</v>
      </c>
      <c r="K12">
        <v>657</v>
      </c>
      <c r="L12">
        <v>659</v>
      </c>
      <c r="M12">
        <v>663</v>
      </c>
      <c r="N12" s="66">
        <f>+SUM(K12:M12)</f>
        <v>1979</v>
      </c>
      <c r="O12">
        <v>658</v>
      </c>
      <c r="P12">
        <v>662</v>
      </c>
      <c r="Q12">
        <v>659</v>
      </c>
      <c r="R12" s="66">
        <f>+SUM(O12:Q12)</f>
        <v>1979</v>
      </c>
      <c r="S12" s="66">
        <f>+F12+J12+N12+R12</f>
        <v>7935</v>
      </c>
      <c r="T12">
        <v>658</v>
      </c>
      <c r="U12">
        <v>663</v>
      </c>
      <c r="V12">
        <v>663</v>
      </c>
      <c r="W12" s="66">
        <f>+SUM(T12:V12)</f>
        <v>1984</v>
      </c>
      <c r="X12">
        <v>662</v>
      </c>
      <c r="Y12">
        <v>656</v>
      </c>
      <c r="Z12">
        <v>659</v>
      </c>
      <c r="AA12" s="66">
        <f>+SUM(X12:Z12)</f>
        <v>1977</v>
      </c>
      <c r="AE12" s="66">
        <f>+SUM(AB12:AD12)</f>
        <v>0</v>
      </c>
      <c r="AI12" s="66">
        <f>+SUM(AF12:AH12)</f>
        <v>0</v>
      </c>
      <c r="AJ12" s="66">
        <f>+W12+AA12+AE12+AI12</f>
        <v>3961</v>
      </c>
    </row>
    <row r="13" spans="1:36" x14ac:dyDescent="0.25">
      <c r="B13" t="s">
        <v>346</v>
      </c>
      <c r="C13">
        <v>333</v>
      </c>
      <c r="D13">
        <v>329</v>
      </c>
      <c r="E13">
        <v>332</v>
      </c>
      <c r="F13" s="66">
        <f>+SUM(C13:E13)</f>
        <v>994</v>
      </c>
      <c r="G13">
        <v>332</v>
      </c>
      <c r="H13">
        <v>329</v>
      </c>
      <c r="I13">
        <v>334</v>
      </c>
      <c r="J13" s="66">
        <f>+SUM(G13:I13)</f>
        <v>995</v>
      </c>
      <c r="K13">
        <v>329</v>
      </c>
      <c r="L13">
        <v>330</v>
      </c>
      <c r="M13">
        <v>332</v>
      </c>
      <c r="N13" s="66">
        <f>+SUM(K13:M13)</f>
        <v>991</v>
      </c>
      <c r="O13">
        <v>329</v>
      </c>
      <c r="P13">
        <v>331</v>
      </c>
      <c r="Q13">
        <v>330</v>
      </c>
      <c r="R13" s="66">
        <f>+SUM(O13:Q13)</f>
        <v>990</v>
      </c>
      <c r="S13" s="66">
        <f>+F13+J13+N13+R13</f>
        <v>3970</v>
      </c>
      <c r="T13">
        <v>329</v>
      </c>
      <c r="U13">
        <v>332</v>
      </c>
      <c r="V13">
        <v>332</v>
      </c>
      <c r="W13" s="66">
        <f>+SUM(T13:V13)</f>
        <v>993</v>
      </c>
      <c r="X13">
        <v>331</v>
      </c>
      <c r="Y13">
        <v>328</v>
      </c>
      <c r="Z13">
        <v>330</v>
      </c>
      <c r="AA13" s="66">
        <f>+SUM(X13:Z13)</f>
        <v>989</v>
      </c>
      <c r="AE13" s="66">
        <f>+SUM(AB13:AD13)</f>
        <v>0</v>
      </c>
      <c r="AI13" s="66">
        <f>+SUM(AF13:AH13)</f>
        <v>0</v>
      </c>
      <c r="AJ13" s="66">
        <f>+W13+AA13+AE13+AI13</f>
        <v>1982</v>
      </c>
    </row>
    <row r="14" spans="1:36" x14ac:dyDescent="0.25">
      <c r="B14" t="s">
        <v>702</v>
      </c>
      <c r="C14">
        <v>30</v>
      </c>
      <c r="D14">
        <v>33</v>
      </c>
      <c r="E14">
        <v>35</v>
      </c>
      <c r="F14" s="66">
        <f>+SUM(C14:E14)</f>
        <v>98</v>
      </c>
      <c r="G14">
        <v>33</v>
      </c>
      <c r="H14">
        <v>31</v>
      </c>
      <c r="I14">
        <v>33</v>
      </c>
      <c r="J14" s="66">
        <f>+SUM(G14:I14)</f>
        <v>97</v>
      </c>
      <c r="K14">
        <v>29</v>
      </c>
      <c r="L14">
        <v>33</v>
      </c>
      <c r="M14">
        <v>36</v>
      </c>
      <c r="N14" s="66">
        <f>+SUM(K14:M14)</f>
        <v>98</v>
      </c>
      <c r="O14">
        <v>33</v>
      </c>
      <c r="P14">
        <v>37</v>
      </c>
      <c r="Q14">
        <v>30</v>
      </c>
      <c r="R14" s="66">
        <f>+SUM(O14:Q14)</f>
        <v>100</v>
      </c>
      <c r="S14" s="66">
        <f>+F14+J14+N14+R14</f>
        <v>393</v>
      </c>
      <c r="T14">
        <v>35</v>
      </c>
      <c r="U14">
        <v>30</v>
      </c>
      <c r="V14">
        <v>33</v>
      </c>
      <c r="W14" s="66">
        <f>+SUM(T14:V14)</f>
        <v>98</v>
      </c>
      <c r="X14">
        <v>32</v>
      </c>
      <c r="Y14">
        <v>35</v>
      </c>
      <c r="Z14">
        <v>33</v>
      </c>
      <c r="AA14" s="66">
        <f>+SUM(X14:Z14)</f>
        <v>100</v>
      </c>
      <c r="AE14" s="66">
        <f>+SUM(AB14:AD14)</f>
        <v>0</v>
      </c>
      <c r="AI14" s="66">
        <f>+SUM(AF14:AH14)</f>
        <v>0</v>
      </c>
      <c r="AJ14" s="66">
        <f>+W14+AA14+AE14+AI14</f>
        <v>198</v>
      </c>
    </row>
    <row r="15" spans="1:36" x14ac:dyDescent="0.25">
      <c r="B15" t="s">
        <v>347</v>
      </c>
      <c r="C15">
        <v>1330</v>
      </c>
      <c r="D15">
        <v>1316</v>
      </c>
      <c r="E15">
        <v>1328</v>
      </c>
      <c r="F15" s="66">
        <f>+SUM(C15:E15)</f>
        <v>3974</v>
      </c>
      <c r="G15">
        <v>1328</v>
      </c>
      <c r="H15">
        <v>1316</v>
      </c>
      <c r="I15">
        <v>1336</v>
      </c>
      <c r="J15" s="66">
        <f>+SUM(G15:I15)</f>
        <v>3980</v>
      </c>
      <c r="K15">
        <v>1314</v>
      </c>
      <c r="L15">
        <v>1318</v>
      </c>
      <c r="M15">
        <v>1326</v>
      </c>
      <c r="N15" s="66">
        <f>+SUM(K15:M15)</f>
        <v>3958</v>
      </c>
      <c r="O15">
        <v>1316</v>
      </c>
      <c r="P15">
        <v>1324</v>
      </c>
      <c r="Q15">
        <v>1318</v>
      </c>
      <c r="R15" s="66">
        <f>+SUM(O15:Q15)</f>
        <v>3958</v>
      </c>
      <c r="S15" s="66">
        <f>+F15+J15+N15+R15</f>
        <v>15870</v>
      </c>
      <c r="T15">
        <v>1316</v>
      </c>
      <c r="U15">
        <v>1326</v>
      </c>
      <c r="V15">
        <v>1326</v>
      </c>
      <c r="W15" s="66">
        <f>+SUM(T15:V15)</f>
        <v>3968</v>
      </c>
      <c r="X15">
        <v>1324</v>
      </c>
      <c r="Y15">
        <v>1312</v>
      </c>
      <c r="Z15">
        <v>1318</v>
      </c>
      <c r="AA15" s="66">
        <f>+SUM(X15:Z15)</f>
        <v>3954</v>
      </c>
      <c r="AE15" s="66">
        <f>+SUM(AB15:AD15)</f>
        <v>0</v>
      </c>
      <c r="AI15" s="66">
        <f>+SUM(AF15:AH15)</f>
        <v>0</v>
      </c>
      <c r="AJ15" s="66">
        <f>+W15+AA15+AE15+AI15</f>
        <v>7922</v>
      </c>
    </row>
    <row r="16" spans="1:36" x14ac:dyDescent="0.25">
      <c r="B16" s="69" t="s">
        <v>348</v>
      </c>
      <c r="C16" s="70">
        <f>+SUBTOTAL(9,C11:C15)</f>
        <v>5683</v>
      </c>
      <c r="D16" s="70">
        <f t="shared" ref="D16:AJ16" si="3">+SUBTOTAL(9,D11:D15)</f>
        <v>5624</v>
      </c>
      <c r="E16" s="70">
        <f t="shared" si="3"/>
        <v>5681</v>
      </c>
      <c r="F16" s="70">
        <f>+SUBTOTAL(9,F11:F15)</f>
        <v>16988</v>
      </c>
      <c r="G16" s="70">
        <f t="shared" si="3"/>
        <v>5677</v>
      </c>
      <c r="H16" s="70">
        <f t="shared" si="3"/>
        <v>5622</v>
      </c>
      <c r="I16" s="70">
        <f t="shared" si="3"/>
        <v>5711</v>
      </c>
      <c r="J16" s="70">
        <f>+SUBTOTAL(9,J11:J15)</f>
        <v>17010</v>
      </c>
      <c r="K16" s="70">
        <f t="shared" si="3"/>
        <v>5613</v>
      </c>
      <c r="L16" s="70">
        <f t="shared" si="3"/>
        <v>5637</v>
      </c>
      <c r="M16" s="70">
        <f t="shared" si="3"/>
        <v>5670</v>
      </c>
      <c r="N16" s="70">
        <f>+SUBTOTAL(9,N11:N15)</f>
        <v>16920</v>
      </c>
      <c r="O16" s="70">
        <f t="shared" si="3"/>
        <v>5628</v>
      </c>
      <c r="P16" s="70">
        <f t="shared" si="3"/>
        <v>5665</v>
      </c>
      <c r="Q16" s="70">
        <f t="shared" si="3"/>
        <v>5631</v>
      </c>
      <c r="R16" s="70">
        <f>+SUBTOTAL(9,R11:R15)</f>
        <v>16924</v>
      </c>
      <c r="S16" s="70">
        <f t="shared" si="3"/>
        <v>67842</v>
      </c>
      <c r="T16" s="70">
        <f t="shared" si="3"/>
        <v>5630</v>
      </c>
      <c r="U16" s="70">
        <f t="shared" si="3"/>
        <v>5666</v>
      </c>
      <c r="V16" s="70">
        <f t="shared" si="3"/>
        <v>5671</v>
      </c>
      <c r="W16" s="70">
        <f>+SUBTOTAL(9,W11:W15)</f>
        <v>16967</v>
      </c>
      <c r="X16" s="70">
        <f t="shared" si="3"/>
        <v>5657</v>
      </c>
      <c r="Y16" s="70">
        <f t="shared" si="3"/>
        <v>5612</v>
      </c>
      <c r="Z16" s="70">
        <f t="shared" si="3"/>
        <v>5635</v>
      </c>
      <c r="AA16" s="70">
        <f>+SUBTOTAL(9,AA11:AA15)</f>
        <v>16904</v>
      </c>
      <c r="AB16" s="70">
        <f t="shared" si="3"/>
        <v>0</v>
      </c>
      <c r="AC16" s="70">
        <f t="shared" si="3"/>
        <v>0</v>
      </c>
      <c r="AD16" s="70">
        <f t="shared" si="3"/>
        <v>0</v>
      </c>
      <c r="AE16" s="70">
        <f>+SUBTOTAL(9,AE11:AE15)</f>
        <v>0</v>
      </c>
      <c r="AF16" s="70">
        <f t="shared" si="3"/>
        <v>0</v>
      </c>
      <c r="AG16" s="70">
        <f t="shared" si="3"/>
        <v>0</v>
      </c>
      <c r="AH16" s="70">
        <f t="shared" si="3"/>
        <v>0</v>
      </c>
      <c r="AI16" s="70">
        <f>+SUBTOTAL(9,AI11:AI15)</f>
        <v>0</v>
      </c>
      <c r="AJ16" s="70">
        <f t="shared" si="3"/>
        <v>33871</v>
      </c>
    </row>
    <row r="17" spans="2:36" x14ac:dyDescent="0.25">
      <c r="B17" s="71" t="s">
        <v>349</v>
      </c>
      <c r="C17" s="71">
        <f>+C10-C16</f>
        <v>7616</v>
      </c>
      <c r="D17" s="71">
        <f t="shared" ref="D17:AJ17" si="4">+D10-D16</f>
        <v>7528</v>
      </c>
      <c r="E17" s="71">
        <f t="shared" si="4"/>
        <v>7608</v>
      </c>
      <c r="F17" s="71">
        <f>+F10-F16</f>
        <v>22752</v>
      </c>
      <c r="G17" s="71">
        <f t="shared" si="4"/>
        <v>7604</v>
      </c>
      <c r="H17" s="71">
        <f t="shared" si="4"/>
        <v>7529</v>
      </c>
      <c r="I17" s="71">
        <f t="shared" si="4"/>
        <v>7647</v>
      </c>
      <c r="J17" s="71">
        <f>+J10-J16</f>
        <v>22779</v>
      </c>
      <c r="K17" s="71">
        <f t="shared" si="4"/>
        <v>7522</v>
      </c>
      <c r="L17" s="71">
        <f t="shared" si="4"/>
        <v>7550</v>
      </c>
      <c r="M17" s="71">
        <f t="shared" si="4"/>
        <v>7581</v>
      </c>
      <c r="N17" s="71">
        <f>+N10-N16</f>
        <v>22653</v>
      </c>
      <c r="O17" s="71">
        <f t="shared" si="4"/>
        <v>7538</v>
      </c>
      <c r="P17" s="71">
        <f t="shared" si="4"/>
        <v>7579</v>
      </c>
      <c r="Q17" s="71">
        <f t="shared" si="4"/>
        <v>7545</v>
      </c>
      <c r="R17" s="71">
        <f>+R10-R16</f>
        <v>22662</v>
      </c>
      <c r="S17" s="71">
        <f t="shared" si="4"/>
        <v>90846</v>
      </c>
      <c r="T17" s="71">
        <f t="shared" si="4"/>
        <v>7538</v>
      </c>
      <c r="U17" s="71">
        <f t="shared" si="4"/>
        <v>7595</v>
      </c>
      <c r="V17" s="71">
        <f t="shared" si="4"/>
        <v>7598</v>
      </c>
      <c r="W17" s="71">
        <f>+W10-W16</f>
        <v>22731</v>
      </c>
      <c r="X17" s="71">
        <f t="shared" si="4"/>
        <v>7573</v>
      </c>
      <c r="Y17" s="71">
        <f t="shared" si="4"/>
        <v>7510</v>
      </c>
      <c r="Z17" s="71">
        <f t="shared" si="4"/>
        <v>7543</v>
      </c>
      <c r="AA17" s="71">
        <f>+AA10-AA16</f>
        <v>22626</v>
      </c>
      <c r="AB17" s="71">
        <f t="shared" si="4"/>
        <v>0</v>
      </c>
      <c r="AC17" s="71">
        <f t="shared" si="4"/>
        <v>0</v>
      </c>
      <c r="AD17" s="71">
        <f t="shared" si="4"/>
        <v>0</v>
      </c>
      <c r="AE17" s="71">
        <f>+AE10-AE16</f>
        <v>0</v>
      </c>
      <c r="AF17" s="71">
        <f t="shared" si="4"/>
        <v>0</v>
      </c>
      <c r="AG17" s="71">
        <f t="shared" si="4"/>
        <v>0</v>
      </c>
      <c r="AH17" s="71">
        <f t="shared" si="4"/>
        <v>0</v>
      </c>
      <c r="AI17" s="71">
        <f>+AI10-AI16</f>
        <v>0</v>
      </c>
      <c r="AJ17" s="71">
        <f t="shared" si="4"/>
        <v>45358</v>
      </c>
    </row>
  </sheetData>
  <pageMargins left="0.7" right="0.7" top="0.75" bottom="0.75" header="0.3" footer="0.3"/>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15"/>
  <sheetViews>
    <sheetView workbookViewId="0">
      <selection activeCell="D25" sqref="D25"/>
    </sheetView>
  </sheetViews>
  <sheetFormatPr defaultRowHeight="15" x14ac:dyDescent="0.25"/>
  <cols>
    <col min="1" max="1" width="6.42578125" customWidth="1"/>
    <col min="2" max="2" width="26.5703125" customWidth="1"/>
    <col min="4" max="4" width="20.140625" customWidth="1"/>
    <col min="8" max="8" width="16" customWidth="1"/>
  </cols>
  <sheetData>
    <row r="1" spans="1:14" ht="23.25" x14ac:dyDescent="0.35">
      <c r="A1" s="257" t="s">
        <v>867</v>
      </c>
      <c r="B1" s="1" t="s">
        <v>350</v>
      </c>
      <c r="C1" s="1"/>
      <c r="D1" s="1"/>
      <c r="E1" s="1"/>
      <c r="F1" s="1"/>
      <c r="G1" s="1"/>
      <c r="H1" s="1"/>
      <c r="I1" s="1"/>
      <c r="J1" s="1"/>
      <c r="K1" s="1"/>
      <c r="L1" s="1"/>
      <c r="M1" s="1"/>
      <c r="N1" s="1"/>
    </row>
    <row r="3" spans="1:14" x14ac:dyDescent="0.25">
      <c r="B3" s="6" t="s">
        <v>27</v>
      </c>
      <c r="C3" s="41" t="s">
        <v>703</v>
      </c>
    </row>
    <row r="5" spans="1:14" x14ac:dyDescent="0.25">
      <c r="C5" s="72"/>
    </row>
    <row r="7" spans="1:14" x14ac:dyDescent="0.25">
      <c r="B7" s="6" t="s">
        <v>26</v>
      </c>
      <c r="C7" s="41" t="s">
        <v>704</v>
      </c>
    </row>
    <row r="9" spans="1:14" x14ac:dyDescent="0.25">
      <c r="C9" s="72"/>
      <c r="E9" t="s">
        <v>1180</v>
      </c>
    </row>
    <row r="11" spans="1:14" x14ac:dyDescent="0.25">
      <c r="B11" s="6" t="s">
        <v>25</v>
      </c>
      <c r="C11" s="41" t="s">
        <v>705</v>
      </c>
    </row>
    <row r="13" spans="1:14" x14ac:dyDescent="0.25">
      <c r="C13" s="73">
        <v>20</v>
      </c>
      <c r="D13" s="73">
        <v>25</v>
      </c>
      <c r="E13" s="73">
        <v>31</v>
      </c>
      <c r="F13" s="73">
        <v>46</v>
      </c>
      <c r="H13" s="212" t="s">
        <v>1181</v>
      </c>
    </row>
    <row r="14" spans="1:14" x14ac:dyDescent="0.25">
      <c r="C14" s="73">
        <f>+C13+14</f>
        <v>34</v>
      </c>
      <c r="D14" s="73">
        <f>+D13+14</f>
        <v>39</v>
      </c>
      <c r="E14" s="73">
        <f>+E13+14</f>
        <v>45</v>
      </c>
      <c r="F14" s="73">
        <f>+F13+14</f>
        <v>60</v>
      </c>
    </row>
    <row r="15" spans="1:14" x14ac:dyDescent="0.25">
      <c r="C15" s="73">
        <f>+C14-7</f>
        <v>27</v>
      </c>
      <c r="D15" s="73">
        <f>+D14-7</f>
        <v>32</v>
      </c>
      <c r="E15" s="73">
        <f>+E14-7</f>
        <v>38</v>
      </c>
      <c r="F15" s="73">
        <f>+F14-7</f>
        <v>53</v>
      </c>
    </row>
    <row r="16" spans="1:14" x14ac:dyDescent="0.25">
      <c r="C16" s="73">
        <f>+C14/2+C15</f>
        <v>44</v>
      </c>
      <c r="D16" s="73">
        <f>+D14/2+D15</f>
        <v>51.5</v>
      </c>
      <c r="E16" s="73">
        <f>+E14/2+E15</f>
        <v>60.5</v>
      </c>
      <c r="F16" s="73">
        <f>+F14/2+F15</f>
        <v>83</v>
      </c>
    </row>
    <row r="18" spans="2:4" x14ac:dyDescent="0.25">
      <c r="B18" s="6" t="s">
        <v>24</v>
      </c>
      <c r="C18" s="41" t="s">
        <v>706</v>
      </c>
    </row>
    <row r="20" spans="2:4" x14ac:dyDescent="0.25">
      <c r="B20" s="55" t="s">
        <v>146</v>
      </c>
      <c r="D20" s="212" t="s">
        <v>151</v>
      </c>
    </row>
    <row r="21" spans="2:4" x14ac:dyDescent="0.25">
      <c r="B21" s="55" t="s">
        <v>149</v>
      </c>
    </row>
    <row r="22" spans="2:4" x14ac:dyDescent="0.25">
      <c r="B22" s="55" t="s">
        <v>151</v>
      </c>
    </row>
    <row r="23" spans="2:4" x14ac:dyDescent="0.25">
      <c r="B23" s="55" t="s">
        <v>146</v>
      </c>
    </row>
    <row r="24" spans="2:4" x14ac:dyDescent="0.25">
      <c r="B24" s="55" t="s">
        <v>149</v>
      </c>
    </row>
    <row r="25" spans="2:4" x14ac:dyDescent="0.25">
      <c r="B25" s="55" t="s">
        <v>149</v>
      </c>
    </row>
    <row r="26" spans="2:4" x14ac:dyDescent="0.25">
      <c r="B26" s="55" t="s">
        <v>149</v>
      </c>
    </row>
    <row r="27" spans="2:4" x14ac:dyDescent="0.25">
      <c r="B27" s="55" t="s">
        <v>149</v>
      </c>
    </row>
    <row r="28" spans="2:4" x14ac:dyDescent="0.25">
      <c r="B28" s="55" t="s">
        <v>152</v>
      </c>
    </row>
    <row r="29" spans="2:4" x14ac:dyDescent="0.25">
      <c r="B29" s="55" t="s">
        <v>153</v>
      </c>
    </row>
    <row r="30" spans="2:4" x14ac:dyDescent="0.25">
      <c r="B30" s="55" t="s">
        <v>146</v>
      </c>
    </row>
    <row r="31" spans="2:4" x14ac:dyDescent="0.25">
      <c r="B31" s="55" t="s">
        <v>151</v>
      </c>
    </row>
    <row r="32" spans="2:4" x14ac:dyDescent="0.25">
      <c r="B32" s="55" t="s">
        <v>146</v>
      </c>
    </row>
    <row r="33" spans="2:2" x14ac:dyDescent="0.25">
      <c r="B33" s="55" t="s">
        <v>146</v>
      </c>
    </row>
    <row r="34" spans="2:2" x14ac:dyDescent="0.25">
      <c r="B34" s="55" t="s">
        <v>151</v>
      </c>
    </row>
    <row r="35" spans="2:2" x14ac:dyDescent="0.25">
      <c r="B35" s="55" t="s">
        <v>153</v>
      </c>
    </row>
    <row r="36" spans="2:2" x14ac:dyDescent="0.25">
      <c r="B36" s="55" t="s">
        <v>146</v>
      </c>
    </row>
    <row r="37" spans="2:2" x14ac:dyDescent="0.25">
      <c r="B37" s="55" t="s">
        <v>146</v>
      </c>
    </row>
    <row r="38" spans="2:2" x14ac:dyDescent="0.25">
      <c r="B38" s="55" t="s">
        <v>146</v>
      </c>
    </row>
    <row r="39" spans="2:2" x14ac:dyDescent="0.25">
      <c r="B39" s="55" t="s">
        <v>146</v>
      </c>
    </row>
    <row r="40" spans="2:2" x14ac:dyDescent="0.25">
      <c r="B40" s="55" t="s">
        <v>149</v>
      </c>
    </row>
    <row r="41" spans="2:2" x14ac:dyDescent="0.25">
      <c r="B41" s="55" t="s">
        <v>153</v>
      </c>
    </row>
    <row r="42" spans="2:2" x14ac:dyDescent="0.25">
      <c r="B42" s="55" t="s">
        <v>146</v>
      </c>
    </row>
    <row r="43" spans="2:2" x14ac:dyDescent="0.25">
      <c r="B43" s="55" t="s">
        <v>149</v>
      </c>
    </row>
    <row r="44" spans="2:2" x14ac:dyDescent="0.25">
      <c r="B44" s="55" t="s">
        <v>146</v>
      </c>
    </row>
    <row r="45" spans="2:2" x14ac:dyDescent="0.25">
      <c r="B45" s="55" t="s">
        <v>149</v>
      </c>
    </row>
    <row r="46" spans="2:2" x14ac:dyDescent="0.25">
      <c r="B46" s="55" t="s">
        <v>146</v>
      </c>
    </row>
    <row r="47" spans="2:2" x14ac:dyDescent="0.25">
      <c r="B47" s="55" t="s">
        <v>146</v>
      </c>
    </row>
    <row r="48" spans="2:2" x14ac:dyDescent="0.25">
      <c r="B48" s="55" t="s">
        <v>153</v>
      </c>
    </row>
    <row r="49" spans="2:2" x14ac:dyDescent="0.25">
      <c r="B49" s="55" t="s">
        <v>154</v>
      </c>
    </row>
    <row r="50" spans="2:2" x14ac:dyDescent="0.25">
      <c r="B50" s="55" t="s">
        <v>152</v>
      </c>
    </row>
    <row r="51" spans="2:2" x14ac:dyDescent="0.25">
      <c r="B51" s="55" t="s">
        <v>151</v>
      </c>
    </row>
    <row r="52" spans="2:2" x14ac:dyDescent="0.25">
      <c r="B52" s="55" t="s">
        <v>146</v>
      </c>
    </row>
    <row r="53" spans="2:2" x14ac:dyDescent="0.25">
      <c r="B53" s="55" t="s">
        <v>151</v>
      </c>
    </row>
    <row r="54" spans="2:2" x14ac:dyDescent="0.25">
      <c r="B54" s="55" t="s">
        <v>146</v>
      </c>
    </row>
    <row r="55" spans="2:2" x14ac:dyDescent="0.25">
      <c r="B55" s="55" t="s">
        <v>146</v>
      </c>
    </row>
    <row r="56" spans="2:2" x14ac:dyDescent="0.25">
      <c r="B56" s="55" t="s">
        <v>151</v>
      </c>
    </row>
    <row r="57" spans="2:2" x14ac:dyDescent="0.25">
      <c r="B57" s="55" t="s">
        <v>153</v>
      </c>
    </row>
    <row r="58" spans="2:2" x14ac:dyDescent="0.25">
      <c r="B58" s="55" t="s">
        <v>149</v>
      </c>
    </row>
    <row r="59" spans="2:2" x14ac:dyDescent="0.25">
      <c r="B59" s="55" t="s">
        <v>149</v>
      </c>
    </row>
    <row r="60" spans="2:2" x14ac:dyDescent="0.25">
      <c r="B60" s="55" t="s">
        <v>153</v>
      </c>
    </row>
    <row r="61" spans="2:2" x14ac:dyDescent="0.25">
      <c r="B61" s="55" t="s">
        <v>146</v>
      </c>
    </row>
    <row r="62" spans="2:2" x14ac:dyDescent="0.25">
      <c r="B62" s="55" t="s">
        <v>146</v>
      </c>
    </row>
    <row r="63" spans="2:2" x14ac:dyDescent="0.25">
      <c r="B63" s="55" t="s">
        <v>149</v>
      </c>
    </row>
    <row r="64" spans="2:2" x14ac:dyDescent="0.25">
      <c r="B64" s="55" t="s">
        <v>149</v>
      </c>
    </row>
    <row r="65" spans="2:2" x14ac:dyDescent="0.25">
      <c r="B65" s="55" t="s">
        <v>149</v>
      </c>
    </row>
    <row r="66" spans="2:2" x14ac:dyDescent="0.25">
      <c r="B66" s="55" t="s">
        <v>153</v>
      </c>
    </row>
    <row r="67" spans="2:2" x14ac:dyDescent="0.25">
      <c r="B67" s="55" t="s">
        <v>152</v>
      </c>
    </row>
    <row r="68" spans="2:2" x14ac:dyDescent="0.25">
      <c r="B68" s="55" t="s">
        <v>146</v>
      </c>
    </row>
    <row r="69" spans="2:2" x14ac:dyDescent="0.25">
      <c r="B69" s="55" t="s">
        <v>149</v>
      </c>
    </row>
    <row r="70" spans="2:2" x14ac:dyDescent="0.25">
      <c r="B70" s="55" t="s">
        <v>153</v>
      </c>
    </row>
    <row r="71" spans="2:2" x14ac:dyDescent="0.25">
      <c r="B71" s="55" t="s">
        <v>146</v>
      </c>
    </row>
    <row r="72" spans="2:2" x14ac:dyDescent="0.25">
      <c r="B72" s="55" t="s">
        <v>146</v>
      </c>
    </row>
    <row r="73" spans="2:2" x14ac:dyDescent="0.25">
      <c r="B73" s="55" t="s">
        <v>153</v>
      </c>
    </row>
    <row r="74" spans="2:2" x14ac:dyDescent="0.25">
      <c r="B74" s="55" t="s">
        <v>154</v>
      </c>
    </row>
    <row r="75" spans="2:2" x14ac:dyDescent="0.25">
      <c r="B75" s="55" t="s">
        <v>149</v>
      </c>
    </row>
    <row r="76" spans="2:2" x14ac:dyDescent="0.25">
      <c r="B76" s="55" t="s">
        <v>151</v>
      </c>
    </row>
    <row r="77" spans="2:2" x14ac:dyDescent="0.25">
      <c r="B77" s="55" t="s">
        <v>146</v>
      </c>
    </row>
    <row r="78" spans="2:2" x14ac:dyDescent="0.25">
      <c r="B78" s="55" t="s">
        <v>153</v>
      </c>
    </row>
    <row r="79" spans="2:2" x14ac:dyDescent="0.25">
      <c r="B79" s="55" t="s">
        <v>153</v>
      </c>
    </row>
    <row r="80" spans="2:2" x14ac:dyDescent="0.25">
      <c r="B80" s="55" t="s">
        <v>151</v>
      </c>
    </row>
    <row r="81" spans="2:2" x14ac:dyDescent="0.25">
      <c r="B81" s="55" t="s">
        <v>149</v>
      </c>
    </row>
    <row r="82" spans="2:2" x14ac:dyDescent="0.25">
      <c r="B82" s="55" t="s">
        <v>146</v>
      </c>
    </row>
    <row r="83" spans="2:2" x14ac:dyDescent="0.25">
      <c r="B83" s="55" t="s">
        <v>146</v>
      </c>
    </row>
    <row r="84" spans="2:2" x14ac:dyDescent="0.25">
      <c r="B84" s="55" t="s">
        <v>154</v>
      </c>
    </row>
    <row r="85" spans="2:2" x14ac:dyDescent="0.25">
      <c r="B85" s="55" t="s">
        <v>146</v>
      </c>
    </row>
    <row r="86" spans="2:2" x14ac:dyDescent="0.25">
      <c r="B86" s="55" t="s">
        <v>146</v>
      </c>
    </row>
    <row r="87" spans="2:2" x14ac:dyDescent="0.25">
      <c r="B87" s="55" t="s">
        <v>152</v>
      </c>
    </row>
    <row r="88" spans="2:2" x14ac:dyDescent="0.25">
      <c r="B88" s="55" t="s">
        <v>146</v>
      </c>
    </row>
    <row r="89" spans="2:2" x14ac:dyDescent="0.25">
      <c r="B89" s="55" t="s">
        <v>146</v>
      </c>
    </row>
    <row r="90" spans="2:2" x14ac:dyDescent="0.25">
      <c r="B90" s="55" t="s">
        <v>152</v>
      </c>
    </row>
    <row r="91" spans="2:2" x14ac:dyDescent="0.25">
      <c r="B91" s="55" t="s">
        <v>146</v>
      </c>
    </row>
    <row r="92" spans="2:2" x14ac:dyDescent="0.25">
      <c r="B92" s="55" t="s">
        <v>149</v>
      </c>
    </row>
    <row r="93" spans="2:2" x14ac:dyDescent="0.25">
      <c r="B93" s="55" t="s">
        <v>149</v>
      </c>
    </row>
    <row r="94" spans="2:2" x14ac:dyDescent="0.25">
      <c r="B94" s="55" t="s">
        <v>146</v>
      </c>
    </row>
    <row r="95" spans="2:2" x14ac:dyDescent="0.25">
      <c r="B95" s="55" t="s">
        <v>151</v>
      </c>
    </row>
    <row r="96" spans="2:2" x14ac:dyDescent="0.25">
      <c r="B96" s="55" t="s">
        <v>149</v>
      </c>
    </row>
    <row r="97" spans="2:14" x14ac:dyDescent="0.25">
      <c r="B97" s="55" t="s">
        <v>149</v>
      </c>
    </row>
    <row r="98" spans="2:14" x14ac:dyDescent="0.25">
      <c r="B98" s="55" t="s">
        <v>146</v>
      </c>
    </row>
    <row r="99" spans="2:14" x14ac:dyDescent="0.25">
      <c r="B99" s="55" t="s">
        <v>151</v>
      </c>
    </row>
    <row r="100" spans="2:14" x14ac:dyDescent="0.25">
      <c r="B100" s="55" t="s">
        <v>151</v>
      </c>
    </row>
    <row r="101" spans="2:14" x14ac:dyDescent="0.25">
      <c r="B101" s="55" t="s">
        <v>153</v>
      </c>
    </row>
    <row r="102" spans="2:14" x14ac:dyDescent="0.25">
      <c r="B102" s="55" t="s">
        <v>151</v>
      </c>
    </row>
    <row r="106" spans="2:14" x14ac:dyDescent="0.25">
      <c r="C106" s="6" t="s">
        <v>22</v>
      </c>
      <c r="D106" s="41" t="s">
        <v>904</v>
      </c>
    </row>
    <row r="108" spans="2:14" ht="15.75" thickBot="1" x14ac:dyDescent="0.3">
      <c r="C108" s="2" t="s">
        <v>900</v>
      </c>
      <c r="D108" s="2"/>
      <c r="E108" s="2"/>
      <c r="F108" s="2"/>
      <c r="H108" s="218">
        <v>4999</v>
      </c>
      <c r="I108" s="2" t="b">
        <f>AND(ISNUMBER(H108),H108&lt;5000)</f>
        <v>1</v>
      </c>
      <c r="J108" s="219" t="s">
        <v>901</v>
      </c>
      <c r="K108" s="219" t="str">
        <f ca="1">_xlfn.FORMULATEXT(I108)</f>
        <v>=AND(ISNUMBER(H108),H108&lt;5000)</v>
      </c>
      <c r="L108" s="219"/>
      <c r="M108" s="219"/>
      <c r="N108" s="219"/>
    </row>
    <row r="109" spans="2:14" ht="16.5" thickTop="1" thickBot="1" x14ac:dyDescent="0.3">
      <c r="C109" s="2" t="s">
        <v>902</v>
      </c>
      <c r="D109" s="2"/>
      <c r="E109" s="2"/>
      <c r="F109" s="2"/>
      <c r="H109" s="218" t="s">
        <v>1179</v>
      </c>
      <c r="I109" s="2" t="b">
        <f>ISTEXT(H109)</f>
        <v>1</v>
      </c>
      <c r="J109" s="219" t="s">
        <v>901</v>
      </c>
      <c r="K109" s="219" t="str">
        <f ca="1">_xlfn.FORMULATEXT(I109)</f>
        <v>=ISTEXT(H109)</v>
      </c>
      <c r="L109" s="219"/>
      <c r="M109" s="219"/>
      <c r="N109" s="219"/>
    </row>
    <row r="110" spans="2:14" ht="16.5" thickTop="1" thickBot="1" x14ac:dyDescent="0.3">
      <c r="C110" s="2" t="s">
        <v>903</v>
      </c>
      <c r="D110" s="2"/>
      <c r="E110" s="2"/>
      <c r="F110" s="2"/>
      <c r="H110" s="218" t="s">
        <v>1182</v>
      </c>
      <c r="I110" s="2" t="b">
        <f>EXACT(LEFT(H110,3),"AA-")</f>
        <v>1</v>
      </c>
      <c r="J110" s="219" t="s">
        <v>901</v>
      </c>
      <c r="K110" s="219" t="str">
        <f ca="1">_xlfn.FORMULATEXT(I110)</f>
        <v>=EXACT(LEFT(H110,3),"AA-")</v>
      </c>
      <c r="L110" s="219"/>
      <c r="M110" s="219"/>
      <c r="N110" s="219"/>
    </row>
    <row r="111" spans="2:14" ht="16.5" thickTop="1" thickBot="1" x14ac:dyDescent="0.3">
      <c r="C111" s="2" t="s">
        <v>974</v>
      </c>
      <c r="D111" s="2"/>
      <c r="E111" s="2"/>
      <c r="F111" s="2"/>
      <c r="H111" s="259">
        <v>0</v>
      </c>
      <c r="I111" s="2" t="b">
        <f>COUNTIF($H$111:$H111,H111)&lt;=1</f>
        <v>1</v>
      </c>
      <c r="J111" s="219" t="s">
        <v>901</v>
      </c>
      <c r="K111" s="219" t="str">
        <f ca="1">_xlfn.FORMULATEXT(I111)</f>
        <v>=COUNTIF($H$111:$H111,H111)&lt;=1</v>
      </c>
      <c r="L111" s="219"/>
      <c r="M111" s="219"/>
      <c r="N111" s="219"/>
    </row>
    <row r="112" spans="2:14" ht="15.75" thickTop="1" x14ac:dyDescent="0.25">
      <c r="H112" s="259"/>
    </row>
    <row r="113" spans="8:8" x14ac:dyDescent="0.25">
      <c r="H113" s="259"/>
    </row>
    <row r="114" spans="8:8" x14ac:dyDescent="0.25">
      <c r="H114" s="259"/>
    </row>
    <row r="115" spans="8:8" x14ac:dyDescent="0.25">
      <c r="H115" s="259"/>
    </row>
  </sheetData>
  <dataConsolidate/>
  <dataValidations count="8">
    <dataValidation type="decimal" operator="greaterThan" allowBlank="1" showInputMessage="1" showErrorMessage="1" sqref="H23 C13:F16" xr:uid="{F541806E-D8CD-4A24-A56E-4D728F44B748}">
      <formula1>40</formula1>
    </dataValidation>
    <dataValidation type="whole" allowBlank="1" showInputMessage="1" showErrorMessage="1" sqref="C5" xr:uid="{C7711610-8FB9-4BE7-910F-3E177BC2FB9D}">
      <formula1>10</formula1>
      <formula2>25</formula2>
    </dataValidation>
    <dataValidation type="textLength" allowBlank="1" showInputMessage="1" showErrorMessage="1" sqref="C9" xr:uid="{DCCEEF53-C4E9-464A-92D2-C070FEF95E59}">
      <formula1>5</formula1>
      <formula2>10</formula2>
    </dataValidation>
    <dataValidation type="list" allowBlank="1" showInputMessage="1" showErrorMessage="1" sqref="D20" xr:uid="{DECCEBA2-185C-4C2C-89F5-CEF8414481B5}">
      <formula1>$B$20:$B$102</formula1>
    </dataValidation>
    <dataValidation type="custom" allowBlank="1" showInputMessage="1" showErrorMessage="1" sqref="H108" xr:uid="{244123E9-B411-4EA3-BA0C-317074A42CA4}">
      <formula1>AND(ISNUMBER(H108),H108&lt;5000)</formula1>
    </dataValidation>
    <dataValidation type="custom" allowBlank="1" showInputMessage="1" showErrorMessage="1" sqref="H109" xr:uid="{FBA47ED0-FA55-408A-9EFD-301666EEDDD6}">
      <formula1>ISTEXT(H109)</formula1>
    </dataValidation>
    <dataValidation type="custom" allowBlank="1" showInputMessage="1" showErrorMessage="1" sqref="H110" xr:uid="{4CC006EE-D989-4824-8404-620FECA65AFA}">
      <formula1>EXACT(LEFT(H110,3),"AA-")</formula1>
    </dataValidation>
    <dataValidation type="custom" allowBlank="1" showInputMessage="1" showErrorMessage="1" sqref="H111" xr:uid="{CC153CA6-21DB-4CED-B664-D300CEC40739}">
      <formula1>COUNTIF($H$111:$H$111,H111)&lt;=1</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93"/>
  <sheetViews>
    <sheetView workbookViewId="0">
      <selection activeCell="I80" sqref="I80"/>
    </sheetView>
  </sheetViews>
  <sheetFormatPr defaultRowHeight="15" x14ac:dyDescent="0.25"/>
  <cols>
    <col min="1" max="1" width="15.42578125" customWidth="1"/>
    <col min="2" max="2" width="25.5703125" customWidth="1"/>
    <col min="3" max="3" width="19.85546875" customWidth="1"/>
    <col min="4" max="4" width="13.5703125" customWidth="1"/>
    <col min="5" max="5" width="12.5703125" customWidth="1"/>
    <col min="6" max="6" width="16" customWidth="1"/>
    <col min="7" max="7" width="16.85546875" customWidth="1"/>
    <col min="8" max="8" width="16.42578125" customWidth="1"/>
    <col min="9" max="9" width="14.5703125" customWidth="1"/>
    <col min="11" max="11" width="12.140625" customWidth="1"/>
    <col min="12" max="12" width="10.5703125" customWidth="1"/>
    <col min="14" max="14" width="11.5703125" customWidth="1"/>
  </cols>
  <sheetData>
    <row r="1" spans="1:18" ht="23.25" x14ac:dyDescent="0.35">
      <c r="A1" s="257" t="s">
        <v>868</v>
      </c>
      <c r="B1" s="1" t="s">
        <v>351</v>
      </c>
      <c r="C1" s="1"/>
      <c r="D1" s="1"/>
      <c r="E1" s="1"/>
      <c r="F1" s="1"/>
      <c r="G1" s="1"/>
      <c r="H1" s="1"/>
      <c r="I1" s="1"/>
      <c r="J1" s="1"/>
      <c r="K1" s="1"/>
      <c r="L1" s="1"/>
      <c r="M1" s="1"/>
      <c r="N1" s="1"/>
      <c r="O1" s="1"/>
      <c r="P1" s="1"/>
      <c r="Q1" s="1"/>
      <c r="R1" s="1"/>
    </row>
    <row r="3" spans="1:18" x14ac:dyDescent="0.25">
      <c r="A3" s="40" t="s">
        <v>707</v>
      </c>
    </row>
    <row r="5" spans="1:18" x14ac:dyDescent="0.25">
      <c r="B5" s="42">
        <v>45155</v>
      </c>
    </row>
    <row r="9" spans="1:18" x14ac:dyDescent="0.25">
      <c r="A9" s="40" t="s">
        <v>352</v>
      </c>
      <c r="B9" s="40"/>
    </row>
    <row r="10" spans="1:18" x14ac:dyDescent="0.25">
      <c r="B10" t="s">
        <v>353</v>
      </c>
      <c r="D10" s="326">
        <f ca="1">TODAY()</f>
        <v>45999</v>
      </c>
      <c r="E10" s="326">
        <v>45165</v>
      </c>
    </row>
    <row r="11" spans="1:18" x14ac:dyDescent="0.25">
      <c r="B11" t="s">
        <v>354</v>
      </c>
      <c r="D11" s="335">
        <f ca="1">NOW()</f>
        <v>45999.44591678241</v>
      </c>
      <c r="E11" s="87"/>
    </row>
    <row r="12" spans="1:18" x14ac:dyDescent="0.25">
      <c r="B12" s="42">
        <f ca="1">NOW()</f>
        <v>45999.44591678241</v>
      </c>
    </row>
    <row r="13" spans="1:18" x14ac:dyDescent="0.25">
      <c r="B13" s="42"/>
    </row>
    <row r="14" spans="1:18" x14ac:dyDescent="0.25">
      <c r="B14" s="42"/>
    </row>
    <row r="15" spans="1:18" x14ac:dyDescent="0.25">
      <c r="B15" t="s">
        <v>355</v>
      </c>
    </row>
    <row r="16" spans="1:18" x14ac:dyDescent="0.25">
      <c r="B16" s="42">
        <f ca="1">TODAY()</f>
        <v>45999</v>
      </c>
      <c r="D16" s="42"/>
    </row>
    <row r="17" spans="1:6" x14ac:dyDescent="0.25">
      <c r="D17" s="42">
        <f ca="1">+TODAY()</f>
        <v>45999</v>
      </c>
    </row>
    <row r="19" spans="1:6" x14ac:dyDescent="0.25">
      <c r="B19" s="48" t="s">
        <v>356</v>
      </c>
      <c r="C19" s="48" t="s">
        <v>357</v>
      </c>
      <c r="D19" s="48" t="s">
        <v>358</v>
      </c>
      <c r="E19" s="48"/>
      <c r="F19" s="48" t="s">
        <v>359</v>
      </c>
    </row>
    <row r="20" spans="1:6" x14ac:dyDescent="0.25">
      <c r="B20" s="74" t="s">
        <v>360</v>
      </c>
      <c r="C20" s="75">
        <f ca="1">+TODAY()-25</f>
        <v>45974</v>
      </c>
      <c r="D20" s="75">
        <f ca="1">+C20+20</f>
        <v>45994</v>
      </c>
      <c r="E20" s="3"/>
      <c r="F20" s="76" t="s">
        <v>361</v>
      </c>
    </row>
    <row r="21" spans="1:6" x14ac:dyDescent="0.25">
      <c r="B21" s="74" t="s">
        <v>362</v>
      </c>
      <c r="C21" s="75">
        <f ca="1">+C20+2</f>
        <v>45976</v>
      </c>
      <c r="D21" s="75">
        <f ca="1">+C21+20</f>
        <v>45996</v>
      </c>
      <c r="E21" s="3"/>
      <c r="F21" s="76" t="s">
        <v>361</v>
      </c>
    </row>
    <row r="22" spans="1:6" x14ac:dyDescent="0.25">
      <c r="B22" s="74" t="s">
        <v>363</v>
      </c>
      <c r="C22" s="75">
        <f ca="1">+C21+2</f>
        <v>45978</v>
      </c>
      <c r="D22" s="75">
        <f ca="1">+C22+20</f>
        <v>45998</v>
      </c>
      <c r="E22" s="3"/>
      <c r="F22" s="76" t="s">
        <v>364</v>
      </c>
    </row>
    <row r="23" spans="1:6" x14ac:dyDescent="0.25">
      <c r="B23" s="74" t="s">
        <v>365</v>
      </c>
      <c r="C23" s="75">
        <f ca="1">+C22+2</f>
        <v>45980</v>
      </c>
      <c r="D23" s="75">
        <f ca="1">+C23+20</f>
        <v>46000</v>
      </c>
      <c r="E23" s="3"/>
      <c r="F23" s="76" t="s">
        <v>364</v>
      </c>
    </row>
    <row r="24" spans="1:6" x14ac:dyDescent="0.25">
      <c r="B24" s="74" t="s">
        <v>366</v>
      </c>
      <c r="C24" s="75">
        <f ca="1">+C23+2</f>
        <v>45982</v>
      </c>
      <c r="D24" s="75">
        <f ca="1">+C24+20</f>
        <v>46002</v>
      </c>
      <c r="E24" s="3"/>
      <c r="F24" s="76" t="s">
        <v>364</v>
      </c>
    </row>
    <row r="27" spans="1:6" x14ac:dyDescent="0.25">
      <c r="A27" s="40" t="s">
        <v>708</v>
      </c>
      <c r="B27" s="40"/>
      <c r="C27" s="77">
        <v>43682</v>
      </c>
      <c r="F27" s="78">
        <v>9.4270833333333345E-2</v>
      </c>
    </row>
    <row r="29" spans="1:6" x14ac:dyDescent="0.25">
      <c r="B29" t="s">
        <v>367</v>
      </c>
      <c r="C29" s="87">
        <f>YEAR(C27)</f>
        <v>2019</v>
      </c>
      <c r="E29" s="79" t="s">
        <v>368</v>
      </c>
      <c r="F29" s="87">
        <f>HOUR(F27)</f>
        <v>2</v>
      </c>
    </row>
    <row r="30" spans="1:6" x14ac:dyDescent="0.25">
      <c r="B30" t="s">
        <v>369</v>
      </c>
      <c r="C30" s="87">
        <f>MONTH(C27)</f>
        <v>8</v>
      </c>
      <c r="E30" s="79" t="s">
        <v>370</v>
      </c>
      <c r="F30" s="87">
        <f>MINUTE(F27)</f>
        <v>15</v>
      </c>
    </row>
    <row r="31" spans="1:6" x14ac:dyDescent="0.25">
      <c r="B31" t="s">
        <v>371</v>
      </c>
      <c r="C31" s="87">
        <f>DAY(C27)</f>
        <v>5</v>
      </c>
      <c r="E31" s="79" t="s">
        <v>372</v>
      </c>
      <c r="F31" s="87">
        <f>SECOND(F27)</f>
        <v>45</v>
      </c>
    </row>
    <row r="33" spans="1:14" x14ac:dyDescent="0.25">
      <c r="B33" t="s">
        <v>373</v>
      </c>
      <c r="C33" s="326">
        <f>DATE(C29,C30,C31)</f>
        <v>43682</v>
      </c>
      <c r="E33" s="79" t="s">
        <v>374</v>
      </c>
      <c r="F33" s="336">
        <f>TIME(F29,F30,F31)</f>
        <v>9.4270833333333345E-2</v>
      </c>
    </row>
    <row r="35" spans="1:14" x14ac:dyDescent="0.25">
      <c r="A35" s="40" t="s">
        <v>375</v>
      </c>
    </row>
    <row r="37" spans="1:14" x14ac:dyDescent="0.25">
      <c r="B37" t="s">
        <v>709</v>
      </c>
      <c r="E37" s="80" t="s">
        <v>376</v>
      </c>
      <c r="F37" s="80">
        <v>2019</v>
      </c>
      <c r="H37" s="80" t="s">
        <v>377</v>
      </c>
      <c r="I37" s="81" t="s">
        <v>378</v>
      </c>
      <c r="K37" s="80" t="s">
        <v>379</v>
      </c>
      <c r="L37" s="82" t="s">
        <v>380</v>
      </c>
    </row>
    <row r="38" spans="1:14" x14ac:dyDescent="0.25">
      <c r="E38" s="80" t="s">
        <v>381</v>
      </c>
      <c r="F38" s="80">
        <v>2019</v>
      </c>
      <c r="H38" s="80" t="s">
        <v>382</v>
      </c>
      <c r="I38" s="81" t="s">
        <v>383</v>
      </c>
      <c r="K38" s="80" t="s">
        <v>384</v>
      </c>
      <c r="L38" s="81" t="s">
        <v>385</v>
      </c>
    </row>
    <row r="39" spans="1:14" x14ac:dyDescent="0.25">
      <c r="B39" s="87" t="str">
        <f>B37&amp;" "&amp;TEXT(C33,"mmmm dd, (dddd)")</f>
        <v>Susirinkimas skelbiamas  August 05, (Monday)</v>
      </c>
      <c r="C39" s="87"/>
      <c r="E39" s="80" t="s">
        <v>386</v>
      </c>
      <c r="F39" s="80">
        <v>19</v>
      </c>
      <c r="H39" s="80" t="s">
        <v>387</v>
      </c>
      <c r="I39" s="83" t="s">
        <v>388</v>
      </c>
      <c r="K39" s="80" t="s">
        <v>389</v>
      </c>
      <c r="L39" s="83" t="s">
        <v>390</v>
      </c>
    </row>
    <row r="40" spans="1:14" x14ac:dyDescent="0.25">
      <c r="E40" s="80" t="s">
        <v>391</v>
      </c>
      <c r="F40" s="80">
        <v>19</v>
      </c>
      <c r="H40" s="80" t="s">
        <v>392</v>
      </c>
      <c r="I40" s="80">
        <v>8</v>
      </c>
      <c r="K40" s="80" t="s">
        <v>393</v>
      </c>
      <c r="L40" s="80">
        <v>5</v>
      </c>
    </row>
    <row r="42" spans="1:14" x14ac:dyDescent="0.25">
      <c r="A42" s="40" t="s">
        <v>710</v>
      </c>
    </row>
    <row r="43" spans="1:14" x14ac:dyDescent="0.25">
      <c r="N43" t="s">
        <v>1205</v>
      </c>
    </row>
    <row r="44" spans="1:14" x14ac:dyDescent="0.25">
      <c r="B44" t="s">
        <v>394</v>
      </c>
      <c r="D44" t="s">
        <v>711</v>
      </c>
      <c r="G44" s="42">
        <v>43466</v>
      </c>
      <c r="I44" s="42">
        <v>43703</v>
      </c>
      <c r="K44" s="72">
        <f>_xlfn.DAYS(I44,G44)</f>
        <v>237</v>
      </c>
      <c r="N44" s="84">
        <v>43466</v>
      </c>
    </row>
    <row r="45" spans="1:14" x14ac:dyDescent="0.25">
      <c r="B45" s="76" t="s">
        <v>395</v>
      </c>
      <c r="C45" s="85"/>
      <c r="D45" t="s">
        <v>712</v>
      </c>
      <c r="G45" s="42">
        <v>43466</v>
      </c>
      <c r="I45" s="42">
        <v>43703</v>
      </c>
      <c r="K45" s="72">
        <f>NETWORKDAYS(G45,I45,N44:N58)</f>
        <v>164</v>
      </c>
      <c r="N45" s="84">
        <v>43512</v>
      </c>
    </row>
    <row r="46" spans="1:14" x14ac:dyDescent="0.25">
      <c r="G46" s="42">
        <v>43466</v>
      </c>
      <c r="I46" s="42">
        <v>43703</v>
      </c>
      <c r="K46" s="72">
        <f>NETWORKDAYS.INTL(G46,I46)</f>
        <v>170</v>
      </c>
      <c r="N46" s="84">
        <v>43535</v>
      </c>
    </row>
    <row r="47" spans="1:14" x14ac:dyDescent="0.25">
      <c r="B47" s="76" t="s">
        <v>396</v>
      </c>
      <c r="D47" t="s">
        <v>713</v>
      </c>
      <c r="G47" s="42">
        <v>43466</v>
      </c>
      <c r="I47">
        <v>50</v>
      </c>
      <c r="K47" s="86">
        <f>WORKDAY(G47,I47)</f>
        <v>43536</v>
      </c>
      <c r="N47" s="84">
        <v>43576</v>
      </c>
    </row>
    <row r="48" spans="1:14" x14ac:dyDescent="0.25">
      <c r="G48" s="42">
        <v>43466</v>
      </c>
      <c r="I48">
        <v>50</v>
      </c>
      <c r="K48" s="86">
        <f>WORKDAY.INTL(G48,I48)</f>
        <v>43536</v>
      </c>
      <c r="N48" s="84">
        <v>43577</v>
      </c>
    </row>
    <row r="49" spans="1:14" x14ac:dyDescent="0.25">
      <c r="N49" s="84">
        <v>43586</v>
      </c>
    </row>
    <row r="50" spans="1:14" x14ac:dyDescent="0.25">
      <c r="A50" s="40" t="s">
        <v>400</v>
      </c>
      <c r="N50" s="84">
        <v>43590</v>
      </c>
    </row>
    <row r="51" spans="1:14" x14ac:dyDescent="0.25">
      <c r="N51" s="84">
        <v>43618</v>
      </c>
    </row>
    <row r="52" spans="1:14" x14ac:dyDescent="0.25">
      <c r="B52" t="s">
        <v>397</v>
      </c>
      <c r="G52" s="42">
        <v>43466</v>
      </c>
      <c r="I52" t="s">
        <v>398</v>
      </c>
      <c r="K52" s="72">
        <f>WEEKDAY(G52,2)</f>
        <v>2</v>
      </c>
      <c r="N52" s="84">
        <v>43640</v>
      </c>
    </row>
    <row r="53" spans="1:14" x14ac:dyDescent="0.25">
      <c r="I53" t="s">
        <v>399</v>
      </c>
      <c r="K53" s="72">
        <f>WEEKDAY(G52,1)</f>
        <v>3</v>
      </c>
      <c r="N53" s="84">
        <v>43652</v>
      </c>
    </row>
    <row r="54" spans="1:14" x14ac:dyDescent="0.25">
      <c r="N54" s="84">
        <v>43692</v>
      </c>
    </row>
    <row r="55" spans="1:14" x14ac:dyDescent="0.25">
      <c r="A55" s="40" t="s">
        <v>761</v>
      </c>
      <c r="N55" s="84">
        <v>43770</v>
      </c>
    </row>
    <row r="56" spans="1:14" x14ac:dyDescent="0.25">
      <c r="N56" s="84">
        <v>43823</v>
      </c>
    </row>
    <row r="57" spans="1:14" x14ac:dyDescent="0.25">
      <c r="B57" s="85" t="s">
        <v>401</v>
      </c>
      <c r="G57" s="42">
        <v>43480</v>
      </c>
      <c r="K57" s="86">
        <f>EOMONTH(G57,12)</f>
        <v>43861</v>
      </c>
      <c r="N57" s="84">
        <v>43824</v>
      </c>
    </row>
    <row r="58" spans="1:14" x14ac:dyDescent="0.25">
      <c r="B58" s="85" t="s">
        <v>402</v>
      </c>
      <c r="C58" t="s">
        <v>714</v>
      </c>
      <c r="G58" s="42">
        <v>43495</v>
      </c>
      <c r="N58" s="84">
        <v>43825</v>
      </c>
    </row>
    <row r="59" spans="1:14" x14ac:dyDescent="0.25">
      <c r="F59">
        <v>1</v>
      </c>
      <c r="G59" s="86">
        <f>EDATE($G$58,F59)</f>
        <v>43524</v>
      </c>
    </row>
    <row r="60" spans="1:14" x14ac:dyDescent="0.25">
      <c r="F60">
        <v>2</v>
      </c>
      <c r="G60" s="86">
        <f t="shared" ref="G60:G70" si="0">EDATE($G$58,F60)</f>
        <v>43554</v>
      </c>
    </row>
    <row r="61" spans="1:14" x14ac:dyDescent="0.25">
      <c r="F61">
        <v>3</v>
      </c>
      <c r="G61" s="86">
        <f t="shared" si="0"/>
        <v>43585</v>
      </c>
    </row>
    <row r="62" spans="1:14" x14ac:dyDescent="0.25">
      <c r="F62">
        <v>4</v>
      </c>
      <c r="G62" s="86">
        <f t="shared" si="0"/>
        <v>43615</v>
      </c>
    </row>
    <row r="63" spans="1:14" x14ac:dyDescent="0.25">
      <c r="F63">
        <v>5</v>
      </c>
      <c r="G63" s="86">
        <f t="shared" si="0"/>
        <v>43646</v>
      </c>
    </row>
    <row r="64" spans="1:14" x14ac:dyDescent="0.25">
      <c r="F64">
        <v>6</v>
      </c>
      <c r="G64" s="86">
        <f t="shared" si="0"/>
        <v>43676</v>
      </c>
    </row>
    <row r="65" spans="1:10" x14ac:dyDescent="0.25">
      <c r="F65">
        <v>7</v>
      </c>
      <c r="G65" s="86">
        <f t="shared" si="0"/>
        <v>43707</v>
      </c>
    </row>
    <row r="66" spans="1:10" x14ac:dyDescent="0.25">
      <c r="F66">
        <v>8</v>
      </c>
      <c r="G66" s="86">
        <f t="shared" si="0"/>
        <v>43738</v>
      </c>
    </row>
    <row r="67" spans="1:10" x14ac:dyDescent="0.25">
      <c r="F67">
        <v>9</v>
      </c>
      <c r="G67" s="86">
        <f t="shared" si="0"/>
        <v>43768</v>
      </c>
    </row>
    <row r="68" spans="1:10" x14ac:dyDescent="0.25">
      <c r="F68">
        <v>10</v>
      </c>
      <c r="G68" s="86">
        <f t="shared" si="0"/>
        <v>43799</v>
      </c>
    </row>
    <row r="69" spans="1:10" x14ac:dyDescent="0.25">
      <c r="F69">
        <v>11</v>
      </c>
      <c r="G69" s="86">
        <f t="shared" si="0"/>
        <v>43829</v>
      </c>
    </row>
    <row r="70" spans="1:10" x14ac:dyDescent="0.25">
      <c r="F70">
        <v>12</v>
      </c>
      <c r="G70" s="86">
        <f t="shared" si="0"/>
        <v>43860</v>
      </c>
    </row>
    <row r="72" spans="1:10" x14ac:dyDescent="0.25">
      <c r="A72" s="40" t="s">
        <v>905</v>
      </c>
    </row>
    <row r="74" spans="1:10" x14ac:dyDescent="0.25">
      <c r="B74" t="s">
        <v>908</v>
      </c>
    </row>
    <row r="75" spans="1:10" x14ac:dyDescent="0.25">
      <c r="C75" t="s">
        <v>906</v>
      </c>
    </row>
    <row r="76" spans="1:10" x14ac:dyDescent="0.25">
      <c r="C76" s="48" t="s">
        <v>36</v>
      </c>
      <c r="D76" s="220">
        <v>43927</v>
      </c>
      <c r="E76" s="220">
        <v>43928</v>
      </c>
      <c r="F76" s="220">
        <v>43929</v>
      </c>
      <c r="G76" s="220">
        <v>43930</v>
      </c>
      <c r="H76" s="220">
        <v>43931</v>
      </c>
      <c r="I76" s="220" t="s">
        <v>907</v>
      </c>
    </row>
    <row r="77" spans="1:10" x14ac:dyDescent="0.25">
      <c r="C77" s="42" t="s">
        <v>48</v>
      </c>
      <c r="D77" s="216">
        <v>0.33333333333333331</v>
      </c>
      <c r="E77" s="216">
        <v>0.33333333333333331</v>
      </c>
      <c r="F77" s="216">
        <v>0.33333333333333331</v>
      </c>
      <c r="G77" s="216">
        <v>0.33333333333333331</v>
      </c>
      <c r="H77" s="216">
        <v>0.33333333333333331</v>
      </c>
      <c r="I77" s="337">
        <f>SUM(D77:H77)</f>
        <v>1.6666666666666665</v>
      </c>
      <c r="J77" t="s">
        <v>1206</v>
      </c>
    </row>
    <row r="78" spans="1:10" x14ac:dyDescent="0.25">
      <c r="C78" s="42" t="s">
        <v>44</v>
      </c>
      <c r="D78" s="216">
        <v>0.5</v>
      </c>
      <c r="E78" s="216">
        <v>0.5</v>
      </c>
      <c r="F78" s="216">
        <v>0</v>
      </c>
      <c r="G78" s="216">
        <v>0.16666666666666666</v>
      </c>
      <c r="H78" s="216">
        <v>0.16666666666666666</v>
      </c>
      <c r="I78" s="337">
        <f t="shared" ref="I78:I80" si="1">SUM(D78:H78)</f>
        <v>1.3333333333333335</v>
      </c>
    </row>
    <row r="79" spans="1:10" x14ac:dyDescent="0.25">
      <c r="C79" s="42" t="s">
        <v>421</v>
      </c>
      <c r="D79" s="216">
        <v>0.16666666666666666</v>
      </c>
      <c r="E79" s="216">
        <v>0.33333333333333331</v>
      </c>
      <c r="F79" s="216">
        <v>0.16666666666666666</v>
      </c>
      <c r="G79" s="216">
        <v>0.33333333333333331</v>
      </c>
      <c r="H79" s="216">
        <v>0.16666666666666666</v>
      </c>
      <c r="I79" s="337">
        <f t="shared" si="1"/>
        <v>1.1666666666666667</v>
      </c>
    </row>
    <row r="80" spans="1:10" x14ac:dyDescent="0.25">
      <c r="C80" s="42" t="s">
        <v>420</v>
      </c>
      <c r="D80" s="216">
        <v>0.16666666666666666</v>
      </c>
      <c r="E80" s="216">
        <v>0.16666666666666666</v>
      </c>
      <c r="F80" s="216">
        <v>0.5</v>
      </c>
      <c r="G80" s="216">
        <v>0</v>
      </c>
      <c r="H80" s="216">
        <v>0.5</v>
      </c>
      <c r="I80" s="337">
        <f t="shared" si="1"/>
        <v>1.3333333333333333</v>
      </c>
    </row>
    <row r="82" spans="2:9" x14ac:dyDescent="0.25">
      <c r="B82" t="s">
        <v>909</v>
      </c>
    </row>
    <row r="83" spans="2:9" x14ac:dyDescent="0.25">
      <c r="F83" s="220" t="s">
        <v>916</v>
      </c>
    </row>
    <row r="84" spans="2:9" x14ac:dyDescent="0.25">
      <c r="B84">
        <v>1</v>
      </c>
      <c r="C84" t="s">
        <v>910</v>
      </c>
      <c r="F84" s="167">
        <v>43933.99664351852</v>
      </c>
    </row>
    <row r="85" spans="2:9" x14ac:dyDescent="0.25">
      <c r="B85">
        <v>2</v>
      </c>
      <c r="C85" t="s">
        <v>911</v>
      </c>
      <c r="F85" s="167">
        <v>43933.9996875</v>
      </c>
    </row>
    <row r="86" spans="2:9" x14ac:dyDescent="0.25">
      <c r="B86">
        <v>3</v>
      </c>
      <c r="C86" t="s">
        <v>912</v>
      </c>
      <c r="F86" s="167">
        <v>43934.017511574071</v>
      </c>
    </row>
    <row r="87" spans="2:9" x14ac:dyDescent="0.25">
      <c r="B87">
        <v>4</v>
      </c>
      <c r="C87" t="s">
        <v>913</v>
      </c>
      <c r="F87" s="167">
        <v>43934.09270833333</v>
      </c>
    </row>
    <row r="89" spans="2:9" x14ac:dyDescent="0.25">
      <c r="G89" s="220" t="s">
        <v>914</v>
      </c>
      <c r="H89" s="220" t="s">
        <v>915</v>
      </c>
    </row>
    <row r="90" spans="2:9" x14ac:dyDescent="0.25">
      <c r="F90" t="s">
        <v>917</v>
      </c>
      <c r="G90" s="338">
        <f>F85-F84</f>
        <v>3.0439814800047316E-3</v>
      </c>
      <c r="H90" s="339">
        <f>F85-F84</f>
        <v>3.0439814800047316E-3</v>
      </c>
      <c r="I90" t="s">
        <v>1207</v>
      </c>
    </row>
    <row r="91" spans="2:9" x14ac:dyDescent="0.25">
      <c r="F91" t="s">
        <v>918</v>
      </c>
      <c r="G91" s="338">
        <f>F86-F84</f>
        <v>2.0868055551545694E-2</v>
      </c>
      <c r="H91" s="339">
        <f>F86-F84</f>
        <v>2.0868055551545694E-2</v>
      </c>
      <c r="I91" t="s">
        <v>1208</v>
      </c>
    </row>
    <row r="92" spans="2:9" x14ac:dyDescent="0.25">
      <c r="F92" t="s">
        <v>919</v>
      </c>
      <c r="G92" s="338">
        <f>F87-F84</f>
        <v>9.6064814810233656E-2</v>
      </c>
      <c r="H92" s="339">
        <f>F87-F84</f>
        <v>9.6064814810233656E-2</v>
      </c>
      <c r="I92" t="s">
        <v>1209</v>
      </c>
    </row>
    <row r="93" spans="2:9" x14ac:dyDescent="0.25">
      <c r="F93" t="s">
        <v>973</v>
      </c>
      <c r="G93" s="338">
        <f>F87-F86</f>
        <v>7.5196759258687962E-2</v>
      </c>
      <c r="H93" s="339">
        <f>F87-F86</f>
        <v>7.5196759258687962E-2</v>
      </c>
    </row>
  </sheetData>
  <phoneticPr fontId="22" type="noConversion"/>
  <conditionalFormatting sqref="B20:F24">
    <cfRule type="expression" dxfId="3" priority="1">
      <formula>$F20="Atsiskaitė"</formula>
    </cfRule>
    <cfRule type="expression" dxfId="2" priority="2">
      <formula>$D20&lt;=$D$17</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CB754-69B6-4AC1-B9B6-EB7544DF614A}">
  <dimension ref="A1:P28"/>
  <sheetViews>
    <sheetView workbookViewId="0">
      <selection activeCell="H5" sqref="H5"/>
    </sheetView>
  </sheetViews>
  <sheetFormatPr defaultColWidth="8.85546875" defaultRowHeight="15" x14ac:dyDescent="0.25"/>
  <cols>
    <col min="2" max="2" width="13.140625" customWidth="1"/>
    <col min="3" max="3" width="26.85546875" customWidth="1"/>
    <col min="4" max="4" width="16.42578125" customWidth="1"/>
    <col min="5" max="6" width="12" customWidth="1"/>
    <col min="8" max="8" width="13.140625" customWidth="1"/>
    <col min="10" max="10" width="11.140625" customWidth="1"/>
    <col min="12" max="12" width="13.5703125" customWidth="1"/>
    <col min="14" max="14" width="17" customWidth="1"/>
  </cols>
  <sheetData>
    <row r="1" spans="1:8" ht="23.25" x14ac:dyDescent="0.35">
      <c r="A1" s="257" t="s">
        <v>869</v>
      </c>
      <c r="B1" s="1" t="s">
        <v>866</v>
      </c>
      <c r="C1" s="1"/>
      <c r="D1" s="1"/>
      <c r="E1" s="1"/>
      <c r="F1" s="1"/>
    </row>
    <row r="4" spans="1:8" x14ac:dyDescent="0.25">
      <c r="B4" s="261" t="s">
        <v>36</v>
      </c>
      <c r="C4" s="261" t="s">
        <v>138</v>
      </c>
      <c r="D4" s="261" t="s">
        <v>139</v>
      </c>
      <c r="E4" s="261" t="s">
        <v>140</v>
      </c>
      <c r="F4" s="261" t="s">
        <v>141</v>
      </c>
      <c r="G4" s="260" t="s">
        <v>124</v>
      </c>
      <c r="H4" s="261" t="s">
        <v>984</v>
      </c>
    </row>
    <row r="5" spans="1:8" x14ac:dyDescent="0.25">
      <c r="B5" s="267">
        <v>42736</v>
      </c>
      <c r="C5" s="262" t="s">
        <v>146</v>
      </c>
      <c r="D5" s="262" t="s">
        <v>147</v>
      </c>
      <c r="E5" s="262">
        <v>20</v>
      </c>
      <c r="F5" s="262">
        <v>1.55</v>
      </c>
      <c r="G5" s="265">
        <f>'U11'!$E5*'U11'!$F5</f>
        <v>31</v>
      </c>
      <c r="H5" s="269">
        <f>'U11'!$G5/SUM('U11'!$G$5:$G$27)</f>
        <v>5.3343428433768103E-2</v>
      </c>
    </row>
    <row r="6" spans="1:8" x14ac:dyDescent="0.25">
      <c r="B6" s="268">
        <v>42737</v>
      </c>
      <c r="C6" s="263" t="s">
        <v>149</v>
      </c>
      <c r="D6" s="263" t="s">
        <v>150</v>
      </c>
      <c r="E6" s="263">
        <v>20</v>
      </c>
      <c r="F6" s="263">
        <v>2.12</v>
      </c>
      <c r="G6" s="266">
        <f>'U11'!$E6*'U11'!$F6</f>
        <v>42.400000000000006</v>
      </c>
      <c r="H6" s="270">
        <f>'U11'!$G6/SUM('U11'!$G$5:$G$27)</f>
        <v>7.2960044051347345E-2</v>
      </c>
    </row>
    <row r="7" spans="1:8" x14ac:dyDescent="0.25">
      <c r="B7" s="267">
        <v>42738</v>
      </c>
      <c r="C7" s="262" t="s">
        <v>151</v>
      </c>
      <c r="D7" s="262" t="s">
        <v>150</v>
      </c>
      <c r="E7" s="262">
        <v>9</v>
      </c>
      <c r="F7" s="262">
        <v>2.02</v>
      </c>
      <c r="G7" s="265">
        <f>'U11'!$E7*'U11'!$F7</f>
        <v>18.18</v>
      </c>
      <c r="H7" s="269">
        <f>'U11'!$G7/SUM('U11'!$G$5:$G$27)</f>
        <v>3.1283339642771101E-2</v>
      </c>
    </row>
    <row r="8" spans="1:8" x14ac:dyDescent="0.25">
      <c r="B8" s="268">
        <v>42739</v>
      </c>
      <c r="C8" s="263" t="s">
        <v>146</v>
      </c>
      <c r="D8" s="263" t="s">
        <v>147</v>
      </c>
      <c r="E8" s="263">
        <v>24</v>
      </c>
      <c r="F8" s="263">
        <v>1.55</v>
      </c>
      <c r="G8" s="266">
        <f>'U11'!$E8*'U11'!$F8</f>
        <v>37.200000000000003</v>
      </c>
      <c r="H8" s="270">
        <f>'U11'!$G8/SUM('U11'!$G$5:$G$27)</f>
        <v>6.4012114120521726E-2</v>
      </c>
    </row>
    <row r="9" spans="1:8" x14ac:dyDescent="0.25">
      <c r="B9" s="267">
        <v>42742</v>
      </c>
      <c r="C9" s="262" t="s">
        <v>149</v>
      </c>
      <c r="D9" s="262" t="s">
        <v>150</v>
      </c>
      <c r="E9" s="262">
        <v>15</v>
      </c>
      <c r="F9" s="262">
        <v>2.12</v>
      </c>
      <c r="G9" s="265">
        <f>'U11'!$E9*'U11'!$F9</f>
        <v>31.8</v>
      </c>
      <c r="H9" s="269">
        <f>'U11'!$G9/SUM('U11'!$G$5:$G$27)</f>
        <v>5.4720033038510509E-2</v>
      </c>
    </row>
    <row r="10" spans="1:8" x14ac:dyDescent="0.25">
      <c r="B10" s="268">
        <v>42743</v>
      </c>
      <c r="C10" s="263" t="s">
        <v>149</v>
      </c>
      <c r="D10" s="263" t="s">
        <v>150</v>
      </c>
      <c r="E10" s="263">
        <v>21</v>
      </c>
      <c r="F10" s="263">
        <v>2.12</v>
      </c>
      <c r="G10" s="266">
        <f>'U11'!$E10*'U11'!$F10</f>
        <v>44.52</v>
      </c>
      <c r="H10" s="270">
        <f>'U11'!$G10/SUM('U11'!$G$5:$G$27)</f>
        <v>7.6608046253914708E-2</v>
      </c>
    </row>
    <row r="11" spans="1:8" x14ac:dyDescent="0.25">
      <c r="B11" s="267">
        <v>42744</v>
      </c>
      <c r="C11" s="262" t="s">
        <v>149</v>
      </c>
      <c r="D11" s="262" t="s">
        <v>150</v>
      </c>
      <c r="E11" s="262">
        <v>8</v>
      </c>
      <c r="F11" s="262">
        <v>2.12</v>
      </c>
      <c r="G11" s="265">
        <f>'U11'!$E11*'U11'!$F11</f>
        <v>16.96</v>
      </c>
      <c r="H11" s="269">
        <f>'U11'!$G11/SUM('U11'!$G$5:$G$27)</f>
        <v>2.9184017620538936E-2</v>
      </c>
    </row>
    <row r="12" spans="1:8" x14ac:dyDescent="0.25">
      <c r="B12" s="268">
        <v>42745</v>
      </c>
      <c r="C12" s="263" t="s">
        <v>149</v>
      </c>
      <c r="D12" s="263" t="s">
        <v>150</v>
      </c>
      <c r="E12" s="263">
        <v>10</v>
      </c>
      <c r="F12" s="263">
        <v>2.12</v>
      </c>
      <c r="G12" s="266">
        <f>'U11'!$E12*'U11'!$F12</f>
        <v>21.200000000000003</v>
      </c>
      <c r="H12" s="270">
        <f>'U11'!$G12/SUM('U11'!$G$5:$G$27)</f>
        <v>3.6480022025673672E-2</v>
      </c>
    </row>
    <row r="13" spans="1:8" x14ac:dyDescent="0.25">
      <c r="B13" s="267">
        <v>42746</v>
      </c>
      <c r="C13" s="262" t="s">
        <v>152</v>
      </c>
      <c r="D13" s="262" t="s">
        <v>147</v>
      </c>
      <c r="E13" s="262">
        <v>15</v>
      </c>
      <c r="F13" s="262">
        <v>1.4</v>
      </c>
      <c r="G13" s="265">
        <f>'U11'!$E13*'U11'!$F13</f>
        <v>21</v>
      </c>
      <c r="H13" s="269">
        <f>'U11'!$G13/SUM('U11'!$G$5:$G$27)</f>
        <v>3.6135870874488066E-2</v>
      </c>
    </row>
    <row r="14" spans="1:8" x14ac:dyDescent="0.25">
      <c r="B14" s="268">
        <v>42749</v>
      </c>
      <c r="C14" s="263" t="s">
        <v>153</v>
      </c>
      <c r="D14" s="263" t="s">
        <v>147</v>
      </c>
      <c r="E14" s="263">
        <v>9</v>
      </c>
      <c r="F14" s="263">
        <v>1.0900000000000001</v>
      </c>
      <c r="G14" s="266">
        <f>'U11'!$E14*'U11'!$F14</f>
        <v>9.81</v>
      </c>
      <c r="H14" s="270">
        <f>'U11'!$G14/SUM('U11'!$G$5:$G$27)</f>
        <v>1.6880613965653712E-2</v>
      </c>
    </row>
    <row r="15" spans="1:8" x14ac:dyDescent="0.25">
      <c r="B15" s="267">
        <v>42750</v>
      </c>
      <c r="C15" s="262" t="s">
        <v>146</v>
      </c>
      <c r="D15" s="262" t="s">
        <v>147</v>
      </c>
      <c r="E15" s="262">
        <v>23</v>
      </c>
      <c r="F15" s="262">
        <v>1.55</v>
      </c>
      <c r="G15" s="265">
        <f>'U11'!$E15*'U11'!$F15</f>
        <v>35.65</v>
      </c>
      <c r="H15" s="269">
        <f>'U11'!$G15/SUM('U11'!$G$5:$G$27)</f>
        <v>6.1344942698833317E-2</v>
      </c>
    </row>
    <row r="16" spans="1:8" x14ac:dyDescent="0.25">
      <c r="B16" s="268">
        <v>42751</v>
      </c>
      <c r="C16" s="263" t="s">
        <v>151</v>
      </c>
      <c r="D16" s="263" t="s">
        <v>150</v>
      </c>
      <c r="E16" s="263">
        <v>15</v>
      </c>
      <c r="F16" s="263">
        <v>2.02</v>
      </c>
      <c r="G16" s="266">
        <f>'U11'!$E16*'U11'!$F16</f>
        <v>30.3</v>
      </c>
      <c r="H16" s="270">
        <f>'U11'!$G16/SUM('U11'!$G$5:$G$27)</f>
        <v>5.2138899404618501E-2</v>
      </c>
    </row>
    <row r="17" spans="2:16" x14ac:dyDescent="0.25">
      <c r="B17" s="267">
        <v>42752</v>
      </c>
      <c r="C17" s="262" t="s">
        <v>146</v>
      </c>
      <c r="D17" s="262" t="s">
        <v>147</v>
      </c>
      <c r="E17" s="262">
        <v>19</v>
      </c>
      <c r="F17" s="262">
        <v>1.55</v>
      </c>
      <c r="G17" s="265">
        <f>'U11'!$E17*'U11'!$F17</f>
        <v>29.45</v>
      </c>
      <c r="H17" s="269">
        <f>'U11'!$G17/SUM('U11'!$G$5:$G$27)</f>
        <v>5.0676257012079694E-2</v>
      </c>
    </row>
    <row r="18" spans="2:16" x14ac:dyDescent="0.25">
      <c r="B18" s="268">
        <v>42753</v>
      </c>
      <c r="C18" s="263" t="s">
        <v>146</v>
      </c>
      <c r="D18" s="263" t="s">
        <v>147</v>
      </c>
      <c r="E18" s="263">
        <v>24</v>
      </c>
      <c r="F18" s="263">
        <v>1.55</v>
      </c>
      <c r="G18" s="266">
        <f>'U11'!$E18*'U11'!$F18</f>
        <v>37.200000000000003</v>
      </c>
      <c r="H18" s="270">
        <f>'U11'!$G18/SUM('U11'!$G$5:$G$27)</f>
        <v>6.4012114120521726E-2</v>
      </c>
    </row>
    <row r="19" spans="2:16" x14ac:dyDescent="0.25">
      <c r="B19" s="267">
        <v>42756</v>
      </c>
      <c r="C19" s="262" t="s">
        <v>151</v>
      </c>
      <c r="D19" s="262" t="s">
        <v>150</v>
      </c>
      <c r="E19" s="262">
        <v>6</v>
      </c>
      <c r="F19" s="262">
        <v>2.02</v>
      </c>
      <c r="G19" s="265">
        <f>'U11'!$E19*'U11'!$F19</f>
        <v>12.120000000000001</v>
      </c>
      <c r="H19" s="269">
        <f>'U11'!$G19/SUM('U11'!$G$5:$G$27)</f>
        <v>2.08555597618474E-2</v>
      </c>
    </row>
    <row r="20" spans="2:16" x14ac:dyDescent="0.25">
      <c r="B20" s="268">
        <v>42757</v>
      </c>
      <c r="C20" s="263" t="s">
        <v>153</v>
      </c>
      <c r="D20" s="263" t="s">
        <v>147</v>
      </c>
      <c r="E20" s="263">
        <v>14</v>
      </c>
      <c r="F20" s="263">
        <v>1.0900000000000001</v>
      </c>
      <c r="G20" s="266">
        <f>'U11'!$E20*'U11'!$F20</f>
        <v>15.260000000000002</v>
      </c>
      <c r="H20" s="270">
        <f>'U11'!$G20/SUM('U11'!$G$5:$G$27)</f>
        <v>2.6258732835461332E-2</v>
      </c>
    </row>
    <row r="21" spans="2:16" x14ac:dyDescent="0.25">
      <c r="B21" s="267">
        <v>42758</v>
      </c>
      <c r="C21" s="262" t="s">
        <v>146</v>
      </c>
      <c r="D21" s="262" t="s">
        <v>147</v>
      </c>
      <c r="E21" s="262">
        <v>22</v>
      </c>
      <c r="F21" s="262">
        <v>1.55</v>
      </c>
      <c r="G21" s="265">
        <f>'U11'!$E21*'U11'!$F21</f>
        <v>34.1</v>
      </c>
      <c r="H21" s="269">
        <f>'U11'!$G21/SUM('U11'!$G$5:$G$27)</f>
        <v>5.8677771277144915E-2</v>
      </c>
    </row>
    <row r="22" spans="2:16" x14ac:dyDescent="0.25">
      <c r="B22" s="268">
        <v>42759</v>
      </c>
      <c r="C22" s="263" t="s">
        <v>146</v>
      </c>
      <c r="D22" s="263" t="s">
        <v>147</v>
      </c>
      <c r="E22" s="263">
        <v>11</v>
      </c>
      <c r="F22" s="263">
        <v>1.55</v>
      </c>
      <c r="G22" s="266">
        <f>'U11'!$E22*'U11'!$F22</f>
        <v>17.05</v>
      </c>
      <c r="H22" s="270">
        <f>'U11'!$G22/SUM('U11'!$G$5:$G$27)</f>
        <v>2.9338885638572457E-2</v>
      </c>
    </row>
    <row r="23" spans="2:16" x14ac:dyDescent="0.25">
      <c r="B23" s="267">
        <v>42760</v>
      </c>
      <c r="C23" s="262" t="s">
        <v>146</v>
      </c>
      <c r="D23" s="262" t="s">
        <v>147</v>
      </c>
      <c r="E23" s="262">
        <v>12</v>
      </c>
      <c r="F23" s="262">
        <v>1.55</v>
      </c>
      <c r="G23" s="265">
        <f>'U11'!$E23*'U11'!$F23</f>
        <v>18.600000000000001</v>
      </c>
      <c r="H23" s="269">
        <f>'U11'!$G23/SUM('U11'!$G$5:$G$27)</f>
        <v>3.2006057060260863E-2</v>
      </c>
    </row>
    <row r="24" spans="2:16" x14ac:dyDescent="0.25">
      <c r="B24" s="268">
        <v>42763</v>
      </c>
      <c r="C24" s="263" t="s">
        <v>146</v>
      </c>
      <c r="D24" s="263" t="s">
        <v>147</v>
      </c>
      <c r="E24" s="263">
        <v>20</v>
      </c>
      <c r="F24" s="263">
        <v>1.55</v>
      </c>
      <c r="G24" s="266">
        <f>'U11'!$E24*'U11'!$F24</f>
        <v>31</v>
      </c>
      <c r="H24" s="270">
        <f>'U11'!$G24/SUM('U11'!$G$5:$G$27)</f>
        <v>5.3343428433768103E-2</v>
      </c>
    </row>
    <row r="25" spans="2:16" x14ac:dyDescent="0.25">
      <c r="B25" s="267">
        <v>42764</v>
      </c>
      <c r="C25" s="262" t="s">
        <v>149</v>
      </c>
      <c r="D25" s="262" t="s">
        <v>150</v>
      </c>
      <c r="E25" s="262">
        <v>8</v>
      </c>
      <c r="F25" s="262">
        <v>2.12</v>
      </c>
      <c r="G25" s="265">
        <f>'U11'!$E25*'U11'!$F25</f>
        <v>16.96</v>
      </c>
      <c r="H25" s="269">
        <f>'U11'!$G25/SUM('U11'!$G$5:$G$27)</f>
        <v>2.9184017620538936E-2</v>
      </c>
      <c r="L25" s="79" t="s">
        <v>980</v>
      </c>
      <c r="M25" s="79"/>
      <c r="N25" s="79" t="s">
        <v>981</v>
      </c>
      <c r="O25" s="79"/>
      <c r="P25" s="79"/>
    </row>
    <row r="26" spans="2:16" x14ac:dyDescent="0.25">
      <c r="B26" s="268">
        <v>42765</v>
      </c>
      <c r="C26" s="263" t="s">
        <v>153</v>
      </c>
      <c r="D26" s="263" t="s">
        <v>147</v>
      </c>
      <c r="E26" s="263">
        <v>17</v>
      </c>
      <c r="F26" s="263">
        <v>1.0900000000000001</v>
      </c>
      <c r="G26" s="266">
        <f>'U11'!$E26*'U11'!$F26</f>
        <v>18.53</v>
      </c>
      <c r="H26" s="270">
        <f>'U11'!$G26/SUM('U11'!$G$5:$G$27)</f>
        <v>3.1885604157345905E-2</v>
      </c>
      <c r="K26" s="79" t="s">
        <v>982</v>
      </c>
      <c r="L26" s="264" t="s">
        <v>976</v>
      </c>
      <c r="M26" s="198"/>
      <c r="N26" s="264" t="s">
        <v>977</v>
      </c>
      <c r="O26" s="197"/>
      <c r="P26" s="198"/>
    </row>
    <row r="27" spans="2:16" x14ac:dyDescent="0.25">
      <c r="B27" s="267">
        <v>42766</v>
      </c>
      <c r="C27" s="262" t="s">
        <v>146</v>
      </c>
      <c r="D27" s="262" t="s">
        <v>147</v>
      </c>
      <c r="E27" s="262">
        <v>7</v>
      </c>
      <c r="F27" s="262">
        <v>1.55</v>
      </c>
      <c r="G27" s="265">
        <f>'U11'!$E27*'U11'!$F27</f>
        <v>10.85</v>
      </c>
      <c r="H27" s="269">
        <f>'U11'!$G27/SUM('U11'!$G$5:$G$27)</f>
        <v>1.8670199951818834E-2</v>
      </c>
      <c r="K27" s="79" t="s">
        <v>983</v>
      </c>
      <c r="L27" s="264" t="s">
        <v>978</v>
      </c>
      <c r="M27" s="198"/>
      <c r="N27" s="264" t="s">
        <v>979</v>
      </c>
      <c r="O27" s="197"/>
      <c r="P27" s="198"/>
    </row>
    <row r="28" spans="2:16" x14ac:dyDescent="0.25">
      <c r="B28" s="271" t="s">
        <v>975</v>
      </c>
      <c r="C28" s="272"/>
      <c r="D28" s="272"/>
      <c r="E28" s="322">
        <f>SUBTOTAL(103,tblpienotiekejai[Kiekis, vnt.])</f>
        <v>23</v>
      </c>
      <c r="F28" s="322">
        <f>SUBTOTAL(104,tblpienotiekejai[Kaina, Eur])</f>
        <v>2.12</v>
      </c>
      <c r="G28" s="272">
        <f>SUBTOTAL(109,tblpienotiekejai[Suma])</f>
        <v>581.1400000000001</v>
      </c>
      <c r="H28" s="273">
        <f>SUBTOTAL(109,tblpienotiekejai[Procentas])</f>
        <v>0.99999999999999978</v>
      </c>
    </row>
  </sheetData>
  <phoneticPr fontId="22"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42"/>
  <sheetViews>
    <sheetView zoomScaleNormal="100" workbookViewId="0">
      <selection activeCell="C13" sqref="C13"/>
    </sheetView>
  </sheetViews>
  <sheetFormatPr defaultRowHeight="15" x14ac:dyDescent="0.25"/>
  <cols>
    <col min="1" max="1" width="18.42578125" customWidth="1"/>
    <col min="2" max="2" width="12.5703125" customWidth="1"/>
    <col min="3" max="3" width="17.5703125" customWidth="1"/>
    <col min="4" max="4" width="11.42578125" customWidth="1"/>
    <col min="5" max="6" width="9.5703125" bestFit="1" customWidth="1"/>
    <col min="7" max="7" width="13.85546875" customWidth="1"/>
    <col min="8" max="8" width="18.5703125" customWidth="1"/>
    <col min="9" max="9" width="33.85546875" customWidth="1"/>
    <col min="10" max="10" width="20.85546875" customWidth="1"/>
  </cols>
  <sheetData>
    <row r="1" spans="1:18" ht="23.25" x14ac:dyDescent="0.35">
      <c r="A1" s="257" t="s">
        <v>865</v>
      </c>
      <c r="B1" s="1" t="s">
        <v>403</v>
      </c>
      <c r="C1" s="1"/>
      <c r="D1" s="1"/>
      <c r="E1" s="1"/>
      <c r="F1" s="1"/>
      <c r="G1" s="1"/>
      <c r="H1" s="1"/>
      <c r="I1" s="1"/>
      <c r="J1" s="1"/>
      <c r="K1" s="1"/>
      <c r="L1" s="1"/>
      <c r="M1" s="1"/>
      <c r="N1" s="1"/>
      <c r="O1" s="1"/>
      <c r="P1" s="1"/>
      <c r="Q1" s="1"/>
      <c r="R1" s="1"/>
    </row>
    <row r="3" spans="1:18" x14ac:dyDescent="0.25">
      <c r="B3" s="413" t="s">
        <v>715</v>
      </c>
      <c r="C3" s="413"/>
      <c r="D3" s="413"/>
      <c r="E3" s="413"/>
      <c r="F3" s="413"/>
      <c r="G3" s="413"/>
      <c r="H3" s="413"/>
      <c r="I3" s="413"/>
      <c r="J3" s="413"/>
      <c r="K3" s="413"/>
      <c r="L3" s="413"/>
      <c r="M3" s="413"/>
      <c r="N3" s="413"/>
      <c r="O3" s="413"/>
    </row>
    <row r="4" spans="1:18" x14ac:dyDescent="0.25">
      <c r="B4" s="413"/>
      <c r="C4" s="413"/>
      <c r="D4" s="413"/>
      <c r="E4" s="413"/>
      <c r="F4" s="413"/>
      <c r="G4" s="413"/>
      <c r="H4" s="413"/>
      <c r="I4" s="413"/>
      <c r="J4" s="413"/>
      <c r="K4" s="413"/>
      <c r="L4" s="413"/>
      <c r="M4" s="413"/>
      <c r="N4" s="413"/>
      <c r="O4" s="413"/>
    </row>
    <row r="6" spans="1:18" x14ac:dyDescent="0.25">
      <c r="B6" s="218">
        <v>6</v>
      </c>
      <c r="D6" s="212" t="str">
        <f>IF(B6&lt;5,"maziau nei 5", "daugiau nei 5")</f>
        <v>daugiau nei 5</v>
      </c>
    </row>
    <row r="8" spans="1:18" x14ac:dyDescent="0.25">
      <c r="B8" t="s">
        <v>716</v>
      </c>
    </row>
    <row r="9" spans="1:18" x14ac:dyDescent="0.25">
      <c r="C9" t="s">
        <v>717</v>
      </c>
    </row>
    <row r="10" spans="1:18" x14ac:dyDescent="0.25">
      <c r="C10" t="s">
        <v>718</v>
      </c>
      <c r="J10" s="40" t="s">
        <v>1188</v>
      </c>
    </row>
    <row r="11" spans="1:18" x14ac:dyDescent="0.25">
      <c r="C11" t="s">
        <v>719</v>
      </c>
    </row>
    <row r="12" spans="1:18" x14ac:dyDescent="0.25">
      <c r="J12" s="87" t="s">
        <v>1183</v>
      </c>
      <c r="K12" s="259" t="s">
        <v>1189</v>
      </c>
    </row>
    <row r="13" spans="1:18" x14ac:dyDescent="0.25">
      <c r="B13" s="87" t="s">
        <v>1190</v>
      </c>
      <c r="C13" s="324">
        <f>IF(AND(K12="Taip",K13&gt;=10,K14),IF(OR(K12="Taip",K13&gt;=10),K15,K16))</f>
        <v>0.05</v>
      </c>
      <c r="J13" s="87" t="s">
        <v>1184</v>
      </c>
      <c r="K13" s="259">
        <v>12</v>
      </c>
    </row>
    <row r="14" spans="1:18" x14ac:dyDescent="0.25">
      <c r="J14" s="87" t="s">
        <v>1185</v>
      </c>
      <c r="K14" s="323">
        <v>0.08</v>
      </c>
    </row>
    <row r="15" spans="1:18" x14ac:dyDescent="0.25">
      <c r="B15" t="s">
        <v>404</v>
      </c>
      <c r="J15" s="87" t="s">
        <v>1186</v>
      </c>
      <c r="K15" s="323">
        <v>0.05</v>
      </c>
    </row>
    <row r="16" spans="1:18" x14ac:dyDescent="0.25">
      <c r="J16" s="87" t="s">
        <v>1187</v>
      </c>
      <c r="K16" s="323">
        <v>0</v>
      </c>
    </row>
    <row r="17" spans="1:9" x14ac:dyDescent="0.25">
      <c r="B17" s="48" t="s">
        <v>36</v>
      </c>
      <c r="C17" s="48" t="s">
        <v>139</v>
      </c>
      <c r="D17" s="48" t="s">
        <v>140</v>
      </c>
      <c r="E17" s="48" t="s">
        <v>141</v>
      </c>
      <c r="F17" s="48" t="s">
        <v>16</v>
      </c>
      <c r="H17" s="48" t="s">
        <v>1194</v>
      </c>
    </row>
    <row r="18" spans="1:9" x14ac:dyDescent="0.25">
      <c r="B18" s="54">
        <v>42736</v>
      </c>
      <c r="C18" s="55" t="s">
        <v>147</v>
      </c>
      <c r="D18" s="56">
        <v>20</v>
      </c>
      <c r="E18" s="57">
        <v>1.55</v>
      </c>
      <c r="F18" s="57">
        <f t="shared" ref="F18:F40" si="0">D18*E18</f>
        <v>31</v>
      </c>
      <c r="H18" s="87" t="s">
        <v>147</v>
      </c>
      <c r="I18" t="s">
        <v>1199</v>
      </c>
    </row>
    <row r="19" spans="1:9" x14ac:dyDescent="0.25">
      <c r="B19" s="54">
        <v>42737</v>
      </c>
      <c r="C19" s="55" t="s">
        <v>150</v>
      </c>
      <c r="D19" s="56">
        <v>20</v>
      </c>
      <c r="E19" s="57">
        <v>2.12</v>
      </c>
      <c r="F19" s="57">
        <f t="shared" si="0"/>
        <v>42.400000000000006</v>
      </c>
      <c r="H19" s="87" t="s">
        <v>1196</v>
      </c>
    </row>
    <row r="20" spans="1:9" x14ac:dyDescent="0.25">
      <c r="A20" s="326">
        <v>42745</v>
      </c>
      <c r="B20" s="54">
        <v>42738</v>
      </c>
      <c r="C20" s="55" t="s">
        <v>150</v>
      </c>
      <c r="D20" s="56">
        <v>9</v>
      </c>
      <c r="E20" s="57">
        <v>2.02</v>
      </c>
      <c r="F20" s="57">
        <f t="shared" si="0"/>
        <v>18.18</v>
      </c>
      <c r="G20" s="87" t="s">
        <v>1191</v>
      </c>
      <c r="H20" s="212">
        <f>SUMIF(C18:C40,H18,F18:F40)</f>
        <v>346.70000000000005</v>
      </c>
      <c r="I20" t="s">
        <v>1200</v>
      </c>
    </row>
    <row r="21" spans="1:9" x14ac:dyDescent="0.25">
      <c r="B21" s="54">
        <v>42739</v>
      </c>
      <c r="C21" s="55" t="s">
        <v>147</v>
      </c>
      <c r="D21" s="56">
        <v>24</v>
      </c>
      <c r="E21" s="57">
        <v>1.55</v>
      </c>
      <c r="F21" s="57">
        <f t="shared" si="0"/>
        <v>37.200000000000003</v>
      </c>
      <c r="G21" s="87" t="s">
        <v>1192</v>
      </c>
      <c r="H21" s="325">
        <f>AVERAGEIF(C18:C40,H18,F18:F40)</f>
        <v>24.764285714285716</v>
      </c>
    </row>
    <row r="22" spans="1:9" x14ac:dyDescent="0.25">
      <c r="B22" s="54">
        <v>42742</v>
      </c>
      <c r="C22" s="55" t="s">
        <v>150</v>
      </c>
      <c r="D22" s="56">
        <v>15</v>
      </c>
      <c r="E22" s="57">
        <v>2.12</v>
      </c>
      <c r="F22" s="57">
        <f t="shared" si="0"/>
        <v>31.8</v>
      </c>
      <c r="G22" s="87" t="s">
        <v>1193</v>
      </c>
      <c r="H22" s="212">
        <f>COUNTIF(C18:C40,H18)</f>
        <v>14</v>
      </c>
    </row>
    <row r="23" spans="1:9" x14ac:dyDescent="0.25">
      <c r="B23" s="54">
        <v>42743</v>
      </c>
      <c r="C23" s="55" t="s">
        <v>150</v>
      </c>
      <c r="D23" s="56">
        <v>21</v>
      </c>
      <c r="E23" s="57">
        <v>2.12</v>
      </c>
      <c r="F23" s="57">
        <f t="shared" si="0"/>
        <v>44.52</v>
      </c>
    </row>
    <row r="24" spans="1:9" x14ac:dyDescent="0.25">
      <c r="B24" s="54">
        <v>42744</v>
      </c>
      <c r="C24" s="55" t="s">
        <v>150</v>
      </c>
      <c r="D24" s="56">
        <v>8</v>
      </c>
      <c r="E24" s="57">
        <v>2.12</v>
      </c>
      <c r="F24" s="57">
        <f t="shared" si="0"/>
        <v>16.96</v>
      </c>
      <c r="H24" s="87" t="s">
        <v>1195</v>
      </c>
    </row>
    <row r="25" spans="1:9" x14ac:dyDescent="0.25">
      <c r="B25" s="54">
        <v>42745</v>
      </c>
      <c r="C25" s="55" t="s">
        <v>150</v>
      </c>
      <c r="D25" s="56">
        <v>10</v>
      </c>
      <c r="E25" s="57">
        <v>2.12</v>
      </c>
      <c r="F25" s="57">
        <f t="shared" si="0"/>
        <v>21.200000000000003</v>
      </c>
    </row>
    <row r="26" spans="1:9" x14ac:dyDescent="0.25">
      <c r="B26" s="54">
        <v>42746</v>
      </c>
      <c r="C26" s="55" t="s">
        <v>147</v>
      </c>
      <c r="D26" s="56">
        <v>15</v>
      </c>
      <c r="E26" s="57">
        <v>1.4</v>
      </c>
      <c r="F26" s="57">
        <f t="shared" si="0"/>
        <v>21</v>
      </c>
      <c r="G26" s="87" t="s">
        <v>1191</v>
      </c>
      <c r="H26" s="212">
        <f>SUMIFS($F$18:$F$40,$C$18:$C$40,$H$18,$B$18:$B$40,"&lt;=10/01/2017")</f>
        <v>68.2</v>
      </c>
    </row>
    <row r="27" spans="1:9" x14ac:dyDescent="0.25">
      <c r="B27" s="54">
        <v>42749</v>
      </c>
      <c r="C27" s="55" t="s">
        <v>147</v>
      </c>
      <c r="D27" s="56">
        <v>9</v>
      </c>
      <c r="E27" s="57">
        <v>1.0900000000000001</v>
      </c>
      <c r="F27" s="57">
        <f t="shared" si="0"/>
        <v>9.81</v>
      </c>
      <c r="G27" s="87" t="s">
        <v>1192</v>
      </c>
      <c r="H27" s="212">
        <f>AVERAGEIFS($F$18:$F$40,$C$18:$C$40,$H$18,$B$18:$B$40,"&lt;=10/01/2017")</f>
        <v>34.1</v>
      </c>
    </row>
    <row r="28" spans="1:9" x14ac:dyDescent="0.25">
      <c r="B28" s="54">
        <v>42750</v>
      </c>
      <c r="C28" s="55" t="s">
        <v>147</v>
      </c>
      <c r="D28" s="56">
        <v>23</v>
      </c>
      <c r="E28" s="57">
        <v>1.55</v>
      </c>
      <c r="F28" s="57">
        <f t="shared" si="0"/>
        <v>35.65</v>
      </c>
      <c r="G28" s="87" t="s">
        <v>1193</v>
      </c>
      <c r="H28" s="212">
        <f>COUNTIFS($C$18:$C$40,$H$18,$B$18:$B$40,"&lt;=10/01/2017")</f>
        <v>2</v>
      </c>
    </row>
    <row r="29" spans="1:9" x14ac:dyDescent="0.25">
      <c r="B29" s="54">
        <v>42751</v>
      </c>
      <c r="C29" s="55" t="s">
        <v>150</v>
      </c>
      <c r="D29" s="56">
        <v>15</v>
      </c>
      <c r="E29" s="57">
        <v>2.02</v>
      </c>
      <c r="F29" s="57">
        <f t="shared" si="0"/>
        <v>30.3</v>
      </c>
    </row>
    <row r="30" spans="1:9" x14ac:dyDescent="0.25">
      <c r="B30" s="54">
        <v>42752</v>
      </c>
      <c r="C30" s="55" t="s">
        <v>147</v>
      </c>
      <c r="D30" s="56">
        <v>19</v>
      </c>
      <c r="E30" s="57">
        <v>1.55</v>
      </c>
      <c r="F30" s="57">
        <f t="shared" si="0"/>
        <v>29.45</v>
      </c>
    </row>
    <row r="31" spans="1:9" x14ac:dyDescent="0.25">
      <c r="B31" s="54">
        <v>42753</v>
      </c>
      <c r="C31" s="55" t="s">
        <v>147</v>
      </c>
      <c r="D31" s="56">
        <v>24</v>
      </c>
      <c r="E31" s="57">
        <v>1.55</v>
      </c>
      <c r="F31" s="57">
        <f t="shared" si="0"/>
        <v>37.200000000000003</v>
      </c>
    </row>
    <row r="32" spans="1:9" x14ac:dyDescent="0.25">
      <c r="B32" s="54">
        <v>42756</v>
      </c>
      <c r="C32" s="55" t="s">
        <v>150</v>
      </c>
      <c r="D32" s="56">
        <v>6</v>
      </c>
      <c r="E32" s="57">
        <v>2.02</v>
      </c>
      <c r="F32" s="57">
        <f t="shared" si="0"/>
        <v>12.120000000000001</v>
      </c>
    </row>
    <row r="33" spans="2:6" x14ac:dyDescent="0.25">
      <c r="B33" s="54">
        <v>42757</v>
      </c>
      <c r="C33" s="55" t="s">
        <v>147</v>
      </c>
      <c r="D33" s="56">
        <v>14</v>
      </c>
      <c r="E33" s="57">
        <v>1.0900000000000001</v>
      </c>
      <c r="F33" s="57">
        <f t="shared" si="0"/>
        <v>15.260000000000002</v>
      </c>
    </row>
    <row r="34" spans="2:6" x14ac:dyDescent="0.25">
      <c r="B34" s="54">
        <v>42758</v>
      </c>
      <c r="C34" s="55" t="s">
        <v>147</v>
      </c>
      <c r="D34" s="56">
        <v>22</v>
      </c>
      <c r="E34" s="57">
        <v>1.55</v>
      </c>
      <c r="F34" s="57">
        <f t="shared" si="0"/>
        <v>34.1</v>
      </c>
    </row>
    <row r="35" spans="2:6" x14ac:dyDescent="0.25">
      <c r="B35" s="54">
        <v>42759</v>
      </c>
      <c r="C35" s="55" t="s">
        <v>147</v>
      </c>
      <c r="D35" s="56">
        <v>11</v>
      </c>
      <c r="E35" s="57">
        <v>1.55</v>
      </c>
      <c r="F35" s="57">
        <f t="shared" si="0"/>
        <v>17.05</v>
      </c>
    </row>
    <row r="36" spans="2:6" x14ac:dyDescent="0.25">
      <c r="B36" s="54">
        <v>42760</v>
      </c>
      <c r="C36" s="55" t="s">
        <v>147</v>
      </c>
      <c r="D36" s="56">
        <v>12</v>
      </c>
      <c r="E36" s="57">
        <v>1.55</v>
      </c>
      <c r="F36" s="57">
        <f t="shared" si="0"/>
        <v>18.600000000000001</v>
      </c>
    </row>
    <row r="37" spans="2:6" x14ac:dyDescent="0.25">
      <c r="B37" s="54">
        <v>42763</v>
      </c>
      <c r="C37" s="55" t="s">
        <v>147</v>
      </c>
      <c r="D37" s="56">
        <v>20</v>
      </c>
      <c r="E37" s="57">
        <v>1.55</v>
      </c>
      <c r="F37" s="57">
        <f t="shared" si="0"/>
        <v>31</v>
      </c>
    </row>
    <row r="38" spans="2:6" x14ac:dyDescent="0.25">
      <c r="B38" s="54">
        <v>42764</v>
      </c>
      <c r="C38" s="55" t="s">
        <v>150</v>
      </c>
      <c r="D38" s="56">
        <v>8</v>
      </c>
      <c r="E38" s="57">
        <v>2.12</v>
      </c>
      <c r="F38" s="57">
        <f t="shared" si="0"/>
        <v>16.96</v>
      </c>
    </row>
    <row r="39" spans="2:6" x14ac:dyDescent="0.25">
      <c r="B39" s="54">
        <v>42765</v>
      </c>
      <c r="C39" s="55" t="s">
        <v>147</v>
      </c>
      <c r="D39" s="56">
        <v>17</v>
      </c>
      <c r="E39" s="57">
        <v>1.0900000000000001</v>
      </c>
      <c r="F39" s="57">
        <f t="shared" si="0"/>
        <v>18.53</v>
      </c>
    </row>
    <row r="40" spans="2:6" x14ac:dyDescent="0.25">
      <c r="B40" s="54">
        <v>42766</v>
      </c>
      <c r="C40" s="55" t="s">
        <v>147</v>
      </c>
      <c r="D40" s="56">
        <v>7</v>
      </c>
      <c r="E40" s="57">
        <v>1.55</v>
      </c>
      <c r="F40" s="57">
        <f t="shared" si="0"/>
        <v>10.85</v>
      </c>
    </row>
    <row r="42" spans="2:6" x14ac:dyDescent="0.25">
      <c r="B42" t="s">
        <v>720</v>
      </c>
    </row>
  </sheetData>
  <autoFilter ref="B17:F40" xr:uid="{00000000-0009-0000-0000-000008000000}"/>
  <mergeCells count="1">
    <mergeCell ref="B3:O4"/>
  </mergeCells>
  <dataValidations count="2">
    <dataValidation type="list" allowBlank="1" showInputMessage="1" showErrorMessage="1" sqref="K12" xr:uid="{C0E808DB-BEEA-4F78-A6ED-27FCE69D3C2B}">
      <formula1>"Taip, Ne"</formula1>
    </dataValidation>
    <dataValidation type="list" allowBlank="1" showInputMessage="1" showErrorMessage="1" sqref="H18" xr:uid="{4EE5FBB8-E124-4079-AC99-73703B1B9DD8}">
      <formula1>$C$18:$C$19</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285B2-BA20-4F0A-9A0D-DF04851F5C28}">
  <dimension ref="A1:T129"/>
  <sheetViews>
    <sheetView topLeftCell="A78" zoomScaleNormal="100" workbookViewId="0">
      <selection activeCell="I39" sqref="I39"/>
    </sheetView>
  </sheetViews>
  <sheetFormatPr defaultColWidth="8.85546875" defaultRowHeight="15" x14ac:dyDescent="0.25"/>
  <cols>
    <col min="1" max="1" width="18.42578125" customWidth="1"/>
    <col min="2" max="2" width="12.5703125" customWidth="1"/>
    <col min="3" max="3" width="14.85546875" customWidth="1"/>
    <col min="4" max="4" width="11.140625" customWidth="1"/>
    <col min="5" max="5" width="12" customWidth="1"/>
    <col min="6" max="6" width="14.140625" customWidth="1"/>
    <col min="7" max="13" width="11.42578125" customWidth="1"/>
    <col min="14" max="15" width="10.140625" bestFit="1" customWidth="1"/>
    <col min="19" max="19" width="9.85546875" customWidth="1"/>
  </cols>
  <sheetData>
    <row r="1" spans="1:20" ht="23.25" x14ac:dyDescent="0.35">
      <c r="A1" s="257" t="s">
        <v>818</v>
      </c>
      <c r="B1" s="1" t="s">
        <v>864</v>
      </c>
      <c r="C1" s="1"/>
      <c r="D1" s="1"/>
      <c r="E1" s="1"/>
      <c r="F1" s="1"/>
      <c r="G1" s="1"/>
      <c r="H1" s="1"/>
      <c r="I1" s="1"/>
      <c r="J1" s="1"/>
      <c r="K1" s="1"/>
      <c r="L1" s="1"/>
      <c r="M1" s="1"/>
      <c r="N1" s="1"/>
      <c r="O1" s="1"/>
      <c r="P1" s="1"/>
      <c r="Q1" s="1"/>
      <c r="R1" s="1"/>
    </row>
    <row r="3" spans="1:20" x14ac:dyDescent="0.25">
      <c r="B3" s="6" t="s">
        <v>27</v>
      </c>
      <c r="C3" s="41" t="s">
        <v>721</v>
      </c>
      <c r="K3" s="51"/>
      <c r="L3" s="51"/>
      <c r="M3" s="51"/>
      <c r="N3" s="51"/>
      <c r="O3" s="51"/>
      <c r="T3" t="s">
        <v>1212</v>
      </c>
    </row>
    <row r="4" spans="1:20" x14ac:dyDescent="0.25">
      <c r="J4" s="48" t="s">
        <v>35</v>
      </c>
      <c r="K4" s="341" t="s">
        <v>11</v>
      </c>
      <c r="L4" s="341" t="s">
        <v>10</v>
      </c>
      <c r="M4" s="341" t="s">
        <v>9</v>
      </c>
      <c r="N4" s="341" t="s">
        <v>8</v>
      </c>
      <c r="O4" s="341" t="s">
        <v>7</v>
      </c>
      <c r="P4" s="341" t="s">
        <v>6</v>
      </c>
      <c r="Q4" s="341" t="s">
        <v>5</v>
      </c>
      <c r="R4" s="341" t="s">
        <v>4</v>
      </c>
      <c r="S4" s="341" t="s">
        <v>3</v>
      </c>
      <c r="T4">
        <v>1</v>
      </c>
    </row>
    <row r="5" spans="1:20" x14ac:dyDescent="0.25">
      <c r="B5" s="48" t="s">
        <v>35</v>
      </c>
      <c r="C5" s="48" t="s">
        <v>682</v>
      </c>
      <c r="D5" s="48" t="s">
        <v>141</v>
      </c>
      <c r="F5" s="48" t="s">
        <v>1214</v>
      </c>
      <c r="G5" s="48" t="s">
        <v>11</v>
      </c>
      <c r="J5" s="48" t="s">
        <v>682</v>
      </c>
      <c r="K5" s="102">
        <v>410</v>
      </c>
      <c r="L5" s="102">
        <v>410</v>
      </c>
      <c r="M5" s="102">
        <v>165</v>
      </c>
      <c r="N5" s="102">
        <v>52</v>
      </c>
      <c r="O5" s="102">
        <v>164</v>
      </c>
      <c r="P5" s="102">
        <v>27</v>
      </c>
      <c r="Q5" s="102">
        <v>110</v>
      </c>
      <c r="R5" s="102">
        <v>25</v>
      </c>
      <c r="S5" s="102">
        <v>55</v>
      </c>
      <c r="T5" s="342">
        <v>2</v>
      </c>
    </row>
    <row r="6" spans="1:20" x14ac:dyDescent="0.25">
      <c r="B6" s="103" t="s">
        <v>11</v>
      </c>
      <c r="C6" s="102">
        <v>410</v>
      </c>
      <c r="D6" s="102">
        <v>0.9</v>
      </c>
      <c r="G6" s="64" t="s">
        <v>1197</v>
      </c>
      <c r="H6" s="64" t="s">
        <v>1198</v>
      </c>
      <c r="J6" s="48" t="s">
        <v>141</v>
      </c>
      <c r="K6" s="102">
        <v>0.9</v>
      </c>
      <c r="L6" s="102">
        <v>1.2</v>
      </c>
      <c r="M6" s="102">
        <v>1.5</v>
      </c>
      <c r="N6" s="102">
        <v>1.99</v>
      </c>
      <c r="O6" s="102">
        <v>0.99</v>
      </c>
      <c r="P6" s="102">
        <v>1.55</v>
      </c>
      <c r="Q6" s="102">
        <v>1.8</v>
      </c>
      <c r="R6" s="102">
        <v>2.5</v>
      </c>
      <c r="S6" s="102">
        <v>3.5</v>
      </c>
      <c r="T6" s="342">
        <v>3</v>
      </c>
    </row>
    <row r="7" spans="1:20" x14ac:dyDescent="0.25">
      <c r="B7" s="103" t="s">
        <v>10</v>
      </c>
      <c r="C7" s="102">
        <v>410</v>
      </c>
      <c r="D7" s="102">
        <v>1.2</v>
      </c>
      <c r="G7" s="87">
        <f>VLOOKUP(G5,B6:D15,2,0)</f>
        <v>410</v>
      </c>
      <c r="H7" s="87">
        <f>VLOOKUP(G5,B5:D14,3)</f>
        <v>0.9</v>
      </c>
    </row>
    <row r="8" spans="1:20" x14ac:dyDescent="0.25">
      <c r="B8" s="103" t="s">
        <v>9</v>
      </c>
      <c r="C8" s="102">
        <v>165</v>
      </c>
      <c r="D8" s="102">
        <v>1.5</v>
      </c>
    </row>
    <row r="9" spans="1:20" x14ac:dyDescent="0.25">
      <c r="B9" s="103" t="s">
        <v>8</v>
      </c>
      <c r="C9" s="102">
        <v>52</v>
      </c>
      <c r="D9" s="102">
        <v>1.99</v>
      </c>
      <c r="F9" s="64" t="s">
        <v>1213</v>
      </c>
      <c r="G9" s="64" t="s">
        <v>1197</v>
      </c>
      <c r="H9" s="64" t="s">
        <v>1198</v>
      </c>
    </row>
    <row r="10" spans="1:20" x14ac:dyDescent="0.25">
      <c r="B10" s="103" t="s">
        <v>7</v>
      </c>
      <c r="C10" s="102">
        <v>164</v>
      </c>
      <c r="D10" s="102">
        <v>0.99</v>
      </c>
      <c r="F10" s="64" t="s">
        <v>1211</v>
      </c>
      <c r="G10" s="87">
        <f>HLOOKUP(G5,K4:S6,2,FALSE)</f>
        <v>410</v>
      </c>
      <c r="H10" s="87">
        <f>HLOOKUP(G5,K4:S6,3,FALSE)</f>
        <v>0.9</v>
      </c>
    </row>
    <row r="11" spans="1:20" x14ac:dyDescent="0.25">
      <c r="B11" s="103" t="s">
        <v>6</v>
      </c>
      <c r="C11" s="102">
        <v>27</v>
      </c>
      <c r="D11" s="102">
        <v>1.55</v>
      </c>
    </row>
    <row r="12" spans="1:20" x14ac:dyDescent="0.25">
      <c r="B12" s="103" t="s">
        <v>5</v>
      </c>
      <c r="C12" s="102">
        <v>110</v>
      </c>
      <c r="D12" s="102">
        <v>1.8</v>
      </c>
    </row>
    <row r="13" spans="1:20" x14ac:dyDescent="0.25">
      <c r="B13" s="103" t="s">
        <v>4</v>
      </c>
      <c r="C13" s="102">
        <v>25</v>
      </c>
      <c r="D13" s="102">
        <v>2.5</v>
      </c>
    </row>
    <row r="14" spans="1:20" x14ac:dyDescent="0.25">
      <c r="B14" s="103" t="s">
        <v>3</v>
      </c>
      <c r="C14" s="102">
        <v>55</v>
      </c>
      <c r="D14" s="102">
        <v>3.5</v>
      </c>
    </row>
    <row r="16" spans="1:20" x14ac:dyDescent="0.25">
      <c r="B16" s="6" t="s">
        <v>26</v>
      </c>
      <c r="C16" s="41" t="s">
        <v>722</v>
      </c>
    </row>
    <row r="18" spans="2:10" x14ac:dyDescent="0.25">
      <c r="B18" s="48" t="s">
        <v>16</v>
      </c>
      <c r="C18" s="48" t="s">
        <v>407</v>
      </c>
      <c r="J18" s="42"/>
    </row>
    <row r="19" spans="2:10" x14ac:dyDescent="0.25">
      <c r="B19" s="343">
        <v>0</v>
      </c>
      <c r="C19" s="101">
        <v>0</v>
      </c>
      <c r="J19" s="42"/>
    </row>
    <row r="20" spans="2:10" x14ac:dyDescent="0.25">
      <c r="B20" s="343">
        <v>10</v>
      </c>
      <c r="C20" s="101">
        <v>0.05</v>
      </c>
      <c r="J20" s="42"/>
    </row>
    <row r="21" spans="2:10" x14ac:dyDescent="0.25">
      <c r="B21" s="343">
        <v>20</v>
      </c>
      <c r="C21" s="101">
        <v>0.08</v>
      </c>
      <c r="J21" s="42"/>
    </row>
    <row r="22" spans="2:10" x14ac:dyDescent="0.25">
      <c r="B22" s="343">
        <v>50</v>
      </c>
      <c r="C22" s="101">
        <v>0.1</v>
      </c>
    </row>
    <row r="24" spans="2:10" x14ac:dyDescent="0.25">
      <c r="B24" s="48" t="s">
        <v>35</v>
      </c>
      <c r="C24" s="48" t="s">
        <v>141</v>
      </c>
      <c r="D24" s="48" t="s">
        <v>682</v>
      </c>
      <c r="E24" s="48" t="s">
        <v>16</v>
      </c>
    </row>
    <row r="25" spans="2:10" x14ac:dyDescent="0.25">
      <c r="B25" s="98" t="s">
        <v>11</v>
      </c>
      <c r="C25" s="97">
        <v>0.9</v>
      </c>
      <c r="D25" s="96">
        <v>0.5</v>
      </c>
      <c r="E25" s="97">
        <f>+D25*C25</f>
        <v>0.45</v>
      </c>
    </row>
    <row r="26" spans="2:10" x14ac:dyDescent="0.25">
      <c r="B26" s="98" t="s">
        <v>409</v>
      </c>
      <c r="C26" s="97">
        <v>1.99</v>
      </c>
      <c r="D26" s="96">
        <v>0.5</v>
      </c>
      <c r="E26" s="97">
        <f t="shared" ref="E26:E28" si="0">+D26*C26</f>
        <v>0.995</v>
      </c>
    </row>
    <row r="27" spans="2:10" x14ac:dyDescent="0.25">
      <c r="B27" s="98" t="s">
        <v>5</v>
      </c>
      <c r="C27" s="97">
        <v>1.8</v>
      </c>
      <c r="D27" s="96">
        <v>2</v>
      </c>
      <c r="E27" s="97">
        <f t="shared" si="0"/>
        <v>3.6</v>
      </c>
    </row>
    <row r="28" spans="2:10" ht="15.75" thickBot="1" x14ac:dyDescent="0.3">
      <c r="B28" s="100" t="s">
        <v>3</v>
      </c>
      <c r="C28" s="92">
        <v>3.5</v>
      </c>
      <c r="D28" s="99">
        <v>15</v>
      </c>
      <c r="E28" s="92">
        <f t="shared" si="0"/>
        <v>52.5</v>
      </c>
    </row>
    <row r="29" spans="2:10" ht="15.75" thickTop="1" x14ac:dyDescent="0.25">
      <c r="B29" s="91" t="s">
        <v>408</v>
      </c>
      <c r="C29" s="89"/>
      <c r="D29" s="90">
        <f>SUM(D25:D28)</f>
        <v>18</v>
      </c>
      <c r="E29" s="89">
        <f>SUM(E25:E28)</f>
        <v>57.545000000000002</v>
      </c>
    </row>
    <row r="30" spans="2:10" x14ac:dyDescent="0.25">
      <c r="B30" s="98" t="s">
        <v>407</v>
      </c>
      <c r="C30" s="97"/>
      <c r="D30" s="96"/>
      <c r="E30" s="346">
        <f>VLOOKUP(E29,B18:C22,2,TRUE)</f>
        <v>0.1</v>
      </c>
      <c r="F30" t="s">
        <v>1215</v>
      </c>
    </row>
    <row r="31" spans="2:10" ht="15.75" thickBot="1" x14ac:dyDescent="0.3">
      <c r="B31" s="95" t="s">
        <v>406</v>
      </c>
      <c r="C31" s="94"/>
      <c r="D31" s="93"/>
      <c r="E31" s="344">
        <f>+E30*E29</f>
        <v>5.7545000000000002</v>
      </c>
    </row>
    <row r="32" spans="2:10" ht="15.75" thickTop="1" x14ac:dyDescent="0.25">
      <c r="B32" s="91" t="s">
        <v>405</v>
      </c>
      <c r="C32" s="89"/>
      <c r="D32" s="90"/>
      <c r="E32" s="89">
        <f>+E29-E31</f>
        <v>51.790500000000002</v>
      </c>
    </row>
    <row r="35" spans="2:12" x14ac:dyDescent="0.25">
      <c r="B35" s="413" t="s">
        <v>923</v>
      </c>
      <c r="C35" s="413"/>
      <c r="D35" s="413"/>
      <c r="E35" s="413"/>
      <c r="F35" s="413"/>
      <c r="G35" s="413"/>
      <c r="H35" s="413"/>
      <c r="I35" s="413"/>
      <c r="J35" s="413"/>
      <c r="K35" s="413"/>
      <c r="L35" s="413"/>
    </row>
    <row r="36" spans="2:12" x14ac:dyDescent="0.25">
      <c r="B36" s="413"/>
      <c r="C36" s="413"/>
      <c r="D36" s="413"/>
      <c r="E36" s="413"/>
      <c r="F36" s="413"/>
      <c r="G36" s="413"/>
      <c r="H36" s="413"/>
      <c r="I36" s="413"/>
      <c r="J36" s="413"/>
      <c r="K36" s="413"/>
      <c r="L36" s="413"/>
    </row>
    <row r="37" spans="2:12" x14ac:dyDescent="0.25">
      <c r="B37" s="164"/>
      <c r="C37" s="164"/>
      <c r="D37" s="164"/>
      <c r="E37" s="164"/>
      <c r="F37" s="164"/>
      <c r="G37" s="164"/>
      <c r="H37" s="164"/>
      <c r="I37" s="164"/>
      <c r="J37" s="164"/>
      <c r="K37" s="164"/>
      <c r="L37" s="164"/>
    </row>
    <row r="38" spans="2:12" x14ac:dyDescent="0.25">
      <c r="C38" s="191"/>
      <c r="D38" s="415" t="s">
        <v>832</v>
      </c>
      <c r="E38" s="416"/>
      <c r="F38" s="416"/>
      <c r="G38" s="417"/>
    </row>
    <row r="39" spans="2:12" x14ac:dyDescent="0.25">
      <c r="C39" s="192"/>
      <c r="D39" s="220">
        <v>43466</v>
      </c>
      <c r="E39" s="220">
        <v>43556</v>
      </c>
      <c r="F39" s="220">
        <v>43647</v>
      </c>
      <c r="G39" s="220">
        <v>43739</v>
      </c>
      <c r="I39" s="340">
        <f>INDEX(C39:G43,3,3)</f>
        <v>0.1</v>
      </c>
      <c r="K39" t="s">
        <v>1210</v>
      </c>
    </row>
    <row r="40" spans="2:12" x14ac:dyDescent="0.25">
      <c r="C40" s="187" t="s">
        <v>10</v>
      </c>
      <c r="D40" s="193">
        <v>0.25</v>
      </c>
      <c r="E40" s="193">
        <v>0.12</v>
      </c>
      <c r="F40" s="193">
        <v>0.05</v>
      </c>
      <c r="G40" s="193">
        <v>0.15</v>
      </c>
    </row>
    <row r="41" spans="2:12" x14ac:dyDescent="0.25">
      <c r="C41" s="187" t="s">
        <v>9</v>
      </c>
      <c r="D41" s="193">
        <v>0.18</v>
      </c>
      <c r="E41" s="193">
        <v>0.1</v>
      </c>
      <c r="F41" s="193">
        <v>0.03</v>
      </c>
      <c r="G41" s="193">
        <v>0.12</v>
      </c>
    </row>
    <row r="42" spans="2:12" x14ac:dyDescent="0.25">
      <c r="C42" s="73" t="s">
        <v>11</v>
      </c>
      <c r="D42" s="193">
        <v>0.12</v>
      </c>
      <c r="E42" s="193">
        <v>0.08</v>
      </c>
      <c r="F42" s="193">
        <v>0.02</v>
      </c>
      <c r="G42" s="193">
        <v>0.1</v>
      </c>
    </row>
    <row r="43" spans="2:12" x14ac:dyDescent="0.25">
      <c r="C43" s="73" t="s">
        <v>8</v>
      </c>
      <c r="D43" s="193">
        <v>0.35</v>
      </c>
      <c r="E43" s="193">
        <v>0.2</v>
      </c>
      <c r="F43" s="193">
        <v>7.0000000000000007E-2</v>
      </c>
      <c r="G43" s="193">
        <v>0.3</v>
      </c>
    </row>
    <row r="46" spans="2:12" x14ac:dyDescent="0.25">
      <c r="C46" s="191"/>
      <c r="D46" s="418" t="s">
        <v>833</v>
      </c>
      <c r="E46" s="418" t="s">
        <v>834</v>
      </c>
    </row>
    <row r="47" spans="2:12" x14ac:dyDescent="0.25">
      <c r="C47" s="183"/>
      <c r="D47" s="419"/>
      <c r="E47" s="419"/>
    </row>
    <row r="48" spans="2:12" x14ac:dyDescent="0.25">
      <c r="C48" s="183"/>
      <c r="D48" s="377"/>
      <c r="E48" s="194">
        <v>43692</v>
      </c>
    </row>
    <row r="49" spans="2:15" x14ac:dyDescent="0.25">
      <c r="C49" s="73" t="s">
        <v>11</v>
      </c>
      <c r="D49" s="130">
        <v>0.9</v>
      </c>
      <c r="E49" s="274">
        <f>(INDEX($C$39:$G$43,MATCH(C49,$C$39:$C$43,0),MATCH($E$48,$C$39:$G$39,1))*D49)+D49</f>
        <v>0.91800000000000004</v>
      </c>
    </row>
    <row r="50" spans="2:15" x14ac:dyDescent="0.25">
      <c r="C50" s="73" t="s">
        <v>10</v>
      </c>
      <c r="D50" s="130">
        <v>1.2</v>
      </c>
      <c r="E50" s="274">
        <f t="shared" ref="E50:E52" si="1">(INDEX($C$39:$G$43,MATCH(C50,$C$39:$C$43,0),MATCH($E$48,$C$39:$G$39,1))*D50)+D50</f>
        <v>1.26</v>
      </c>
    </row>
    <row r="51" spans="2:15" x14ac:dyDescent="0.25">
      <c r="C51" s="73" t="s">
        <v>9</v>
      </c>
      <c r="D51" s="130">
        <v>1.5</v>
      </c>
      <c r="E51" s="274">
        <f t="shared" si="1"/>
        <v>1.5449999999999999</v>
      </c>
    </row>
    <row r="52" spans="2:15" x14ac:dyDescent="0.25">
      <c r="C52" s="73" t="s">
        <v>8</v>
      </c>
      <c r="D52" s="130">
        <v>1.99</v>
      </c>
      <c r="E52" s="274">
        <f t="shared" si="1"/>
        <v>2.1293000000000002</v>
      </c>
    </row>
    <row r="55" spans="2:15" x14ac:dyDescent="0.25">
      <c r="C55" s="51" t="s">
        <v>920</v>
      </c>
      <c r="D55" s="51"/>
      <c r="E55" s="51"/>
      <c r="F55" s="51"/>
      <c r="G55" s="51"/>
      <c r="H55" s="51"/>
      <c r="I55" s="51"/>
      <c r="J55" s="51"/>
      <c r="K55" s="51"/>
    </row>
    <row r="56" spans="2:15" x14ac:dyDescent="0.25">
      <c r="C56" s="51"/>
      <c r="D56" s="51"/>
      <c r="E56" s="51" t="s">
        <v>830</v>
      </c>
      <c r="F56" s="51"/>
      <c r="G56" s="51"/>
      <c r="H56" s="51"/>
      <c r="I56" s="51"/>
      <c r="J56" s="51"/>
      <c r="K56" s="51"/>
    </row>
    <row r="57" spans="2:15" x14ac:dyDescent="0.25">
      <c r="C57" s="51"/>
      <c r="D57" s="51"/>
      <c r="E57" s="190" t="s">
        <v>831</v>
      </c>
      <c r="F57" s="51"/>
      <c r="G57" s="51"/>
      <c r="H57" s="51"/>
      <c r="I57" s="51"/>
      <c r="J57" s="51"/>
      <c r="K57" s="51"/>
    </row>
    <row r="59" spans="2:15" x14ac:dyDescent="0.25">
      <c r="B59" s="413" t="s">
        <v>924</v>
      </c>
      <c r="C59" s="413"/>
      <c r="D59" s="413"/>
      <c r="E59" s="413"/>
      <c r="F59" s="413"/>
      <c r="G59" s="413"/>
      <c r="H59" s="413"/>
      <c r="I59" s="413"/>
      <c r="J59" s="413"/>
      <c r="K59" s="413"/>
      <c r="L59" s="413"/>
    </row>
    <row r="60" spans="2:15" x14ac:dyDescent="0.25">
      <c r="B60" s="413"/>
      <c r="C60" s="413"/>
      <c r="D60" s="413"/>
      <c r="E60" s="413"/>
      <c r="F60" s="413"/>
      <c r="G60" s="413"/>
      <c r="H60" s="413"/>
      <c r="I60" s="413"/>
      <c r="J60" s="413"/>
      <c r="K60" s="413"/>
      <c r="L60" s="413"/>
    </row>
    <row r="62" spans="2:15" ht="18.75" x14ac:dyDescent="0.3">
      <c r="C62" s="195" t="s">
        <v>835</v>
      </c>
    </row>
    <row r="63" spans="2:15" ht="14.45" customHeight="1" x14ac:dyDescent="0.25">
      <c r="C63" s="220" t="s">
        <v>836</v>
      </c>
      <c r="D63" s="220" t="s">
        <v>18</v>
      </c>
      <c r="E63" s="220" t="s">
        <v>837</v>
      </c>
      <c r="F63" s="414" t="s">
        <v>838</v>
      </c>
      <c r="G63" s="414"/>
      <c r="H63" s="414"/>
      <c r="I63" s="414"/>
      <c r="J63" s="414"/>
      <c r="K63" s="414"/>
      <c r="L63" s="414"/>
      <c r="M63" s="414"/>
    </row>
    <row r="64" spans="2:15" x14ac:dyDescent="0.25">
      <c r="C64" s="196"/>
      <c r="D64" s="197"/>
      <c r="E64" s="198"/>
      <c r="F64" s="220">
        <v>43466</v>
      </c>
      <c r="G64" s="220">
        <v>43511</v>
      </c>
      <c r="H64" s="220">
        <v>43556</v>
      </c>
      <c r="I64" s="220">
        <v>43601</v>
      </c>
      <c r="J64" s="220">
        <v>43646</v>
      </c>
      <c r="K64" s="220">
        <v>43691</v>
      </c>
      <c r="L64" s="220">
        <v>43736</v>
      </c>
      <c r="M64" s="220">
        <f>+L64+45</f>
        <v>43781</v>
      </c>
      <c r="N64" s="42"/>
      <c r="O64" s="42"/>
    </row>
    <row r="65" spans="3:19" x14ac:dyDescent="0.25">
      <c r="C65" s="73">
        <v>10</v>
      </c>
      <c r="D65" s="73" t="s">
        <v>839</v>
      </c>
      <c r="E65" s="73" t="s">
        <v>840</v>
      </c>
      <c r="F65" s="130">
        <v>2</v>
      </c>
      <c r="G65" s="130">
        <v>2.2000000000000002</v>
      </c>
      <c r="H65" s="130">
        <v>2.1</v>
      </c>
      <c r="I65" s="130">
        <v>1.9</v>
      </c>
      <c r="J65" s="130">
        <v>1.9</v>
      </c>
      <c r="K65" s="130">
        <v>2</v>
      </c>
      <c r="L65" s="130">
        <v>2</v>
      </c>
      <c r="M65" s="130">
        <v>2.2999999999999998</v>
      </c>
    </row>
    <row r="66" spans="3:19" x14ac:dyDescent="0.25">
      <c r="C66" s="73">
        <v>11</v>
      </c>
      <c r="D66" s="73" t="s">
        <v>839</v>
      </c>
      <c r="E66" s="73" t="s">
        <v>841</v>
      </c>
      <c r="F66" s="130">
        <v>3</v>
      </c>
      <c r="G66" s="130">
        <v>3.3</v>
      </c>
      <c r="H66" s="130">
        <v>3.15</v>
      </c>
      <c r="I66" s="130">
        <v>2.85</v>
      </c>
      <c r="J66" s="130">
        <v>2.9</v>
      </c>
      <c r="K66" s="130">
        <v>3</v>
      </c>
      <c r="L66" s="130">
        <v>3.2</v>
      </c>
      <c r="M66" s="130">
        <v>3.45</v>
      </c>
    </row>
    <row r="67" spans="3:19" x14ac:dyDescent="0.25">
      <c r="C67" s="73">
        <v>12</v>
      </c>
      <c r="D67" s="73" t="s">
        <v>842</v>
      </c>
      <c r="E67" s="73" t="s">
        <v>840</v>
      </c>
      <c r="F67" s="130">
        <v>4</v>
      </c>
      <c r="G67" s="130">
        <v>4.62</v>
      </c>
      <c r="H67" s="130">
        <v>4.41</v>
      </c>
      <c r="I67" s="130">
        <v>3.99</v>
      </c>
      <c r="J67" s="130">
        <v>4.0999999999999996</v>
      </c>
      <c r="K67" s="130">
        <v>4.2</v>
      </c>
      <c r="L67" s="130">
        <v>4.3499999999999996</v>
      </c>
      <c r="M67" s="130">
        <v>4.83</v>
      </c>
    </row>
    <row r="68" spans="3:19" x14ac:dyDescent="0.25">
      <c r="C68" s="73">
        <v>13</v>
      </c>
      <c r="D68" s="73" t="s">
        <v>842</v>
      </c>
      <c r="E68" s="73" t="s">
        <v>841</v>
      </c>
      <c r="F68" s="130">
        <v>5</v>
      </c>
      <c r="G68" s="130">
        <v>6.16</v>
      </c>
      <c r="H68" s="130">
        <v>5.88</v>
      </c>
      <c r="I68" s="130">
        <v>5.32</v>
      </c>
      <c r="J68" s="130">
        <v>5.55</v>
      </c>
      <c r="K68" s="130">
        <v>5.6</v>
      </c>
      <c r="L68" s="130">
        <v>5.55</v>
      </c>
      <c r="M68" s="130">
        <v>6.44</v>
      </c>
    </row>
    <row r="69" spans="3:19" x14ac:dyDescent="0.25">
      <c r="C69" s="73">
        <v>14</v>
      </c>
      <c r="D69" s="73" t="s">
        <v>843</v>
      </c>
      <c r="E69" s="73" t="s">
        <v>840</v>
      </c>
      <c r="F69" s="130">
        <v>1</v>
      </c>
      <c r="G69" s="130">
        <v>1.32</v>
      </c>
      <c r="H69" s="130">
        <v>1.26</v>
      </c>
      <c r="I69" s="130">
        <v>1.1399999999999999</v>
      </c>
      <c r="J69" s="130">
        <v>1.1000000000000001</v>
      </c>
      <c r="K69" s="130">
        <v>1.2</v>
      </c>
      <c r="L69" s="130">
        <v>1.25</v>
      </c>
      <c r="M69" s="130">
        <v>1.38</v>
      </c>
    </row>
    <row r="70" spans="3:19" x14ac:dyDescent="0.25">
      <c r="C70" s="73">
        <v>15</v>
      </c>
      <c r="D70" s="73" t="s">
        <v>843</v>
      </c>
      <c r="E70" s="73" t="s">
        <v>841</v>
      </c>
      <c r="F70" s="130">
        <v>1.5</v>
      </c>
      <c r="G70" s="130">
        <v>2.86</v>
      </c>
      <c r="H70" s="130">
        <v>2.73</v>
      </c>
      <c r="I70" s="130">
        <v>2.4700000000000002</v>
      </c>
      <c r="J70" s="130">
        <v>2.5</v>
      </c>
      <c r="K70" s="130">
        <v>2.6</v>
      </c>
      <c r="L70" s="130">
        <v>2.8</v>
      </c>
      <c r="M70" s="130">
        <v>2.99</v>
      </c>
    </row>
    <row r="71" spans="3:19" x14ac:dyDescent="0.25">
      <c r="C71" s="73">
        <v>20</v>
      </c>
      <c r="D71" s="73" t="s">
        <v>844</v>
      </c>
      <c r="E71" s="73" t="s">
        <v>840</v>
      </c>
      <c r="F71" s="130">
        <v>10</v>
      </c>
      <c r="G71" s="130">
        <v>11.66</v>
      </c>
      <c r="H71" s="130">
        <v>11.13</v>
      </c>
      <c r="I71" s="130">
        <v>10.07</v>
      </c>
      <c r="J71" s="130">
        <v>10.199999999999999</v>
      </c>
      <c r="K71" s="130">
        <v>10.6</v>
      </c>
      <c r="L71" s="130">
        <v>11</v>
      </c>
      <c r="M71" s="130">
        <v>12.19</v>
      </c>
    </row>
    <row r="72" spans="3:19" x14ac:dyDescent="0.25">
      <c r="C72" s="73">
        <v>21</v>
      </c>
      <c r="D72" s="73" t="s">
        <v>844</v>
      </c>
      <c r="E72" s="73" t="s">
        <v>841</v>
      </c>
      <c r="F72" s="130">
        <v>6</v>
      </c>
      <c r="G72" s="130">
        <v>7.26</v>
      </c>
      <c r="H72" s="130">
        <v>6.93</v>
      </c>
      <c r="I72" s="130">
        <v>6.27</v>
      </c>
      <c r="J72" s="130">
        <v>6.27</v>
      </c>
      <c r="K72" s="130">
        <v>6.6</v>
      </c>
      <c r="L72" s="130">
        <v>6.5</v>
      </c>
      <c r="M72" s="130">
        <v>7.59</v>
      </c>
    </row>
    <row r="73" spans="3:19" x14ac:dyDescent="0.25">
      <c r="C73" s="73">
        <v>22</v>
      </c>
      <c r="D73" s="73" t="s">
        <v>845</v>
      </c>
      <c r="E73" s="73" t="s">
        <v>846</v>
      </c>
      <c r="F73" s="130">
        <v>12</v>
      </c>
      <c r="G73" s="130">
        <v>12.1</v>
      </c>
      <c r="H73" s="130">
        <v>11.55</v>
      </c>
      <c r="I73" s="130">
        <v>10.45</v>
      </c>
      <c r="J73" s="130">
        <v>10.45</v>
      </c>
      <c r="K73" s="130">
        <v>11</v>
      </c>
      <c r="L73" s="130">
        <v>11.5</v>
      </c>
      <c r="M73" s="130">
        <v>12.65</v>
      </c>
    </row>
    <row r="74" spans="3:19" x14ac:dyDescent="0.25">
      <c r="C74" s="73">
        <v>23</v>
      </c>
      <c r="D74" s="73" t="s">
        <v>845</v>
      </c>
      <c r="E74" s="73" t="s">
        <v>847</v>
      </c>
      <c r="F74" s="130">
        <v>15</v>
      </c>
      <c r="G74" s="130">
        <v>16.5</v>
      </c>
      <c r="H74" s="130">
        <v>15.75</v>
      </c>
      <c r="I74" s="130">
        <v>14.25</v>
      </c>
      <c r="J74" s="130">
        <v>14.25</v>
      </c>
      <c r="K74" s="130">
        <v>15</v>
      </c>
      <c r="L74" s="130">
        <v>15</v>
      </c>
      <c r="M74" s="130">
        <v>17.25</v>
      </c>
    </row>
    <row r="75" spans="3:19" x14ac:dyDescent="0.25">
      <c r="C75" s="73">
        <v>24</v>
      </c>
      <c r="D75" s="73" t="s">
        <v>848</v>
      </c>
      <c r="E75" s="73" t="s">
        <v>848</v>
      </c>
      <c r="F75" s="130">
        <v>0</v>
      </c>
      <c r="G75" s="130">
        <v>0</v>
      </c>
      <c r="H75" s="130">
        <v>0</v>
      </c>
      <c r="I75" s="130">
        <v>0</v>
      </c>
      <c r="J75" s="130">
        <v>0</v>
      </c>
      <c r="K75" s="130">
        <v>0</v>
      </c>
      <c r="L75" s="130">
        <v>0</v>
      </c>
      <c r="M75" s="130">
        <v>0</v>
      </c>
    </row>
    <row r="78" spans="3:19" ht="18.75" x14ac:dyDescent="0.3">
      <c r="C78" s="195" t="s">
        <v>849</v>
      </c>
    </row>
    <row r="79" spans="3:19" ht="18.75" x14ac:dyDescent="0.3">
      <c r="C79" s="195"/>
    </row>
    <row r="80" spans="3:19" ht="47.25" x14ac:dyDescent="0.25">
      <c r="C80" s="165" t="s">
        <v>850</v>
      </c>
      <c r="D80" s="188" t="s">
        <v>18</v>
      </c>
      <c r="E80" s="188" t="s">
        <v>837</v>
      </c>
      <c r="F80" s="165" t="s">
        <v>851</v>
      </c>
      <c r="G80" s="165" t="s">
        <v>18</v>
      </c>
      <c r="H80" s="165" t="s">
        <v>852</v>
      </c>
      <c r="I80" s="165" t="s">
        <v>853</v>
      </c>
      <c r="J80" s="165" t="s">
        <v>854</v>
      </c>
      <c r="K80" s="165" t="s">
        <v>855</v>
      </c>
      <c r="L80" s="165" t="s">
        <v>856</v>
      </c>
      <c r="M80" s="165" t="s">
        <v>857</v>
      </c>
      <c r="N80" s="165" t="s">
        <v>858</v>
      </c>
      <c r="O80" s="165" t="s">
        <v>859</v>
      </c>
      <c r="P80" s="165" t="s">
        <v>860</v>
      </c>
      <c r="Q80" s="165" t="s">
        <v>861</v>
      </c>
      <c r="R80" s="165" t="s">
        <v>862</v>
      </c>
      <c r="S80" s="165" t="s">
        <v>863</v>
      </c>
    </row>
    <row r="81" spans="3:19" x14ac:dyDescent="0.25">
      <c r="C81" s="73">
        <v>14</v>
      </c>
      <c r="D81" s="73" t="str">
        <f>+VLOOKUP($C81,$C$65:$E$75,2,FALSE)</f>
        <v>Plastikas</v>
      </c>
      <c r="E81" s="73" t="str">
        <f>+VLOOKUP($C81,$C$65:$E$75,3,FALSE)</f>
        <v>Plonas</v>
      </c>
      <c r="F81" s="73">
        <v>24</v>
      </c>
      <c r="G81" s="73" t="str">
        <f>+VLOOKUP($F81,$C$65:$E$75,2,FALSE)</f>
        <v>Nėra</v>
      </c>
      <c r="H81" s="73" t="str">
        <f>+VLOOKUP($F81,$C$65:$E$75,3,FALSE)</f>
        <v>Nėra</v>
      </c>
      <c r="I81" s="199">
        <v>43466</v>
      </c>
      <c r="J81" s="130">
        <v>1.1000000000000001</v>
      </c>
      <c r="K81" s="130">
        <v>1.1100000000000001</v>
      </c>
      <c r="L81" s="73">
        <v>3</v>
      </c>
      <c r="M81" s="130">
        <f>((J81+K81)*2)*L81</f>
        <v>13.26</v>
      </c>
      <c r="N81" s="130">
        <f>INDEX($C$64:$M$75,MATCH(C81,$C$64:$C$75,0),MATCH(I81,$C$64:$M$64,1))</f>
        <v>1</v>
      </c>
      <c r="O81" s="73">
        <f>M81*N81</f>
        <v>13.26</v>
      </c>
      <c r="P81" s="73">
        <f>(J81*K81)*L81</f>
        <v>3.6630000000000011</v>
      </c>
      <c r="Q81" s="130">
        <f>INDEX($C$64:$M$75,MATCH(F81,$C$64:$C$75,0),MATCH(I81,$C$64:$M$64,1))</f>
        <v>0</v>
      </c>
      <c r="R81" s="130">
        <f>P81*Q81</f>
        <v>0</v>
      </c>
      <c r="S81" s="130">
        <f>O81+R81</f>
        <v>13.26</v>
      </c>
    </row>
    <row r="82" spans="3:19" x14ac:dyDescent="0.25">
      <c r="C82" s="73">
        <v>13</v>
      </c>
      <c r="D82" s="73" t="str">
        <f t="shared" ref="D82:D128" si="2">+VLOOKUP($C82,$C$65:$E$75,2,FALSE)</f>
        <v>Metalas</v>
      </c>
      <c r="E82" s="73" t="str">
        <f t="shared" ref="E82:E128" si="3">+VLOOKUP($C82,$C$65:$E$75,3,FALSE)</f>
        <v>Pastorintas</v>
      </c>
      <c r="F82" s="73">
        <v>20</v>
      </c>
      <c r="G82" s="73" t="str">
        <f>+VLOOKUP($F82,$C$65:$E$75,2,FALSE)</f>
        <v>Stiklas</v>
      </c>
      <c r="H82" s="73" t="str">
        <f>+VLOOKUP($F82,$C$65:$E$75,3,FALSE)</f>
        <v>Plonas</v>
      </c>
      <c r="I82" s="199">
        <v>43475</v>
      </c>
      <c r="J82" s="130">
        <v>0.62</v>
      </c>
      <c r="K82" s="130">
        <v>0.66</v>
      </c>
      <c r="L82" s="73">
        <v>1</v>
      </c>
      <c r="M82" s="130">
        <f t="shared" ref="M82:M128" si="4">((J82+K82)*2)*L82</f>
        <v>2.56</v>
      </c>
      <c r="N82" s="130">
        <f t="shared" ref="N82:N128" si="5">INDEX($C$64:$M$75,MATCH(C82,$C$64:$C$75,0),MATCH(I82,$C$64:$M$64,1))</f>
        <v>5</v>
      </c>
      <c r="O82" s="73">
        <f t="shared" ref="O82:O128" si="6">M82*N82</f>
        <v>12.8</v>
      </c>
      <c r="P82" s="73">
        <f t="shared" ref="P82:P128" si="7">(J82*K82)*L82</f>
        <v>0.40920000000000001</v>
      </c>
      <c r="Q82" s="130">
        <f t="shared" ref="Q82:Q128" si="8">INDEX($C$64:$M$75,MATCH(F82,$C$64:$C$75,0),MATCH(I82,$C$64:$M$64,1))</f>
        <v>10</v>
      </c>
      <c r="R82" s="130">
        <f t="shared" ref="R82:R128" si="9">P82*Q82</f>
        <v>4.0920000000000005</v>
      </c>
      <c r="S82" s="130">
        <f t="shared" ref="S82:S128" si="10">O82+R82</f>
        <v>16.892000000000003</v>
      </c>
    </row>
    <row r="83" spans="3:19" x14ac:dyDescent="0.25">
      <c r="C83" s="73">
        <v>15</v>
      </c>
      <c r="D83" s="73" t="str">
        <f t="shared" si="2"/>
        <v>Plastikas</v>
      </c>
      <c r="E83" s="73" t="str">
        <f t="shared" si="3"/>
        <v>Pastorintas</v>
      </c>
      <c r="F83" s="73">
        <v>22</v>
      </c>
      <c r="G83" s="73" t="str">
        <f t="shared" ref="G83:G128" si="11">+VLOOKUP($F83,$C$65:$E$75,2,FALSE)</f>
        <v>Plėvelė</v>
      </c>
      <c r="H83" s="73" t="str">
        <f t="shared" ref="H83:H128" si="12">+VLOOKUP($F83,$C$65:$E$75,3,FALSE)</f>
        <v>Skaidri</v>
      </c>
      <c r="I83" s="199">
        <v>43482</v>
      </c>
      <c r="J83" s="130">
        <v>0.65</v>
      </c>
      <c r="K83" s="130">
        <v>0.26</v>
      </c>
      <c r="L83" s="73">
        <v>3</v>
      </c>
      <c r="M83" s="130">
        <f t="shared" si="4"/>
        <v>5.46</v>
      </c>
      <c r="N83" s="130">
        <f t="shared" si="5"/>
        <v>1.5</v>
      </c>
      <c r="O83" s="73">
        <f t="shared" si="6"/>
        <v>8.19</v>
      </c>
      <c r="P83" s="73">
        <f t="shared" si="7"/>
        <v>0.50700000000000001</v>
      </c>
      <c r="Q83" s="130">
        <f t="shared" si="8"/>
        <v>12</v>
      </c>
      <c r="R83" s="130">
        <f t="shared" si="9"/>
        <v>6.0839999999999996</v>
      </c>
      <c r="S83" s="130">
        <f t="shared" si="10"/>
        <v>14.273999999999999</v>
      </c>
    </row>
    <row r="84" spans="3:19" x14ac:dyDescent="0.25">
      <c r="C84" s="73">
        <v>10</v>
      </c>
      <c r="D84" s="73" t="str">
        <f t="shared" si="2"/>
        <v>Medis</v>
      </c>
      <c r="E84" s="73" t="str">
        <f t="shared" si="3"/>
        <v>Plonas</v>
      </c>
      <c r="F84" s="73">
        <v>20</v>
      </c>
      <c r="G84" s="73" t="str">
        <f t="shared" si="11"/>
        <v>Stiklas</v>
      </c>
      <c r="H84" s="73" t="str">
        <f t="shared" si="12"/>
        <v>Plonas</v>
      </c>
      <c r="I84" s="199">
        <v>43489</v>
      </c>
      <c r="J84" s="130">
        <v>0.37</v>
      </c>
      <c r="K84" s="130">
        <v>0.4</v>
      </c>
      <c r="L84" s="73">
        <v>3</v>
      </c>
      <c r="M84" s="130">
        <f t="shared" si="4"/>
        <v>4.62</v>
      </c>
      <c r="N84" s="130">
        <f t="shared" si="5"/>
        <v>2</v>
      </c>
      <c r="O84" s="73">
        <f t="shared" si="6"/>
        <v>9.24</v>
      </c>
      <c r="P84" s="73">
        <f t="shared" si="7"/>
        <v>0.44399999999999995</v>
      </c>
      <c r="Q84" s="130">
        <f t="shared" si="8"/>
        <v>10</v>
      </c>
      <c r="R84" s="130">
        <f t="shared" si="9"/>
        <v>4.4399999999999995</v>
      </c>
      <c r="S84" s="130">
        <f t="shared" si="10"/>
        <v>13.68</v>
      </c>
    </row>
    <row r="85" spans="3:19" x14ac:dyDescent="0.25">
      <c r="C85" s="73">
        <v>10</v>
      </c>
      <c r="D85" s="73" t="str">
        <f t="shared" si="2"/>
        <v>Medis</v>
      </c>
      <c r="E85" s="73" t="str">
        <f t="shared" si="3"/>
        <v>Plonas</v>
      </c>
      <c r="F85" s="73">
        <v>24</v>
      </c>
      <c r="G85" s="73" t="str">
        <f t="shared" si="11"/>
        <v>Nėra</v>
      </c>
      <c r="H85" s="73" t="str">
        <f t="shared" si="12"/>
        <v>Nėra</v>
      </c>
      <c r="I85" s="199">
        <v>43496</v>
      </c>
      <c r="J85" s="130">
        <v>0.59</v>
      </c>
      <c r="K85" s="130">
        <v>0.26</v>
      </c>
      <c r="L85" s="73">
        <v>1</v>
      </c>
      <c r="M85" s="130">
        <f t="shared" si="4"/>
        <v>1.7</v>
      </c>
      <c r="N85" s="130">
        <f t="shared" si="5"/>
        <v>2</v>
      </c>
      <c r="O85" s="73">
        <f t="shared" si="6"/>
        <v>3.4</v>
      </c>
      <c r="P85" s="73">
        <f t="shared" si="7"/>
        <v>0.15340000000000001</v>
      </c>
      <c r="Q85" s="130">
        <f t="shared" si="8"/>
        <v>0</v>
      </c>
      <c r="R85" s="130">
        <f t="shared" si="9"/>
        <v>0</v>
      </c>
      <c r="S85" s="130">
        <f t="shared" si="10"/>
        <v>3.4</v>
      </c>
    </row>
    <row r="86" spans="3:19" x14ac:dyDescent="0.25">
      <c r="C86" s="73">
        <v>11</v>
      </c>
      <c r="D86" s="73" t="str">
        <f t="shared" si="2"/>
        <v>Medis</v>
      </c>
      <c r="E86" s="73" t="str">
        <f t="shared" si="3"/>
        <v>Pastorintas</v>
      </c>
      <c r="F86" s="73">
        <v>21</v>
      </c>
      <c r="G86" s="73" t="str">
        <f t="shared" si="11"/>
        <v>Stiklas</v>
      </c>
      <c r="H86" s="73" t="str">
        <f t="shared" si="12"/>
        <v>Pastorintas</v>
      </c>
      <c r="I86" s="199">
        <v>43503</v>
      </c>
      <c r="J86" s="130">
        <v>0.52</v>
      </c>
      <c r="K86" s="130">
        <v>1.04</v>
      </c>
      <c r="L86" s="73">
        <v>2</v>
      </c>
      <c r="M86" s="130">
        <f t="shared" si="4"/>
        <v>6.24</v>
      </c>
      <c r="N86" s="130">
        <f t="shared" si="5"/>
        <v>3</v>
      </c>
      <c r="O86" s="73">
        <f t="shared" si="6"/>
        <v>18.72</v>
      </c>
      <c r="P86" s="73">
        <f t="shared" si="7"/>
        <v>1.0816000000000001</v>
      </c>
      <c r="Q86" s="130">
        <f t="shared" si="8"/>
        <v>6</v>
      </c>
      <c r="R86" s="130">
        <f t="shared" si="9"/>
        <v>6.4896000000000011</v>
      </c>
      <c r="S86" s="130">
        <f t="shared" si="10"/>
        <v>25.209600000000002</v>
      </c>
    </row>
    <row r="87" spans="3:19" x14ac:dyDescent="0.25">
      <c r="C87" s="73">
        <v>13</v>
      </c>
      <c r="D87" s="73" t="str">
        <f t="shared" si="2"/>
        <v>Metalas</v>
      </c>
      <c r="E87" s="73" t="str">
        <f t="shared" si="3"/>
        <v>Pastorintas</v>
      </c>
      <c r="F87" s="73">
        <v>23</v>
      </c>
      <c r="G87" s="73" t="str">
        <f t="shared" si="11"/>
        <v>Plėvelė</v>
      </c>
      <c r="H87" s="73" t="str">
        <f t="shared" si="12"/>
        <v>Matinė</v>
      </c>
      <c r="I87" s="199">
        <v>43510</v>
      </c>
      <c r="J87" s="130">
        <v>0.71</v>
      </c>
      <c r="K87" s="130">
        <v>0.28999999999999998</v>
      </c>
      <c r="L87" s="73">
        <v>1</v>
      </c>
      <c r="M87" s="130">
        <f t="shared" si="4"/>
        <v>2</v>
      </c>
      <c r="N87" s="130">
        <f t="shared" si="5"/>
        <v>5</v>
      </c>
      <c r="O87" s="73">
        <f t="shared" si="6"/>
        <v>10</v>
      </c>
      <c r="P87" s="73">
        <f t="shared" si="7"/>
        <v>0.20589999999999997</v>
      </c>
      <c r="Q87" s="130">
        <f t="shared" si="8"/>
        <v>15</v>
      </c>
      <c r="R87" s="130">
        <f t="shared" si="9"/>
        <v>3.0884999999999998</v>
      </c>
      <c r="S87" s="130">
        <f t="shared" si="10"/>
        <v>13.0885</v>
      </c>
    </row>
    <row r="88" spans="3:19" x14ac:dyDescent="0.25">
      <c r="C88" s="73">
        <v>15</v>
      </c>
      <c r="D88" s="73" t="str">
        <f t="shared" si="2"/>
        <v>Plastikas</v>
      </c>
      <c r="E88" s="73" t="str">
        <f t="shared" si="3"/>
        <v>Pastorintas</v>
      </c>
      <c r="F88" s="73">
        <v>23</v>
      </c>
      <c r="G88" s="73" t="str">
        <f t="shared" si="11"/>
        <v>Plėvelė</v>
      </c>
      <c r="H88" s="73" t="str">
        <f t="shared" si="12"/>
        <v>Matinė</v>
      </c>
      <c r="I88" s="199">
        <v>43517</v>
      </c>
      <c r="J88" s="130">
        <v>1.1399999999999999</v>
      </c>
      <c r="K88" s="130">
        <v>0.67</v>
      </c>
      <c r="L88" s="73">
        <v>2</v>
      </c>
      <c r="M88" s="130">
        <f t="shared" si="4"/>
        <v>7.24</v>
      </c>
      <c r="N88" s="130">
        <f t="shared" si="5"/>
        <v>2.86</v>
      </c>
      <c r="O88" s="73">
        <f t="shared" si="6"/>
        <v>20.706399999999999</v>
      </c>
      <c r="P88" s="73">
        <f t="shared" si="7"/>
        <v>1.5276000000000001</v>
      </c>
      <c r="Q88" s="130">
        <f t="shared" si="8"/>
        <v>16.5</v>
      </c>
      <c r="R88" s="130">
        <f t="shared" si="9"/>
        <v>25.205400000000001</v>
      </c>
      <c r="S88" s="130">
        <f t="shared" si="10"/>
        <v>45.911799999999999</v>
      </c>
    </row>
    <row r="89" spans="3:19" x14ac:dyDescent="0.25">
      <c r="C89" s="73">
        <v>15</v>
      </c>
      <c r="D89" s="73" t="str">
        <f t="shared" si="2"/>
        <v>Plastikas</v>
      </c>
      <c r="E89" s="73" t="str">
        <f t="shared" si="3"/>
        <v>Pastorintas</v>
      </c>
      <c r="F89" s="73">
        <v>23</v>
      </c>
      <c r="G89" s="73" t="str">
        <f t="shared" si="11"/>
        <v>Plėvelė</v>
      </c>
      <c r="H89" s="73" t="str">
        <f t="shared" si="12"/>
        <v>Matinė</v>
      </c>
      <c r="I89" s="199">
        <v>43524</v>
      </c>
      <c r="J89" s="130">
        <v>0.74</v>
      </c>
      <c r="K89" s="130">
        <v>0.83</v>
      </c>
      <c r="L89" s="73">
        <v>3</v>
      </c>
      <c r="M89" s="130">
        <f t="shared" si="4"/>
        <v>9.4199999999999982</v>
      </c>
      <c r="N89" s="130">
        <f t="shared" si="5"/>
        <v>2.86</v>
      </c>
      <c r="O89" s="73">
        <f t="shared" si="6"/>
        <v>26.941199999999995</v>
      </c>
      <c r="P89" s="73">
        <f t="shared" si="7"/>
        <v>1.8426</v>
      </c>
      <c r="Q89" s="130">
        <f t="shared" si="8"/>
        <v>16.5</v>
      </c>
      <c r="R89" s="130">
        <f t="shared" si="9"/>
        <v>30.402899999999999</v>
      </c>
      <c r="S89" s="130">
        <f t="shared" si="10"/>
        <v>57.344099999999997</v>
      </c>
    </row>
    <row r="90" spans="3:19" x14ac:dyDescent="0.25">
      <c r="C90" s="73">
        <v>13</v>
      </c>
      <c r="D90" s="73" t="str">
        <f t="shared" si="2"/>
        <v>Metalas</v>
      </c>
      <c r="E90" s="73" t="str">
        <f t="shared" si="3"/>
        <v>Pastorintas</v>
      </c>
      <c r="F90" s="73">
        <v>24</v>
      </c>
      <c r="G90" s="73" t="str">
        <f t="shared" si="11"/>
        <v>Nėra</v>
      </c>
      <c r="H90" s="73" t="str">
        <f t="shared" si="12"/>
        <v>Nėra</v>
      </c>
      <c r="I90" s="199">
        <v>43531</v>
      </c>
      <c r="J90" s="130">
        <v>0.75</v>
      </c>
      <c r="K90" s="130">
        <v>0.52</v>
      </c>
      <c r="L90" s="73">
        <v>3</v>
      </c>
      <c r="M90" s="130">
        <f t="shared" si="4"/>
        <v>7.62</v>
      </c>
      <c r="N90" s="130">
        <f t="shared" si="5"/>
        <v>6.16</v>
      </c>
      <c r="O90" s="73">
        <f t="shared" si="6"/>
        <v>46.9392</v>
      </c>
      <c r="P90" s="73">
        <f t="shared" si="7"/>
        <v>1.17</v>
      </c>
      <c r="Q90" s="130">
        <f t="shared" si="8"/>
        <v>0</v>
      </c>
      <c r="R90" s="130">
        <f t="shared" si="9"/>
        <v>0</v>
      </c>
      <c r="S90" s="130">
        <f t="shared" si="10"/>
        <v>46.9392</v>
      </c>
    </row>
    <row r="91" spans="3:19" x14ac:dyDescent="0.25">
      <c r="C91" s="73">
        <v>14</v>
      </c>
      <c r="D91" s="73" t="str">
        <f t="shared" si="2"/>
        <v>Plastikas</v>
      </c>
      <c r="E91" s="73" t="str">
        <f t="shared" si="3"/>
        <v>Plonas</v>
      </c>
      <c r="F91" s="73">
        <v>21</v>
      </c>
      <c r="G91" s="73" t="str">
        <f t="shared" si="11"/>
        <v>Stiklas</v>
      </c>
      <c r="H91" s="73" t="str">
        <f t="shared" si="12"/>
        <v>Pastorintas</v>
      </c>
      <c r="I91" s="199">
        <v>43538</v>
      </c>
      <c r="J91" s="130">
        <v>1.27</v>
      </c>
      <c r="K91" s="130">
        <v>0.62</v>
      </c>
      <c r="L91" s="73">
        <v>2</v>
      </c>
      <c r="M91" s="130">
        <f t="shared" si="4"/>
        <v>7.5600000000000005</v>
      </c>
      <c r="N91" s="130">
        <f t="shared" si="5"/>
        <v>1.32</v>
      </c>
      <c r="O91" s="73">
        <f t="shared" si="6"/>
        <v>9.9792000000000005</v>
      </c>
      <c r="P91" s="73">
        <f t="shared" si="7"/>
        <v>1.5748</v>
      </c>
      <c r="Q91" s="130">
        <f t="shared" si="8"/>
        <v>7.26</v>
      </c>
      <c r="R91" s="130">
        <f t="shared" si="9"/>
        <v>11.433047999999999</v>
      </c>
      <c r="S91" s="130">
        <f t="shared" si="10"/>
        <v>21.412247999999998</v>
      </c>
    </row>
    <row r="92" spans="3:19" x14ac:dyDescent="0.25">
      <c r="C92" s="73">
        <v>12</v>
      </c>
      <c r="D92" s="73" t="str">
        <f t="shared" si="2"/>
        <v>Metalas</v>
      </c>
      <c r="E92" s="73" t="str">
        <f t="shared" si="3"/>
        <v>Plonas</v>
      </c>
      <c r="F92" s="73">
        <v>21</v>
      </c>
      <c r="G92" s="73" t="str">
        <f t="shared" si="11"/>
        <v>Stiklas</v>
      </c>
      <c r="H92" s="73" t="str">
        <f t="shared" si="12"/>
        <v>Pastorintas</v>
      </c>
      <c r="I92" s="199">
        <v>43545</v>
      </c>
      <c r="J92" s="130">
        <v>0.44</v>
      </c>
      <c r="K92" s="130">
        <v>0.41</v>
      </c>
      <c r="L92" s="73">
        <v>3</v>
      </c>
      <c r="M92" s="130">
        <f t="shared" si="4"/>
        <v>5.0999999999999996</v>
      </c>
      <c r="N92" s="130">
        <f t="shared" si="5"/>
        <v>4.62</v>
      </c>
      <c r="O92" s="73">
        <f t="shared" si="6"/>
        <v>23.561999999999998</v>
      </c>
      <c r="P92" s="73">
        <f t="shared" si="7"/>
        <v>0.5411999999999999</v>
      </c>
      <c r="Q92" s="130">
        <f t="shared" si="8"/>
        <v>7.26</v>
      </c>
      <c r="R92" s="130">
        <f t="shared" si="9"/>
        <v>3.929111999999999</v>
      </c>
      <c r="S92" s="130">
        <f t="shared" si="10"/>
        <v>27.491111999999998</v>
      </c>
    </row>
    <row r="93" spans="3:19" x14ac:dyDescent="0.25">
      <c r="C93" s="73">
        <v>11</v>
      </c>
      <c r="D93" s="73" t="str">
        <f t="shared" si="2"/>
        <v>Medis</v>
      </c>
      <c r="E93" s="73" t="str">
        <f t="shared" si="3"/>
        <v>Pastorintas</v>
      </c>
      <c r="F93" s="73">
        <v>21</v>
      </c>
      <c r="G93" s="73" t="str">
        <f t="shared" si="11"/>
        <v>Stiklas</v>
      </c>
      <c r="H93" s="73" t="str">
        <f t="shared" si="12"/>
        <v>Pastorintas</v>
      </c>
      <c r="I93" s="199">
        <v>43552</v>
      </c>
      <c r="J93" s="130">
        <v>0.51</v>
      </c>
      <c r="K93" s="130">
        <v>0.74</v>
      </c>
      <c r="L93" s="73">
        <v>1</v>
      </c>
      <c r="M93" s="130">
        <f t="shared" si="4"/>
        <v>2.5</v>
      </c>
      <c r="N93" s="130">
        <f t="shared" si="5"/>
        <v>3.3</v>
      </c>
      <c r="O93" s="73">
        <f t="shared" si="6"/>
        <v>8.25</v>
      </c>
      <c r="P93" s="73">
        <f t="shared" si="7"/>
        <v>0.37740000000000001</v>
      </c>
      <c r="Q93" s="130">
        <f t="shared" si="8"/>
        <v>7.26</v>
      </c>
      <c r="R93" s="130">
        <f t="shared" si="9"/>
        <v>2.7399239999999998</v>
      </c>
      <c r="S93" s="130">
        <f t="shared" si="10"/>
        <v>10.989924</v>
      </c>
    </row>
    <row r="94" spans="3:19" x14ac:dyDescent="0.25">
      <c r="C94" s="73">
        <v>11</v>
      </c>
      <c r="D94" s="73" t="str">
        <f t="shared" si="2"/>
        <v>Medis</v>
      </c>
      <c r="E94" s="73" t="str">
        <f t="shared" si="3"/>
        <v>Pastorintas</v>
      </c>
      <c r="F94" s="73">
        <v>22</v>
      </c>
      <c r="G94" s="73" t="str">
        <f t="shared" si="11"/>
        <v>Plėvelė</v>
      </c>
      <c r="H94" s="73" t="str">
        <f t="shared" si="12"/>
        <v>Skaidri</v>
      </c>
      <c r="I94" s="199">
        <v>43559</v>
      </c>
      <c r="J94" s="130">
        <v>0.34</v>
      </c>
      <c r="K94" s="130">
        <v>0.87</v>
      </c>
      <c r="L94" s="73">
        <v>2</v>
      </c>
      <c r="M94" s="130">
        <f t="shared" si="4"/>
        <v>4.84</v>
      </c>
      <c r="N94" s="130">
        <f t="shared" si="5"/>
        <v>3.15</v>
      </c>
      <c r="O94" s="73">
        <f t="shared" si="6"/>
        <v>15.245999999999999</v>
      </c>
      <c r="P94" s="73">
        <f t="shared" si="7"/>
        <v>0.59160000000000001</v>
      </c>
      <c r="Q94" s="130">
        <f t="shared" si="8"/>
        <v>11.55</v>
      </c>
      <c r="R94" s="130">
        <f t="shared" si="9"/>
        <v>6.8329800000000009</v>
      </c>
      <c r="S94" s="130">
        <f t="shared" si="10"/>
        <v>22.078980000000001</v>
      </c>
    </row>
    <row r="95" spans="3:19" x14ac:dyDescent="0.25">
      <c r="C95" s="73">
        <v>10</v>
      </c>
      <c r="D95" s="73" t="str">
        <f t="shared" si="2"/>
        <v>Medis</v>
      </c>
      <c r="E95" s="73" t="str">
        <f t="shared" si="3"/>
        <v>Plonas</v>
      </c>
      <c r="F95" s="73">
        <v>21</v>
      </c>
      <c r="G95" s="73" t="str">
        <f t="shared" si="11"/>
        <v>Stiklas</v>
      </c>
      <c r="H95" s="73" t="str">
        <f t="shared" si="12"/>
        <v>Pastorintas</v>
      </c>
      <c r="I95" s="199">
        <v>43566</v>
      </c>
      <c r="J95" s="130">
        <v>0.69</v>
      </c>
      <c r="K95" s="130">
        <v>0.23</v>
      </c>
      <c r="L95" s="73">
        <v>3</v>
      </c>
      <c r="M95" s="130">
        <f t="shared" si="4"/>
        <v>5.52</v>
      </c>
      <c r="N95" s="130">
        <f t="shared" si="5"/>
        <v>2.1</v>
      </c>
      <c r="O95" s="73">
        <f t="shared" si="6"/>
        <v>11.591999999999999</v>
      </c>
      <c r="P95" s="73">
        <f t="shared" si="7"/>
        <v>0.47610000000000002</v>
      </c>
      <c r="Q95" s="130">
        <f t="shared" si="8"/>
        <v>6.93</v>
      </c>
      <c r="R95" s="130">
        <f t="shared" si="9"/>
        <v>3.2993730000000001</v>
      </c>
      <c r="S95" s="130">
        <f t="shared" si="10"/>
        <v>14.891372999999998</v>
      </c>
    </row>
    <row r="96" spans="3:19" x14ac:dyDescent="0.25">
      <c r="C96" s="73">
        <v>11</v>
      </c>
      <c r="D96" s="73" t="str">
        <f t="shared" si="2"/>
        <v>Medis</v>
      </c>
      <c r="E96" s="73" t="str">
        <f t="shared" si="3"/>
        <v>Pastorintas</v>
      </c>
      <c r="F96" s="73">
        <v>24</v>
      </c>
      <c r="G96" s="73" t="str">
        <f t="shared" si="11"/>
        <v>Nėra</v>
      </c>
      <c r="H96" s="73" t="str">
        <f t="shared" si="12"/>
        <v>Nėra</v>
      </c>
      <c r="I96" s="199">
        <v>43573</v>
      </c>
      <c r="J96" s="130">
        <v>0.55000000000000004</v>
      </c>
      <c r="K96" s="130">
        <v>0.6</v>
      </c>
      <c r="L96" s="73">
        <v>1</v>
      </c>
      <c r="M96" s="130">
        <f t="shared" si="4"/>
        <v>2.2999999999999998</v>
      </c>
      <c r="N96" s="130">
        <f t="shared" si="5"/>
        <v>3.15</v>
      </c>
      <c r="O96" s="73">
        <f t="shared" si="6"/>
        <v>7.2449999999999992</v>
      </c>
      <c r="P96" s="73">
        <f t="shared" si="7"/>
        <v>0.33</v>
      </c>
      <c r="Q96" s="130">
        <f t="shared" si="8"/>
        <v>0</v>
      </c>
      <c r="R96" s="130">
        <f t="shared" si="9"/>
        <v>0</v>
      </c>
      <c r="S96" s="130">
        <f t="shared" si="10"/>
        <v>7.2449999999999992</v>
      </c>
    </row>
    <row r="97" spans="3:19" x14ac:dyDescent="0.25">
      <c r="C97" s="73">
        <v>15</v>
      </c>
      <c r="D97" s="73" t="str">
        <f t="shared" si="2"/>
        <v>Plastikas</v>
      </c>
      <c r="E97" s="73" t="str">
        <f t="shared" si="3"/>
        <v>Pastorintas</v>
      </c>
      <c r="F97" s="73">
        <v>22</v>
      </c>
      <c r="G97" s="73" t="str">
        <f t="shared" si="11"/>
        <v>Plėvelė</v>
      </c>
      <c r="H97" s="73" t="str">
        <f t="shared" si="12"/>
        <v>Skaidri</v>
      </c>
      <c r="I97" s="199">
        <v>43580</v>
      </c>
      <c r="J97" s="130">
        <v>0.7</v>
      </c>
      <c r="K97" s="130">
        <v>1.08</v>
      </c>
      <c r="L97" s="73">
        <v>2</v>
      </c>
      <c r="M97" s="130">
        <f t="shared" si="4"/>
        <v>7.12</v>
      </c>
      <c r="N97" s="130">
        <f t="shared" si="5"/>
        <v>2.73</v>
      </c>
      <c r="O97" s="73">
        <f t="shared" si="6"/>
        <v>19.4376</v>
      </c>
      <c r="P97" s="73">
        <f t="shared" si="7"/>
        <v>1.512</v>
      </c>
      <c r="Q97" s="130">
        <f t="shared" si="8"/>
        <v>11.55</v>
      </c>
      <c r="R97" s="130">
        <f t="shared" si="9"/>
        <v>17.4636</v>
      </c>
      <c r="S97" s="130">
        <f t="shared" si="10"/>
        <v>36.901200000000003</v>
      </c>
    </row>
    <row r="98" spans="3:19" x14ac:dyDescent="0.25">
      <c r="C98" s="73">
        <v>12</v>
      </c>
      <c r="D98" s="73" t="str">
        <f t="shared" si="2"/>
        <v>Metalas</v>
      </c>
      <c r="E98" s="73" t="str">
        <f t="shared" si="3"/>
        <v>Plonas</v>
      </c>
      <c r="F98" s="73">
        <v>22</v>
      </c>
      <c r="G98" s="73" t="str">
        <f t="shared" si="11"/>
        <v>Plėvelė</v>
      </c>
      <c r="H98" s="73" t="str">
        <f t="shared" si="12"/>
        <v>Skaidri</v>
      </c>
      <c r="I98" s="199">
        <v>43587</v>
      </c>
      <c r="J98" s="130">
        <v>1.02</v>
      </c>
      <c r="K98" s="130">
        <v>1.07</v>
      </c>
      <c r="L98" s="73">
        <v>4</v>
      </c>
      <c r="M98" s="130">
        <f t="shared" si="4"/>
        <v>16.72</v>
      </c>
      <c r="N98" s="130">
        <f t="shared" si="5"/>
        <v>4.41</v>
      </c>
      <c r="O98" s="73">
        <f t="shared" si="6"/>
        <v>73.735199999999992</v>
      </c>
      <c r="P98" s="73">
        <f t="shared" si="7"/>
        <v>4.3656000000000006</v>
      </c>
      <c r="Q98" s="130">
        <f t="shared" si="8"/>
        <v>11.55</v>
      </c>
      <c r="R98" s="130">
        <f t="shared" si="9"/>
        <v>50.422680000000007</v>
      </c>
      <c r="S98" s="130">
        <f t="shared" si="10"/>
        <v>124.15788000000001</v>
      </c>
    </row>
    <row r="99" spans="3:19" x14ac:dyDescent="0.25">
      <c r="C99" s="73">
        <v>10</v>
      </c>
      <c r="D99" s="73" t="str">
        <f t="shared" si="2"/>
        <v>Medis</v>
      </c>
      <c r="E99" s="73" t="str">
        <f t="shared" si="3"/>
        <v>Plonas</v>
      </c>
      <c r="F99" s="73">
        <v>24</v>
      </c>
      <c r="G99" s="73" t="str">
        <f t="shared" si="11"/>
        <v>Nėra</v>
      </c>
      <c r="H99" s="73" t="str">
        <f t="shared" si="12"/>
        <v>Nėra</v>
      </c>
      <c r="I99" s="199">
        <v>43594</v>
      </c>
      <c r="J99" s="130">
        <v>1.1599999999999999</v>
      </c>
      <c r="K99" s="130">
        <v>0.89</v>
      </c>
      <c r="L99" s="73">
        <v>2</v>
      </c>
      <c r="M99" s="130">
        <f t="shared" si="4"/>
        <v>8.1999999999999993</v>
      </c>
      <c r="N99" s="130">
        <f t="shared" si="5"/>
        <v>2.1</v>
      </c>
      <c r="O99" s="73">
        <f t="shared" si="6"/>
        <v>17.22</v>
      </c>
      <c r="P99" s="73">
        <f t="shared" si="7"/>
        <v>2.0648</v>
      </c>
      <c r="Q99" s="130">
        <f t="shared" si="8"/>
        <v>0</v>
      </c>
      <c r="R99" s="130">
        <f t="shared" si="9"/>
        <v>0</v>
      </c>
      <c r="S99" s="130">
        <f t="shared" si="10"/>
        <v>17.22</v>
      </c>
    </row>
    <row r="100" spans="3:19" x14ac:dyDescent="0.25">
      <c r="C100" s="73">
        <v>12</v>
      </c>
      <c r="D100" s="73" t="str">
        <f t="shared" si="2"/>
        <v>Metalas</v>
      </c>
      <c r="E100" s="73" t="str">
        <f t="shared" si="3"/>
        <v>Plonas</v>
      </c>
      <c r="F100" s="73">
        <v>23</v>
      </c>
      <c r="G100" s="73" t="str">
        <f t="shared" si="11"/>
        <v>Plėvelė</v>
      </c>
      <c r="H100" s="73" t="str">
        <f t="shared" si="12"/>
        <v>Matinė</v>
      </c>
      <c r="I100" s="199">
        <v>43601</v>
      </c>
      <c r="J100" s="130">
        <v>0.9</v>
      </c>
      <c r="K100" s="130">
        <v>1.2</v>
      </c>
      <c r="L100" s="73">
        <v>2</v>
      </c>
      <c r="M100" s="130">
        <f t="shared" si="4"/>
        <v>8.4</v>
      </c>
      <c r="N100" s="130">
        <f t="shared" si="5"/>
        <v>3.99</v>
      </c>
      <c r="O100" s="73">
        <f t="shared" si="6"/>
        <v>33.516000000000005</v>
      </c>
      <c r="P100" s="73">
        <f t="shared" si="7"/>
        <v>2.16</v>
      </c>
      <c r="Q100" s="130">
        <f t="shared" si="8"/>
        <v>14.25</v>
      </c>
      <c r="R100" s="130">
        <f t="shared" si="9"/>
        <v>30.78</v>
      </c>
      <c r="S100" s="130">
        <f t="shared" si="10"/>
        <v>64.296000000000006</v>
      </c>
    </row>
    <row r="101" spans="3:19" x14ac:dyDescent="0.25">
      <c r="C101" s="73">
        <v>14</v>
      </c>
      <c r="D101" s="73" t="str">
        <f t="shared" si="2"/>
        <v>Plastikas</v>
      </c>
      <c r="E101" s="73" t="str">
        <f t="shared" si="3"/>
        <v>Plonas</v>
      </c>
      <c r="F101" s="73">
        <v>22</v>
      </c>
      <c r="G101" s="73" t="str">
        <f t="shared" si="11"/>
        <v>Plėvelė</v>
      </c>
      <c r="H101" s="73" t="str">
        <f t="shared" si="12"/>
        <v>Skaidri</v>
      </c>
      <c r="I101" s="199">
        <v>43608</v>
      </c>
      <c r="J101" s="130">
        <v>0.68</v>
      </c>
      <c r="K101" s="130">
        <v>0.48</v>
      </c>
      <c r="L101" s="73">
        <v>2</v>
      </c>
      <c r="M101" s="130">
        <f t="shared" si="4"/>
        <v>4.6400000000000006</v>
      </c>
      <c r="N101" s="130">
        <f t="shared" si="5"/>
        <v>1.1399999999999999</v>
      </c>
      <c r="O101" s="73">
        <f t="shared" si="6"/>
        <v>5.2896000000000001</v>
      </c>
      <c r="P101" s="73">
        <f t="shared" si="7"/>
        <v>0.65280000000000005</v>
      </c>
      <c r="Q101" s="130">
        <f t="shared" si="8"/>
        <v>10.45</v>
      </c>
      <c r="R101" s="130">
        <f t="shared" si="9"/>
        <v>6.8217600000000003</v>
      </c>
      <c r="S101" s="130">
        <f t="shared" si="10"/>
        <v>12.111360000000001</v>
      </c>
    </row>
    <row r="102" spans="3:19" x14ac:dyDescent="0.25">
      <c r="C102" s="73">
        <v>12</v>
      </c>
      <c r="D102" s="73" t="str">
        <f t="shared" si="2"/>
        <v>Metalas</v>
      </c>
      <c r="E102" s="73" t="str">
        <f t="shared" si="3"/>
        <v>Plonas</v>
      </c>
      <c r="F102" s="73">
        <v>24</v>
      </c>
      <c r="G102" s="73" t="str">
        <f t="shared" si="11"/>
        <v>Nėra</v>
      </c>
      <c r="H102" s="73" t="str">
        <f t="shared" si="12"/>
        <v>Nėra</v>
      </c>
      <c r="I102" s="199">
        <v>43615</v>
      </c>
      <c r="J102" s="130">
        <v>1.07</v>
      </c>
      <c r="K102" s="130">
        <v>0.51</v>
      </c>
      <c r="L102" s="73">
        <v>2</v>
      </c>
      <c r="M102" s="130">
        <f t="shared" si="4"/>
        <v>6.32</v>
      </c>
      <c r="N102" s="130">
        <f t="shared" si="5"/>
        <v>3.99</v>
      </c>
      <c r="O102" s="73">
        <f t="shared" si="6"/>
        <v>25.216800000000003</v>
      </c>
      <c r="P102" s="73">
        <f t="shared" si="7"/>
        <v>1.0914000000000001</v>
      </c>
      <c r="Q102" s="130">
        <f t="shared" si="8"/>
        <v>0</v>
      </c>
      <c r="R102" s="130">
        <f t="shared" si="9"/>
        <v>0</v>
      </c>
      <c r="S102" s="130">
        <f t="shared" si="10"/>
        <v>25.216800000000003</v>
      </c>
    </row>
    <row r="103" spans="3:19" x14ac:dyDescent="0.25">
      <c r="C103" s="73">
        <v>14</v>
      </c>
      <c r="D103" s="73" t="str">
        <f t="shared" si="2"/>
        <v>Plastikas</v>
      </c>
      <c r="E103" s="73" t="str">
        <f t="shared" si="3"/>
        <v>Plonas</v>
      </c>
      <c r="F103" s="73">
        <v>20</v>
      </c>
      <c r="G103" s="73" t="str">
        <f t="shared" si="11"/>
        <v>Stiklas</v>
      </c>
      <c r="H103" s="73" t="str">
        <f t="shared" si="12"/>
        <v>Plonas</v>
      </c>
      <c r="I103" s="199">
        <v>43622</v>
      </c>
      <c r="J103" s="130">
        <v>0.53</v>
      </c>
      <c r="K103" s="130">
        <v>0.56000000000000005</v>
      </c>
      <c r="L103" s="73">
        <v>2</v>
      </c>
      <c r="M103" s="130">
        <f t="shared" si="4"/>
        <v>4.3600000000000003</v>
      </c>
      <c r="N103" s="130">
        <f t="shared" si="5"/>
        <v>1.1399999999999999</v>
      </c>
      <c r="O103" s="73">
        <f t="shared" si="6"/>
        <v>4.9703999999999997</v>
      </c>
      <c r="P103" s="73">
        <f t="shared" si="7"/>
        <v>0.59360000000000013</v>
      </c>
      <c r="Q103" s="130">
        <f t="shared" si="8"/>
        <v>10.07</v>
      </c>
      <c r="R103" s="130">
        <f t="shared" si="9"/>
        <v>5.9775520000000011</v>
      </c>
      <c r="S103" s="130">
        <f t="shared" si="10"/>
        <v>10.947952000000001</v>
      </c>
    </row>
    <row r="104" spans="3:19" x14ac:dyDescent="0.25">
      <c r="C104" s="73">
        <v>14</v>
      </c>
      <c r="D104" s="73" t="str">
        <f t="shared" si="2"/>
        <v>Plastikas</v>
      </c>
      <c r="E104" s="73" t="str">
        <f t="shared" si="3"/>
        <v>Plonas</v>
      </c>
      <c r="F104" s="73">
        <v>22</v>
      </c>
      <c r="G104" s="73" t="str">
        <f t="shared" si="11"/>
        <v>Plėvelė</v>
      </c>
      <c r="H104" s="73" t="str">
        <f t="shared" si="12"/>
        <v>Skaidri</v>
      </c>
      <c r="I104" s="199">
        <v>43629</v>
      </c>
      <c r="J104" s="130">
        <v>0.47</v>
      </c>
      <c r="K104" s="130">
        <v>0.56999999999999995</v>
      </c>
      <c r="L104" s="73">
        <v>2</v>
      </c>
      <c r="M104" s="130">
        <f t="shared" si="4"/>
        <v>4.16</v>
      </c>
      <c r="N104" s="130">
        <f t="shared" si="5"/>
        <v>1.1399999999999999</v>
      </c>
      <c r="O104" s="73">
        <f t="shared" si="6"/>
        <v>4.7423999999999999</v>
      </c>
      <c r="P104" s="73">
        <f t="shared" si="7"/>
        <v>0.53579999999999994</v>
      </c>
      <c r="Q104" s="130">
        <f t="shared" si="8"/>
        <v>10.45</v>
      </c>
      <c r="R104" s="130">
        <f t="shared" si="9"/>
        <v>5.5991099999999987</v>
      </c>
      <c r="S104" s="130">
        <f t="shared" si="10"/>
        <v>10.34151</v>
      </c>
    </row>
    <row r="105" spans="3:19" x14ac:dyDescent="0.25">
      <c r="C105" s="73">
        <v>13</v>
      </c>
      <c r="D105" s="73" t="str">
        <f t="shared" si="2"/>
        <v>Metalas</v>
      </c>
      <c r="E105" s="73" t="str">
        <f t="shared" si="3"/>
        <v>Pastorintas</v>
      </c>
      <c r="F105" s="73">
        <v>22</v>
      </c>
      <c r="G105" s="73" t="str">
        <f t="shared" si="11"/>
        <v>Plėvelė</v>
      </c>
      <c r="H105" s="73" t="str">
        <f t="shared" si="12"/>
        <v>Skaidri</v>
      </c>
      <c r="I105" s="199">
        <v>43636</v>
      </c>
      <c r="J105" s="130">
        <v>0.46</v>
      </c>
      <c r="K105" s="130">
        <v>0.83</v>
      </c>
      <c r="L105" s="73">
        <v>3</v>
      </c>
      <c r="M105" s="130">
        <f t="shared" si="4"/>
        <v>7.74</v>
      </c>
      <c r="N105" s="130">
        <f t="shared" si="5"/>
        <v>5.32</v>
      </c>
      <c r="O105" s="73">
        <f t="shared" si="6"/>
        <v>41.1768</v>
      </c>
      <c r="P105" s="73">
        <f t="shared" si="7"/>
        <v>1.1454</v>
      </c>
      <c r="Q105" s="130">
        <f t="shared" si="8"/>
        <v>10.45</v>
      </c>
      <c r="R105" s="130">
        <f t="shared" si="9"/>
        <v>11.969429999999999</v>
      </c>
      <c r="S105" s="130">
        <f t="shared" si="10"/>
        <v>53.146230000000003</v>
      </c>
    </row>
    <row r="106" spans="3:19" x14ac:dyDescent="0.25">
      <c r="C106" s="73">
        <v>12</v>
      </c>
      <c r="D106" s="73" t="str">
        <f t="shared" si="2"/>
        <v>Metalas</v>
      </c>
      <c r="E106" s="73" t="str">
        <f t="shared" si="3"/>
        <v>Plonas</v>
      </c>
      <c r="F106" s="73">
        <v>24</v>
      </c>
      <c r="G106" s="73" t="str">
        <f t="shared" si="11"/>
        <v>Nėra</v>
      </c>
      <c r="H106" s="73" t="str">
        <f t="shared" si="12"/>
        <v>Nėra</v>
      </c>
      <c r="I106" s="199">
        <v>43643</v>
      </c>
      <c r="J106" s="130">
        <v>0.3</v>
      </c>
      <c r="K106" s="130">
        <v>0.93</v>
      </c>
      <c r="L106" s="73">
        <v>4</v>
      </c>
      <c r="M106" s="130">
        <f t="shared" si="4"/>
        <v>9.84</v>
      </c>
      <c r="N106" s="130">
        <f t="shared" si="5"/>
        <v>3.99</v>
      </c>
      <c r="O106" s="73">
        <f t="shared" si="6"/>
        <v>39.261600000000001</v>
      </c>
      <c r="P106" s="73">
        <f t="shared" si="7"/>
        <v>1.1160000000000001</v>
      </c>
      <c r="Q106" s="130">
        <f t="shared" si="8"/>
        <v>0</v>
      </c>
      <c r="R106" s="130">
        <f t="shared" si="9"/>
        <v>0</v>
      </c>
      <c r="S106" s="130">
        <f t="shared" si="10"/>
        <v>39.261600000000001</v>
      </c>
    </row>
    <row r="107" spans="3:19" x14ac:dyDescent="0.25">
      <c r="C107" s="73">
        <v>14</v>
      </c>
      <c r="D107" s="73" t="str">
        <f t="shared" si="2"/>
        <v>Plastikas</v>
      </c>
      <c r="E107" s="73" t="str">
        <f t="shared" si="3"/>
        <v>Plonas</v>
      </c>
      <c r="F107" s="73">
        <v>20</v>
      </c>
      <c r="G107" s="73" t="str">
        <f t="shared" si="11"/>
        <v>Stiklas</v>
      </c>
      <c r="H107" s="73" t="str">
        <f t="shared" si="12"/>
        <v>Plonas</v>
      </c>
      <c r="I107" s="199">
        <v>43650</v>
      </c>
      <c r="J107" s="130">
        <v>0.48</v>
      </c>
      <c r="K107" s="130">
        <v>0.4</v>
      </c>
      <c r="L107" s="73">
        <v>3</v>
      </c>
      <c r="M107" s="130">
        <f t="shared" si="4"/>
        <v>5.28</v>
      </c>
      <c r="N107" s="130">
        <f t="shared" si="5"/>
        <v>1.1000000000000001</v>
      </c>
      <c r="O107" s="73">
        <f t="shared" si="6"/>
        <v>5.8080000000000007</v>
      </c>
      <c r="P107" s="73">
        <f t="shared" si="7"/>
        <v>0.57600000000000007</v>
      </c>
      <c r="Q107" s="130">
        <f t="shared" si="8"/>
        <v>10.199999999999999</v>
      </c>
      <c r="R107" s="130">
        <f t="shared" si="9"/>
        <v>5.8752000000000004</v>
      </c>
      <c r="S107" s="130">
        <f t="shared" si="10"/>
        <v>11.683200000000001</v>
      </c>
    </row>
    <row r="108" spans="3:19" x14ac:dyDescent="0.25">
      <c r="C108" s="73">
        <v>12</v>
      </c>
      <c r="D108" s="73" t="str">
        <f t="shared" si="2"/>
        <v>Metalas</v>
      </c>
      <c r="E108" s="73" t="str">
        <f t="shared" si="3"/>
        <v>Plonas</v>
      </c>
      <c r="F108" s="73">
        <v>21</v>
      </c>
      <c r="G108" s="73" t="str">
        <f t="shared" si="11"/>
        <v>Stiklas</v>
      </c>
      <c r="H108" s="73" t="str">
        <f t="shared" si="12"/>
        <v>Pastorintas</v>
      </c>
      <c r="I108" s="199">
        <v>43656</v>
      </c>
      <c r="J108" s="130">
        <v>0.88</v>
      </c>
      <c r="K108" s="130">
        <v>0.78</v>
      </c>
      <c r="L108" s="73">
        <v>1</v>
      </c>
      <c r="M108" s="130">
        <f t="shared" si="4"/>
        <v>3.3200000000000003</v>
      </c>
      <c r="N108" s="130">
        <f t="shared" si="5"/>
        <v>4.0999999999999996</v>
      </c>
      <c r="O108" s="73">
        <f t="shared" si="6"/>
        <v>13.612</v>
      </c>
      <c r="P108" s="73">
        <f t="shared" si="7"/>
        <v>0.68640000000000001</v>
      </c>
      <c r="Q108" s="130">
        <f t="shared" si="8"/>
        <v>6.27</v>
      </c>
      <c r="R108" s="130">
        <f t="shared" si="9"/>
        <v>4.3037279999999996</v>
      </c>
      <c r="S108" s="130">
        <f t="shared" si="10"/>
        <v>17.915728000000001</v>
      </c>
    </row>
    <row r="109" spans="3:19" x14ac:dyDescent="0.25">
      <c r="C109" s="73">
        <v>15</v>
      </c>
      <c r="D109" s="73" t="str">
        <f t="shared" si="2"/>
        <v>Plastikas</v>
      </c>
      <c r="E109" s="73" t="str">
        <f t="shared" si="3"/>
        <v>Pastorintas</v>
      </c>
      <c r="F109" s="73">
        <v>20</v>
      </c>
      <c r="G109" s="73" t="str">
        <f t="shared" si="11"/>
        <v>Stiklas</v>
      </c>
      <c r="H109" s="73" t="str">
        <f t="shared" si="12"/>
        <v>Plonas</v>
      </c>
      <c r="I109" s="199">
        <v>43662</v>
      </c>
      <c r="J109" s="130">
        <v>0.56999999999999995</v>
      </c>
      <c r="K109" s="130">
        <v>1.1599999999999999</v>
      </c>
      <c r="L109" s="73">
        <v>3</v>
      </c>
      <c r="M109" s="130">
        <f t="shared" si="4"/>
        <v>10.379999999999999</v>
      </c>
      <c r="N109" s="130">
        <f t="shared" si="5"/>
        <v>2.5</v>
      </c>
      <c r="O109" s="73">
        <f t="shared" si="6"/>
        <v>25.949999999999996</v>
      </c>
      <c r="P109" s="73">
        <f t="shared" si="7"/>
        <v>1.9835999999999996</v>
      </c>
      <c r="Q109" s="130">
        <f t="shared" si="8"/>
        <v>10.199999999999999</v>
      </c>
      <c r="R109" s="130">
        <f t="shared" si="9"/>
        <v>20.232719999999993</v>
      </c>
      <c r="S109" s="130">
        <f t="shared" si="10"/>
        <v>46.182719999999989</v>
      </c>
    </row>
    <row r="110" spans="3:19" x14ac:dyDescent="0.25">
      <c r="C110" s="73">
        <v>13</v>
      </c>
      <c r="D110" s="73" t="str">
        <f t="shared" si="2"/>
        <v>Metalas</v>
      </c>
      <c r="E110" s="73" t="str">
        <f t="shared" si="3"/>
        <v>Pastorintas</v>
      </c>
      <c r="F110" s="73">
        <v>20</v>
      </c>
      <c r="G110" s="73" t="str">
        <f t="shared" si="11"/>
        <v>Stiklas</v>
      </c>
      <c r="H110" s="73" t="str">
        <f t="shared" si="12"/>
        <v>Plonas</v>
      </c>
      <c r="I110" s="199">
        <v>43668</v>
      </c>
      <c r="J110" s="130">
        <v>0.8</v>
      </c>
      <c r="K110" s="130">
        <v>0.28000000000000003</v>
      </c>
      <c r="L110" s="73">
        <v>1</v>
      </c>
      <c r="M110" s="130">
        <f t="shared" si="4"/>
        <v>2.16</v>
      </c>
      <c r="N110" s="130">
        <f t="shared" si="5"/>
        <v>5.55</v>
      </c>
      <c r="O110" s="73">
        <f t="shared" si="6"/>
        <v>11.988</v>
      </c>
      <c r="P110" s="73">
        <f t="shared" si="7"/>
        <v>0.22400000000000003</v>
      </c>
      <c r="Q110" s="130">
        <f t="shared" si="8"/>
        <v>10.199999999999999</v>
      </c>
      <c r="R110" s="130">
        <f t="shared" si="9"/>
        <v>2.2848000000000002</v>
      </c>
      <c r="S110" s="130">
        <f t="shared" si="10"/>
        <v>14.2728</v>
      </c>
    </row>
    <row r="111" spans="3:19" x14ac:dyDescent="0.25">
      <c r="C111" s="73">
        <v>11</v>
      </c>
      <c r="D111" s="73" t="str">
        <f t="shared" si="2"/>
        <v>Medis</v>
      </c>
      <c r="E111" s="73" t="str">
        <f t="shared" si="3"/>
        <v>Pastorintas</v>
      </c>
      <c r="F111" s="73">
        <v>24</v>
      </c>
      <c r="G111" s="73" t="str">
        <f t="shared" si="11"/>
        <v>Nėra</v>
      </c>
      <c r="H111" s="73" t="str">
        <f t="shared" si="12"/>
        <v>Nėra</v>
      </c>
      <c r="I111" s="199">
        <v>43674</v>
      </c>
      <c r="J111" s="130">
        <v>0.98</v>
      </c>
      <c r="K111" s="130">
        <v>0.25</v>
      </c>
      <c r="L111" s="73">
        <v>1</v>
      </c>
      <c r="M111" s="130">
        <f t="shared" si="4"/>
        <v>2.46</v>
      </c>
      <c r="N111" s="130">
        <f t="shared" si="5"/>
        <v>2.9</v>
      </c>
      <c r="O111" s="73">
        <f t="shared" si="6"/>
        <v>7.1339999999999995</v>
      </c>
      <c r="P111" s="73">
        <f t="shared" si="7"/>
        <v>0.245</v>
      </c>
      <c r="Q111" s="130">
        <f t="shared" si="8"/>
        <v>0</v>
      </c>
      <c r="R111" s="130">
        <f t="shared" si="9"/>
        <v>0</v>
      </c>
      <c r="S111" s="130">
        <f t="shared" si="10"/>
        <v>7.1339999999999995</v>
      </c>
    </row>
    <row r="112" spans="3:19" x14ac:dyDescent="0.25">
      <c r="C112" s="73">
        <v>13</v>
      </c>
      <c r="D112" s="73" t="str">
        <f t="shared" si="2"/>
        <v>Metalas</v>
      </c>
      <c r="E112" s="73" t="str">
        <f t="shared" si="3"/>
        <v>Pastorintas</v>
      </c>
      <c r="F112" s="73">
        <v>23</v>
      </c>
      <c r="G112" s="73" t="str">
        <f t="shared" si="11"/>
        <v>Plėvelė</v>
      </c>
      <c r="H112" s="73" t="str">
        <f t="shared" si="12"/>
        <v>Matinė</v>
      </c>
      <c r="I112" s="199">
        <v>43680</v>
      </c>
      <c r="J112" s="130">
        <v>0.57999999999999996</v>
      </c>
      <c r="K112" s="130">
        <v>0.84</v>
      </c>
      <c r="L112" s="73">
        <v>3</v>
      </c>
      <c r="M112" s="130">
        <f t="shared" si="4"/>
        <v>8.52</v>
      </c>
      <c r="N112" s="130">
        <f t="shared" si="5"/>
        <v>5.55</v>
      </c>
      <c r="O112" s="73">
        <f t="shared" si="6"/>
        <v>47.285999999999994</v>
      </c>
      <c r="P112" s="73">
        <f t="shared" si="7"/>
        <v>1.4615999999999998</v>
      </c>
      <c r="Q112" s="130">
        <f t="shared" si="8"/>
        <v>14.25</v>
      </c>
      <c r="R112" s="130">
        <f t="shared" si="9"/>
        <v>20.827799999999996</v>
      </c>
      <c r="S112" s="130">
        <f t="shared" si="10"/>
        <v>68.113799999999998</v>
      </c>
    </row>
    <row r="113" spans="3:19" x14ac:dyDescent="0.25">
      <c r="C113" s="73">
        <v>11</v>
      </c>
      <c r="D113" s="73" t="str">
        <f t="shared" si="2"/>
        <v>Medis</v>
      </c>
      <c r="E113" s="73" t="str">
        <f t="shared" si="3"/>
        <v>Pastorintas</v>
      </c>
      <c r="F113" s="73">
        <v>22</v>
      </c>
      <c r="G113" s="73" t="str">
        <f t="shared" si="11"/>
        <v>Plėvelė</v>
      </c>
      <c r="H113" s="73" t="str">
        <f t="shared" si="12"/>
        <v>Skaidri</v>
      </c>
      <c r="I113" s="199">
        <v>43686</v>
      </c>
      <c r="J113" s="130">
        <v>0.35</v>
      </c>
      <c r="K113" s="130">
        <v>0.89</v>
      </c>
      <c r="L113" s="73">
        <v>2</v>
      </c>
      <c r="M113" s="130">
        <f t="shared" si="4"/>
        <v>4.96</v>
      </c>
      <c r="N113" s="130">
        <f t="shared" si="5"/>
        <v>2.9</v>
      </c>
      <c r="O113" s="73">
        <f t="shared" si="6"/>
        <v>14.384</v>
      </c>
      <c r="P113" s="73">
        <f t="shared" si="7"/>
        <v>0.623</v>
      </c>
      <c r="Q113" s="130">
        <f t="shared" si="8"/>
        <v>10.45</v>
      </c>
      <c r="R113" s="130">
        <f t="shared" si="9"/>
        <v>6.5103499999999999</v>
      </c>
      <c r="S113" s="130">
        <f t="shared" si="10"/>
        <v>20.894349999999999</v>
      </c>
    </row>
    <row r="114" spans="3:19" x14ac:dyDescent="0.25">
      <c r="C114" s="73">
        <v>15</v>
      </c>
      <c r="D114" s="73" t="str">
        <f t="shared" si="2"/>
        <v>Plastikas</v>
      </c>
      <c r="E114" s="73" t="str">
        <f t="shared" si="3"/>
        <v>Pastorintas</v>
      </c>
      <c r="F114" s="73">
        <v>21</v>
      </c>
      <c r="G114" s="73" t="str">
        <f t="shared" si="11"/>
        <v>Stiklas</v>
      </c>
      <c r="H114" s="73" t="str">
        <f t="shared" si="12"/>
        <v>Pastorintas</v>
      </c>
      <c r="I114" s="199">
        <v>43692</v>
      </c>
      <c r="J114" s="130">
        <v>0.33</v>
      </c>
      <c r="K114" s="130">
        <v>0.48</v>
      </c>
      <c r="L114" s="73">
        <v>4</v>
      </c>
      <c r="M114" s="130">
        <f t="shared" si="4"/>
        <v>6.48</v>
      </c>
      <c r="N114" s="130">
        <f t="shared" si="5"/>
        <v>2.6</v>
      </c>
      <c r="O114" s="73">
        <f t="shared" si="6"/>
        <v>16.848000000000003</v>
      </c>
      <c r="P114" s="73">
        <f t="shared" si="7"/>
        <v>0.63360000000000005</v>
      </c>
      <c r="Q114" s="130">
        <f t="shared" si="8"/>
        <v>6.6</v>
      </c>
      <c r="R114" s="130">
        <f t="shared" si="9"/>
        <v>4.1817599999999997</v>
      </c>
      <c r="S114" s="130">
        <f t="shared" si="10"/>
        <v>21.029760000000003</v>
      </c>
    </row>
    <row r="115" spans="3:19" x14ac:dyDescent="0.25">
      <c r="C115" s="73">
        <v>15</v>
      </c>
      <c r="D115" s="73" t="str">
        <f t="shared" si="2"/>
        <v>Plastikas</v>
      </c>
      <c r="E115" s="73" t="str">
        <f t="shared" si="3"/>
        <v>Pastorintas</v>
      </c>
      <c r="F115" s="73">
        <v>20</v>
      </c>
      <c r="G115" s="73" t="str">
        <f t="shared" si="11"/>
        <v>Stiklas</v>
      </c>
      <c r="H115" s="73" t="str">
        <f t="shared" si="12"/>
        <v>Plonas</v>
      </c>
      <c r="I115" s="199">
        <v>43698</v>
      </c>
      <c r="J115" s="130">
        <v>0.86</v>
      </c>
      <c r="K115" s="130">
        <v>0.49</v>
      </c>
      <c r="L115" s="73">
        <v>1</v>
      </c>
      <c r="M115" s="130">
        <f t="shared" si="4"/>
        <v>2.7</v>
      </c>
      <c r="N115" s="130">
        <f t="shared" si="5"/>
        <v>2.6</v>
      </c>
      <c r="O115" s="73">
        <f t="shared" si="6"/>
        <v>7.0200000000000005</v>
      </c>
      <c r="P115" s="73">
        <f t="shared" si="7"/>
        <v>0.4214</v>
      </c>
      <c r="Q115" s="130">
        <f t="shared" si="8"/>
        <v>10.6</v>
      </c>
      <c r="R115" s="130">
        <f t="shared" si="9"/>
        <v>4.4668399999999995</v>
      </c>
      <c r="S115" s="130">
        <f t="shared" si="10"/>
        <v>11.486840000000001</v>
      </c>
    </row>
    <row r="116" spans="3:19" x14ac:dyDescent="0.25">
      <c r="C116" s="73">
        <v>14</v>
      </c>
      <c r="D116" s="73" t="str">
        <f t="shared" si="2"/>
        <v>Plastikas</v>
      </c>
      <c r="E116" s="73" t="str">
        <f t="shared" si="3"/>
        <v>Plonas</v>
      </c>
      <c r="F116" s="73">
        <v>23</v>
      </c>
      <c r="G116" s="73" t="str">
        <f t="shared" si="11"/>
        <v>Plėvelė</v>
      </c>
      <c r="H116" s="73" t="str">
        <f t="shared" si="12"/>
        <v>Matinė</v>
      </c>
      <c r="I116" s="199">
        <v>43704</v>
      </c>
      <c r="J116" s="130">
        <v>0.9</v>
      </c>
      <c r="K116" s="130">
        <v>0.33</v>
      </c>
      <c r="L116" s="73">
        <v>4</v>
      </c>
      <c r="M116" s="130">
        <f t="shared" si="4"/>
        <v>9.84</v>
      </c>
      <c r="N116" s="130">
        <f t="shared" si="5"/>
        <v>1.2</v>
      </c>
      <c r="O116" s="73">
        <f t="shared" si="6"/>
        <v>11.808</v>
      </c>
      <c r="P116" s="73">
        <f t="shared" si="7"/>
        <v>1.1880000000000002</v>
      </c>
      <c r="Q116" s="130">
        <f t="shared" si="8"/>
        <v>15</v>
      </c>
      <c r="R116" s="130">
        <f t="shared" si="9"/>
        <v>17.820000000000004</v>
      </c>
      <c r="S116" s="130">
        <f t="shared" si="10"/>
        <v>29.628000000000004</v>
      </c>
    </row>
    <row r="117" spans="3:19" x14ac:dyDescent="0.25">
      <c r="C117" s="73">
        <v>11</v>
      </c>
      <c r="D117" s="73" t="str">
        <f t="shared" si="2"/>
        <v>Medis</v>
      </c>
      <c r="E117" s="73" t="str">
        <f t="shared" si="3"/>
        <v>Pastorintas</v>
      </c>
      <c r="F117" s="73">
        <v>21</v>
      </c>
      <c r="G117" s="73" t="str">
        <f t="shared" si="11"/>
        <v>Stiklas</v>
      </c>
      <c r="H117" s="73" t="str">
        <f t="shared" si="12"/>
        <v>Pastorintas</v>
      </c>
      <c r="I117" s="199">
        <v>43710</v>
      </c>
      <c r="J117" s="130">
        <v>0.56999999999999995</v>
      </c>
      <c r="K117" s="130">
        <v>0.72</v>
      </c>
      <c r="L117" s="73">
        <v>3</v>
      </c>
      <c r="M117" s="130">
        <f t="shared" si="4"/>
        <v>7.74</v>
      </c>
      <c r="N117" s="130">
        <f t="shared" si="5"/>
        <v>3</v>
      </c>
      <c r="O117" s="73">
        <f t="shared" si="6"/>
        <v>23.22</v>
      </c>
      <c r="P117" s="73">
        <f t="shared" si="7"/>
        <v>1.2311999999999999</v>
      </c>
      <c r="Q117" s="130">
        <f t="shared" si="8"/>
        <v>6.6</v>
      </c>
      <c r="R117" s="130">
        <f t="shared" si="9"/>
        <v>8.1259199999999989</v>
      </c>
      <c r="S117" s="130">
        <f t="shared" si="10"/>
        <v>31.34592</v>
      </c>
    </row>
    <row r="118" spans="3:19" x14ac:dyDescent="0.25">
      <c r="C118" s="73">
        <v>15</v>
      </c>
      <c r="D118" s="73" t="str">
        <f t="shared" si="2"/>
        <v>Plastikas</v>
      </c>
      <c r="E118" s="73" t="str">
        <f t="shared" si="3"/>
        <v>Pastorintas</v>
      </c>
      <c r="F118" s="73">
        <v>24</v>
      </c>
      <c r="G118" s="73" t="str">
        <f t="shared" si="11"/>
        <v>Nėra</v>
      </c>
      <c r="H118" s="73" t="str">
        <f t="shared" si="12"/>
        <v>Nėra</v>
      </c>
      <c r="I118" s="199">
        <v>43716</v>
      </c>
      <c r="J118" s="130">
        <v>0.67</v>
      </c>
      <c r="K118" s="130">
        <v>1.1000000000000001</v>
      </c>
      <c r="L118" s="73">
        <v>3</v>
      </c>
      <c r="M118" s="130">
        <f t="shared" si="4"/>
        <v>10.620000000000001</v>
      </c>
      <c r="N118" s="130">
        <f t="shared" si="5"/>
        <v>2.6</v>
      </c>
      <c r="O118" s="73">
        <f t="shared" si="6"/>
        <v>27.612000000000002</v>
      </c>
      <c r="P118" s="73">
        <f t="shared" si="7"/>
        <v>2.2110000000000003</v>
      </c>
      <c r="Q118" s="130">
        <f t="shared" si="8"/>
        <v>0</v>
      </c>
      <c r="R118" s="130">
        <f t="shared" si="9"/>
        <v>0</v>
      </c>
      <c r="S118" s="130">
        <f t="shared" si="10"/>
        <v>27.612000000000002</v>
      </c>
    </row>
    <row r="119" spans="3:19" x14ac:dyDescent="0.25">
      <c r="C119" s="73">
        <v>14</v>
      </c>
      <c r="D119" s="73" t="str">
        <f t="shared" si="2"/>
        <v>Plastikas</v>
      </c>
      <c r="E119" s="73" t="str">
        <f t="shared" si="3"/>
        <v>Plonas</v>
      </c>
      <c r="F119" s="73">
        <v>20</v>
      </c>
      <c r="G119" s="73" t="str">
        <f t="shared" si="11"/>
        <v>Stiklas</v>
      </c>
      <c r="H119" s="73" t="str">
        <f t="shared" si="12"/>
        <v>Plonas</v>
      </c>
      <c r="I119" s="199">
        <v>43722</v>
      </c>
      <c r="J119" s="130">
        <v>0.32</v>
      </c>
      <c r="K119" s="130">
        <v>0.76</v>
      </c>
      <c r="L119" s="73">
        <v>2</v>
      </c>
      <c r="M119" s="130">
        <f t="shared" si="4"/>
        <v>4.32</v>
      </c>
      <c r="N119" s="130">
        <f t="shared" si="5"/>
        <v>1.2</v>
      </c>
      <c r="O119" s="73">
        <f t="shared" si="6"/>
        <v>5.1840000000000002</v>
      </c>
      <c r="P119" s="73">
        <f t="shared" si="7"/>
        <v>0.4864</v>
      </c>
      <c r="Q119" s="130">
        <f t="shared" si="8"/>
        <v>10.6</v>
      </c>
      <c r="R119" s="130">
        <f t="shared" si="9"/>
        <v>5.1558399999999995</v>
      </c>
      <c r="S119" s="130">
        <f t="shared" si="10"/>
        <v>10.339839999999999</v>
      </c>
    </row>
    <row r="120" spans="3:19" x14ac:dyDescent="0.25">
      <c r="C120" s="73">
        <v>10</v>
      </c>
      <c r="D120" s="73" t="str">
        <f t="shared" si="2"/>
        <v>Medis</v>
      </c>
      <c r="E120" s="73" t="str">
        <f t="shared" si="3"/>
        <v>Plonas</v>
      </c>
      <c r="F120" s="73">
        <v>21</v>
      </c>
      <c r="G120" s="73" t="str">
        <f t="shared" si="11"/>
        <v>Stiklas</v>
      </c>
      <c r="H120" s="73" t="str">
        <f t="shared" si="12"/>
        <v>Pastorintas</v>
      </c>
      <c r="I120" s="199">
        <v>43728</v>
      </c>
      <c r="J120" s="130">
        <v>0.37</v>
      </c>
      <c r="K120" s="130">
        <v>1.1100000000000001</v>
      </c>
      <c r="L120" s="73">
        <v>2</v>
      </c>
      <c r="M120" s="130">
        <f t="shared" si="4"/>
        <v>5.92</v>
      </c>
      <c r="N120" s="130">
        <f t="shared" si="5"/>
        <v>2</v>
      </c>
      <c r="O120" s="73">
        <f t="shared" si="6"/>
        <v>11.84</v>
      </c>
      <c r="P120" s="73">
        <f t="shared" si="7"/>
        <v>0.82140000000000002</v>
      </c>
      <c r="Q120" s="130">
        <f t="shared" si="8"/>
        <v>6.6</v>
      </c>
      <c r="R120" s="130">
        <f t="shared" si="9"/>
        <v>5.4212400000000001</v>
      </c>
      <c r="S120" s="130">
        <f t="shared" si="10"/>
        <v>17.261240000000001</v>
      </c>
    </row>
    <row r="121" spans="3:19" x14ac:dyDescent="0.25">
      <c r="C121" s="73">
        <v>12</v>
      </c>
      <c r="D121" s="73" t="str">
        <f t="shared" si="2"/>
        <v>Metalas</v>
      </c>
      <c r="E121" s="73" t="str">
        <f t="shared" si="3"/>
        <v>Plonas</v>
      </c>
      <c r="F121" s="73">
        <v>23</v>
      </c>
      <c r="G121" s="73" t="str">
        <f t="shared" si="11"/>
        <v>Plėvelė</v>
      </c>
      <c r="H121" s="73" t="str">
        <f t="shared" si="12"/>
        <v>Matinė</v>
      </c>
      <c r="I121" s="199">
        <v>43734</v>
      </c>
      <c r="J121" s="130">
        <v>1.23</v>
      </c>
      <c r="K121" s="130">
        <v>0.64</v>
      </c>
      <c r="L121" s="73">
        <v>1</v>
      </c>
      <c r="M121" s="130">
        <f t="shared" si="4"/>
        <v>3.74</v>
      </c>
      <c r="N121" s="130">
        <f t="shared" si="5"/>
        <v>4.2</v>
      </c>
      <c r="O121" s="73">
        <f t="shared" si="6"/>
        <v>15.708000000000002</v>
      </c>
      <c r="P121" s="73">
        <f t="shared" si="7"/>
        <v>0.78720000000000001</v>
      </c>
      <c r="Q121" s="130">
        <f t="shared" si="8"/>
        <v>15</v>
      </c>
      <c r="R121" s="130">
        <f t="shared" si="9"/>
        <v>11.808</v>
      </c>
      <c r="S121" s="130">
        <f t="shared" si="10"/>
        <v>27.516000000000002</v>
      </c>
    </row>
    <row r="122" spans="3:19" x14ac:dyDescent="0.25">
      <c r="C122" s="73">
        <v>13</v>
      </c>
      <c r="D122" s="73" t="str">
        <f t="shared" si="2"/>
        <v>Metalas</v>
      </c>
      <c r="E122" s="73" t="str">
        <f t="shared" si="3"/>
        <v>Pastorintas</v>
      </c>
      <c r="F122" s="73">
        <v>23</v>
      </c>
      <c r="G122" s="73" t="str">
        <f t="shared" si="11"/>
        <v>Plėvelė</v>
      </c>
      <c r="H122" s="73" t="str">
        <f t="shared" si="12"/>
        <v>Matinė</v>
      </c>
      <c r="I122" s="199">
        <v>43740</v>
      </c>
      <c r="J122" s="130">
        <v>1.1100000000000001</v>
      </c>
      <c r="K122" s="130">
        <v>1.01</v>
      </c>
      <c r="L122" s="73">
        <v>4</v>
      </c>
      <c r="M122" s="130">
        <f t="shared" si="4"/>
        <v>16.96</v>
      </c>
      <c r="N122" s="130">
        <f t="shared" si="5"/>
        <v>5.55</v>
      </c>
      <c r="O122" s="73">
        <f t="shared" si="6"/>
        <v>94.128</v>
      </c>
      <c r="P122" s="73">
        <f t="shared" si="7"/>
        <v>4.4844000000000008</v>
      </c>
      <c r="Q122" s="130">
        <f t="shared" si="8"/>
        <v>15</v>
      </c>
      <c r="R122" s="130">
        <f t="shared" si="9"/>
        <v>67.26600000000002</v>
      </c>
      <c r="S122" s="130">
        <f t="shared" si="10"/>
        <v>161.39400000000001</v>
      </c>
    </row>
    <row r="123" spans="3:19" x14ac:dyDescent="0.25">
      <c r="C123" s="73">
        <v>11</v>
      </c>
      <c r="D123" s="73" t="str">
        <f t="shared" si="2"/>
        <v>Medis</v>
      </c>
      <c r="E123" s="73" t="str">
        <f t="shared" si="3"/>
        <v>Pastorintas</v>
      </c>
      <c r="F123" s="73">
        <v>23</v>
      </c>
      <c r="G123" s="73" t="str">
        <f t="shared" si="11"/>
        <v>Plėvelė</v>
      </c>
      <c r="H123" s="73" t="str">
        <f t="shared" si="12"/>
        <v>Matinė</v>
      </c>
      <c r="I123" s="199">
        <v>43746</v>
      </c>
      <c r="J123" s="130">
        <v>0.77</v>
      </c>
      <c r="K123" s="130">
        <v>0.99</v>
      </c>
      <c r="L123" s="73">
        <v>2</v>
      </c>
      <c r="M123" s="130">
        <f t="shared" si="4"/>
        <v>7.04</v>
      </c>
      <c r="N123" s="130">
        <f t="shared" si="5"/>
        <v>3.2</v>
      </c>
      <c r="O123" s="73">
        <f t="shared" si="6"/>
        <v>22.528000000000002</v>
      </c>
      <c r="P123" s="73">
        <f t="shared" si="7"/>
        <v>1.5246</v>
      </c>
      <c r="Q123" s="130">
        <f t="shared" si="8"/>
        <v>15</v>
      </c>
      <c r="R123" s="130">
        <f t="shared" si="9"/>
        <v>22.869</v>
      </c>
      <c r="S123" s="130">
        <f t="shared" si="10"/>
        <v>45.397000000000006</v>
      </c>
    </row>
    <row r="124" spans="3:19" x14ac:dyDescent="0.25">
      <c r="C124" s="73">
        <v>13</v>
      </c>
      <c r="D124" s="73" t="str">
        <f t="shared" si="2"/>
        <v>Metalas</v>
      </c>
      <c r="E124" s="73" t="str">
        <f t="shared" si="3"/>
        <v>Pastorintas</v>
      </c>
      <c r="F124" s="73">
        <v>21</v>
      </c>
      <c r="G124" s="73" t="str">
        <f t="shared" si="11"/>
        <v>Stiklas</v>
      </c>
      <c r="H124" s="73" t="str">
        <f t="shared" si="12"/>
        <v>Pastorintas</v>
      </c>
      <c r="I124" s="199">
        <v>43752</v>
      </c>
      <c r="J124" s="130">
        <v>0.53</v>
      </c>
      <c r="K124" s="130">
        <v>1.06</v>
      </c>
      <c r="L124" s="73">
        <v>3</v>
      </c>
      <c r="M124" s="130">
        <f t="shared" si="4"/>
        <v>9.5400000000000009</v>
      </c>
      <c r="N124" s="130">
        <f t="shared" si="5"/>
        <v>5.55</v>
      </c>
      <c r="O124" s="73">
        <f t="shared" si="6"/>
        <v>52.947000000000003</v>
      </c>
      <c r="P124" s="73">
        <f t="shared" si="7"/>
        <v>1.6854000000000002</v>
      </c>
      <c r="Q124" s="130">
        <f t="shared" si="8"/>
        <v>6.5</v>
      </c>
      <c r="R124" s="130">
        <f t="shared" si="9"/>
        <v>10.955100000000002</v>
      </c>
      <c r="S124" s="130">
        <f t="shared" si="10"/>
        <v>63.902100000000004</v>
      </c>
    </row>
    <row r="125" spans="3:19" x14ac:dyDescent="0.25">
      <c r="C125" s="73">
        <v>10</v>
      </c>
      <c r="D125" s="73" t="str">
        <f t="shared" si="2"/>
        <v>Medis</v>
      </c>
      <c r="E125" s="73" t="str">
        <f t="shared" si="3"/>
        <v>Plonas</v>
      </c>
      <c r="F125" s="73">
        <v>22</v>
      </c>
      <c r="G125" s="73" t="str">
        <f t="shared" si="11"/>
        <v>Plėvelė</v>
      </c>
      <c r="H125" s="73" t="str">
        <f t="shared" si="12"/>
        <v>Skaidri</v>
      </c>
      <c r="I125" s="199">
        <v>43758</v>
      </c>
      <c r="J125" s="130">
        <v>0.39</v>
      </c>
      <c r="K125" s="130">
        <v>0.93</v>
      </c>
      <c r="L125" s="73">
        <v>1</v>
      </c>
      <c r="M125" s="130">
        <f t="shared" si="4"/>
        <v>2.64</v>
      </c>
      <c r="N125" s="130">
        <f t="shared" si="5"/>
        <v>2</v>
      </c>
      <c r="O125" s="73">
        <f t="shared" si="6"/>
        <v>5.28</v>
      </c>
      <c r="P125" s="73">
        <f t="shared" si="7"/>
        <v>0.36270000000000002</v>
      </c>
      <c r="Q125" s="130">
        <f t="shared" si="8"/>
        <v>11.5</v>
      </c>
      <c r="R125" s="130">
        <f t="shared" si="9"/>
        <v>4.1710500000000001</v>
      </c>
      <c r="S125" s="130">
        <f t="shared" si="10"/>
        <v>9.4510500000000004</v>
      </c>
    </row>
    <row r="126" spans="3:19" x14ac:dyDescent="0.25">
      <c r="C126" s="73">
        <v>10</v>
      </c>
      <c r="D126" s="73" t="str">
        <f t="shared" si="2"/>
        <v>Medis</v>
      </c>
      <c r="E126" s="73" t="str">
        <f t="shared" si="3"/>
        <v>Plonas</v>
      </c>
      <c r="F126" s="73">
        <v>20</v>
      </c>
      <c r="G126" s="73" t="str">
        <f t="shared" si="11"/>
        <v>Stiklas</v>
      </c>
      <c r="H126" s="73" t="str">
        <f t="shared" si="12"/>
        <v>Plonas</v>
      </c>
      <c r="I126" s="199">
        <v>43764</v>
      </c>
      <c r="J126" s="130">
        <v>0.67</v>
      </c>
      <c r="K126" s="130">
        <v>1.1399999999999999</v>
      </c>
      <c r="L126" s="73">
        <v>3</v>
      </c>
      <c r="M126" s="130">
        <f t="shared" si="4"/>
        <v>10.86</v>
      </c>
      <c r="N126" s="130">
        <f t="shared" si="5"/>
        <v>2</v>
      </c>
      <c r="O126" s="73">
        <f t="shared" si="6"/>
        <v>21.72</v>
      </c>
      <c r="P126" s="73">
        <f t="shared" si="7"/>
        <v>2.2914000000000003</v>
      </c>
      <c r="Q126" s="130">
        <f t="shared" si="8"/>
        <v>11</v>
      </c>
      <c r="R126" s="130">
        <f t="shared" si="9"/>
        <v>25.205400000000004</v>
      </c>
      <c r="S126" s="130">
        <f t="shared" si="10"/>
        <v>46.925400000000003</v>
      </c>
    </row>
    <row r="127" spans="3:19" x14ac:dyDescent="0.25">
      <c r="C127" s="73">
        <v>10</v>
      </c>
      <c r="D127" s="73" t="str">
        <f t="shared" si="2"/>
        <v>Medis</v>
      </c>
      <c r="E127" s="73" t="str">
        <f t="shared" si="3"/>
        <v>Plonas</v>
      </c>
      <c r="F127" s="73">
        <v>22</v>
      </c>
      <c r="G127" s="73" t="str">
        <f t="shared" si="11"/>
        <v>Plėvelė</v>
      </c>
      <c r="H127" s="73" t="str">
        <f t="shared" si="12"/>
        <v>Skaidri</v>
      </c>
      <c r="I127" s="199">
        <v>43770</v>
      </c>
      <c r="J127" s="130">
        <v>0.31</v>
      </c>
      <c r="K127" s="130">
        <v>0.72</v>
      </c>
      <c r="L127" s="73">
        <v>2</v>
      </c>
      <c r="M127" s="130">
        <f t="shared" si="4"/>
        <v>4.12</v>
      </c>
      <c r="N127" s="130">
        <f t="shared" si="5"/>
        <v>2</v>
      </c>
      <c r="O127" s="73">
        <f t="shared" si="6"/>
        <v>8.24</v>
      </c>
      <c r="P127" s="73">
        <f t="shared" si="7"/>
        <v>0.44639999999999996</v>
      </c>
      <c r="Q127" s="130">
        <f t="shared" si="8"/>
        <v>11.5</v>
      </c>
      <c r="R127" s="130">
        <f t="shared" si="9"/>
        <v>5.1335999999999995</v>
      </c>
      <c r="S127" s="130">
        <f t="shared" si="10"/>
        <v>13.3736</v>
      </c>
    </row>
    <row r="128" spans="3:19" x14ac:dyDescent="0.25">
      <c r="C128" s="73">
        <v>12</v>
      </c>
      <c r="D128" s="73" t="str">
        <f t="shared" si="2"/>
        <v>Metalas</v>
      </c>
      <c r="E128" s="73" t="str">
        <f t="shared" si="3"/>
        <v>Plonas</v>
      </c>
      <c r="F128" s="73">
        <v>20</v>
      </c>
      <c r="G128" s="73" t="str">
        <f t="shared" si="11"/>
        <v>Stiklas</v>
      </c>
      <c r="H128" s="73" t="str">
        <f t="shared" si="12"/>
        <v>Plonas</v>
      </c>
      <c r="I128" s="199">
        <v>43782</v>
      </c>
      <c r="J128" s="130">
        <v>1.05</v>
      </c>
      <c r="K128" s="130">
        <v>1.17</v>
      </c>
      <c r="L128" s="73">
        <v>4</v>
      </c>
      <c r="M128" s="130">
        <f t="shared" si="4"/>
        <v>17.759999999999998</v>
      </c>
      <c r="N128" s="130">
        <f t="shared" si="5"/>
        <v>4.83</v>
      </c>
      <c r="O128" s="73">
        <f t="shared" si="6"/>
        <v>85.780799999999985</v>
      </c>
      <c r="P128" s="73">
        <f t="shared" si="7"/>
        <v>4.9139999999999997</v>
      </c>
      <c r="Q128" s="130">
        <f t="shared" si="8"/>
        <v>12.19</v>
      </c>
      <c r="R128" s="130">
        <f t="shared" si="9"/>
        <v>59.901659999999993</v>
      </c>
      <c r="S128" s="130">
        <f t="shared" si="10"/>
        <v>145.68245999999999</v>
      </c>
    </row>
    <row r="129" spans="19:19" x14ac:dyDescent="0.25">
      <c r="S129" s="345">
        <f>SUM(S81:S128)</f>
        <v>1596.2501770000003</v>
      </c>
    </row>
  </sheetData>
  <mergeCells count="6">
    <mergeCell ref="F63:M63"/>
    <mergeCell ref="B35:L36"/>
    <mergeCell ref="D38:G38"/>
    <mergeCell ref="D46:D48"/>
    <mergeCell ref="E46:E47"/>
    <mergeCell ref="B59:L60"/>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28"/>
  <sheetViews>
    <sheetView zoomScaleNormal="100" workbookViewId="0">
      <selection activeCell="L26" sqref="L26"/>
    </sheetView>
  </sheetViews>
  <sheetFormatPr defaultRowHeight="15" x14ac:dyDescent="0.25"/>
  <cols>
    <col min="1" max="1" width="14.85546875" customWidth="1"/>
    <col min="2" max="2" width="11.42578125" customWidth="1"/>
    <col min="3" max="3" width="13" customWidth="1"/>
    <col min="4" max="4" width="13.5703125" customWidth="1"/>
    <col min="5" max="6" width="10.85546875" bestFit="1" customWidth="1"/>
    <col min="7" max="7" width="10.5703125" bestFit="1" customWidth="1"/>
    <col min="8" max="8" width="10.5703125" customWidth="1"/>
    <col min="9" max="9" width="10.42578125" bestFit="1" customWidth="1"/>
    <col min="10" max="10" width="10.5703125" customWidth="1"/>
    <col min="11" max="11" width="11.42578125" customWidth="1"/>
    <col min="12" max="12" width="10.85546875" customWidth="1"/>
    <col min="13" max="14" width="10.42578125" bestFit="1" customWidth="1"/>
    <col min="15" max="16" width="11.42578125" customWidth="1"/>
  </cols>
  <sheetData>
    <row r="1" spans="1:16" ht="23.25" x14ac:dyDescent="0.35">
      <c r="A1" s="1" t="s">
        <v>817</v>
      </c>
      <c r="B1" s="1" t="s">
        <v>410</v>
      </c>
      <c r="C1" s="1"/>
      <c r="D1" s="1"/>
      <c r="E1" s="1"/>
      <c r="F1" s="1"/>
      <c r="G1" s="1"/>
      <c r="H1" s="1"/>
      <c r="I1" s="1"/>
      <c r="J1" s="1"/>
      <c r="K1" s="1"/>
      <c r="L1" s="1"/>
      <c r="M1" s="1"/>
      <c r="N1" s="1"/>
      <c r="O1" s="1"/>
      <c r="P1" s="1"/>
    </row>
    <row r="2" spans="1:16" x14ac:dyDescent="0.25">
      <c r="A2" s="2"/>
      <c r="B2" s="2"/>
      <c r="C2" s="2"/>
      <c r="D2" s="2"/>
      <c r="E2" s="2"/>
      <c r="F2" s="2"/>
      <c r="G2" s="2"/>
      <c r="H2" s="2"/>
      <c r="I2" s="2"/>
      <c r="J2" s="2"/>
      <c r="K2" s="2"/>
      <c r="L2" s="2"/>
      <c r="M2" s="2"/>
      <c r="N2" s="2"/>
      <c r="O2" s="2"/>
      <c r="P2" s="2"/>
    </row>
    <row r="3" spans="1:16" ht="14.45" customHeight="1" x14ac:dyDescent="0.25">
      <c r="A3" s="420" t="s">
        <v>921</v>
      </c>
      <c r="B3" s="413"/>
      <c r="C3" s="413"/>
      <c r="D3" s="413"/>
      <c r="E3" s="413"/>
      <c r="F3" s="413"/>
      <c r="G3" s="413"/>
      <c r="H3" s="413"/>
      <c r="I3" s="413"/>
      <c r="J3" s="413"/>
      <c r="K3" s="413"/>
      <c r="L3" s="413"/>
      <c r="M3" s="413"/>
      <c r="N3" s="413"/>
      <c r="O3" s="413"/>
      <c r="P3" s="413"/>
    </row>
    <row r="4" spans="1:16" x14ac:dyDescent="0.25">
      <c r="A4" s="413"/>
      <c r="B4" s="413"/>
      <c r="C4" s="413"/>
      <c r="D4" s="413"/>
      <c r="E4" s="413"/>
      <c r="F4" s="413"/>
      <c r="G4" s="413"/>
      <c r="H4" s="413"/>
      <c r="I4" s="413"/>
      <c r="J4" s="413"/>
      <c r="K4" s="413"/>
      <c r="L4" s="413"/>
      <c r="M4" s="413"/>
      <c r="N4" s="413"/>
      <c r="O4" s="413"/>
      <c r="P4" s="413"/>
    </row>
    <row r="5" spans="1:16" x14ac:dyDescent="0.25">
      <c r="A5" s="2"/>
      <c r="B5" s="2"/>
      <c r="C5" s="2"/>
      <c r="D5" s="2"/>
      <c r="E5" s="2"/>
      <c r="F5" s="2"/>
      <c r="G5" s="2"/>
      <c r="H5" s="2"/>
      <c r="I5" s="2"/>
      <c r="J5" s="2"/>
      <c r="K5" s="2"/>
      <c r="L5" s="2"/>
      <c r="M5" s="2"/>
      <c r="N5" s="2"/>
      <c r="O5" s="2"/>
      <c r="P5" s="2"/>
    </row>
    <row r="6" spans="1:16" x14ac:dyDescent="0.25">
      <c r="A6" s="2"/>
      <c r="B6" s="48"/>
      <c r="C6" s="48" t="s">
        <v>411</v>
      </c>
      <c r="D6" s="48" t="s">
        <v>124</v>
      </c>
      <c r="E6" s="48" t="s">
        <v>39</v>
      </c>
      <c r="F6" s="2"/>
      <c r="G6" s="2"/>
      <c r="H6" s="2"/>
      <c r="I6" s="2"/>
      <c r="J6" s="2"/>
      <c r="K6" s="2"/>
      <c r="L6" s="2"/>
      <c r="M6" s="2"/>
      <c r="N6" s="2"/>
      <c r="O6" s="2"/>
      <c r="P6" s="2"/>
    </row>
    <row r="7" spans="1:16" x14ac:dyDescent="0.25">
      <c r="A7" s="2"/>
      <c r="B7" s="2" t="s">
        <v>412</v>
      </c>
      <c r="C7" s="2">
        <v>20</v>
      </c>
      <c r="D7" s="2">
        <v>800</v>
      </c>
      <c r="E7" s="104">
        <f>IFERROR(D7/C7," ")</f>
        <v>40</v>
      </c>
      <c r="F7" s="2"/>
      <c r="G7" s="2"/>
      <c r="H7" s="2"/>
      <c r="I7" s="2"/>
      <c r="J7" s="2"/>
      <c r="K7" s="2"/>
      <c r="L7" s="2"/>
      <c r="M7" s="2"/>
      <c r="N7" s="2"/>
      <c r="O7" s="2"/>
      <c r="P7" s="2"/>
    </row>
    <row r="8" spans="1:16" x14ac:dyDescent="0.25">
      <c r="A8" s="2"/>
      <c r="B8" s="2" t="s">
        <v>413</v>
      </c>
      <c r="C8" s="2">
        <v>400</v>
      </c>
      <c r="D8" s="2">
        <v>6000</v>
      </c>
      <c r="E8" s="104">
        <f t="shared" ref="E8:E9" si="0">IFERROR(D8/C8," ")</f>
        <v>15</v>
      </c>
      <c r="F8" s="2"/>
      <c r="G8" s="2"/>
      <c r="H8" s="2"/>
      <c r="I8" s="2"/>
      <c r="J8" s="2"/>
      <c r="K8" s="2"/>
      <c r="L8" s="2"/>
      <c r="M8" s="2"/>
      <c r="N8" s="2"/>
      <c r="O8" s="2"/>
      <c r="P8" s="2"/>
    </row>
    <row r="9" spans="1:16" ht="15.75" thickBot="1" x14ac:dyDescent="0.3">
      <c r="A9" s="2"/>
      <c r="B9" s="105" t="s">
        <v>414</v>
      </c>
      <c r="C9" s="105">
        <v>0</v>
      </c>
      <c r="D9" s="105">
        <v>1000</v>
      </c>
      <c r="E9" s="104" t="str">
        <f t="shared" si="0"/>
        <v xml:space="preserve"> </v>
      </c>
      <c r="F9" s="2"/>
      <c r="G9" s="2"/>
      <c r="H9" s="2"/>
      <c r="I9" s="2"/>
      <c r="J9" s="2"/>
      <c r="K9" s="2"/>
      <c r="L9" s="2"/>
      <c r="M9" s="2"/>
      <c r="N9" s="2"/>
      <c r="O9" s="2"/>
      <c r="P9" s="2"/>
    </row>
    <row r="10" spans="1:16" ht="15.75" thickTop="1" x14ac:dyDescent="0.25">
      <c r="A10" s="2"/>
      <c r="B10" s="2" t="s">
        <v>723</v>
      </c>
      <c r="C10" s="2">
        <f>SUM(C7:C9)</f>
        <v>420</v>
      </c>
      <c r="D10" s="2">
        <f>SUM(D7:D9)</f>
        <v>7800</v>
      </c>
      <c r="E10" s="2"/>
      <c r="F10" s="2"/>
      <c r="G10" s="2"/>
      <c r="H10" s="2"/>
      <c r="I10" s="2"/>
      <c r="J10" s="2"/>
      <c r="K10" s="2"/>
      <c r="L10" s="2"/>
      <c r="M10" s="2"/>
      <c r="N10" s="2"/>
      <c r="O10" s="2"/>
      <c r="P10" s="2"/>
    </row>
    <row r="11" spans="1:16" x14ac:dyDescent="0.25">
      <c r="A11" s="2"/>
      <c r="B11" s="2"/>
      <c r="C11" s="2"/>
      <c r="D11" s="2"/>
      <c r="E11" s="2"/>
      <c r="F11" s="2"/>
      <c r="G11" s="2"/>
      <c r="H11" s="2"/>
      <c r="I11" s="2"/>
      <c r="J11" s="2"/>
      <c r="K11" s="2"/>
      <c r="L11" s="2"/>
      <c r="M11" s="2"/>
      <c r="N11" s="2"/>
      <c r="O11" s="2"/>
      <c r="P11" s="2"/>
    </row>
    <row r="12" spans="1:16" x14ac:dyDescent="0.25">
      <c r="A12" s="2"/>
      <c r="B12" s="2"/>
      <c r="C12" s="2"/>
      <c r="D12" s="2"/>
      <c r="E12" s="2"/>
      <c r="F12" s="2"/>
      <c r="G12" s="2"/>
      <c r="H12" s="2"/>
      <c r="I12" s="2"/>
      <c r="J12" s="2"/>
      <c r="K12" s="2"/>
      <c r="L12" s="2"/>
      <c r="M12" s="2"/>
      <c r="N12" s="2"/>
      <c r="O12" s="2"/>
      <c r="P12" s="2"/>
    </row>
    <row r="13" spans="1:16" ht="23.25" x14ac:dyDescent="0.35">
      <c r="A13" s="2"/>
      <c r="B13" s="2"/>
      <c r="C13" s="2"/>
      <c r="D13" s="215" t="s">
        <v>893</v>
      </c>
      <c r="E13" s="2"/>
      <c r="F13" s="2"/>
      <c r="G13" s="2"/>
      <c r="H13" s="2"/>
      <c r="I13" s="2"/>
      <c r="J13" s="2"/>
      <c r="K13" s="2"/>
      <c r="L13" s="2"/>
      <c r="M13" s="2"/>
      <c r="N13" s="2"/>
      <c r="O13" s="2"/>
      <c r="P13" s="2"/>
    </row>
    <row r="14" spans="1:16" x14ac:dyDescent="0.25">
      <c r="A14" s="2"/>
      <c r="B14" s="2"/>
      <c r="C14" s="2"/>
      <c r="D14" s="2"/>
      <c r="E14" s="2"/>
      <c r="F14" s="2"/>
      <c r="G14" s="2"/>
      <c r="H14" s="2"/>
      <c r="I14" s="2"/>
      <c r="J14" s="2"/>
      <c r="K14" s="2"/>
      <c r="L14" s="2"/>
      <c r="M14" s="2"/>
      <c r="N14" s="2"/>
      <c r="O14" s="2"/>
      <c r="P14" s="2"/>
    </row>
    <row r="15" spans="1:16" ht="14.45" customHeight="1" x14ac:dyDescent="0.25">
      <c r="A15" s="420" t="s">
        <v>922</v>
      </c>
      <c r="B15" s="413"/>
      <c r="C15" s="413"/>
      <c r="D15" s="413"/>
      <c r="E15" s="413"/>
      <c r="F15" s="413"/>
      <c r="G15" s="413"/>
      <c r="H15" s="413"/>
      <c r="I15" s="413"/>
      <c r="J15" s="413"/>
      <c r="K15" s="413"/>
      <c r="L15" s="413"/>
      <c r="M15" s="413"/>
      <c r="N15" s="413"/>
      <c r="O15" s="413"/>
      <c r="P15" s="413"/>
    </row>
    <row r="16" spans="1:16" x14ac:dyDescent="0.25">
      <c r="A16" s="413"/>
      <c r="B16" s="413"/>
      <c r="C16" s="413"/>
      <c r="D16" s="413"/>
      <c r="E16" s="413"/>
      <c r="F16" s="413"/>
      <c r="G16" s="413"/>
      <c r="H16" s="413"/>
      <c r="I16" s="413"/>
      <c r="J16" s="413"/>
      <c r="K16" s="413"/>
      <c r="L16" s="413"/>
      <c r="M16" s="413"/>
      <c r="N16" s="413"/>
      <c r="O16" s="413"/>
      <c r="P16" s="413"/>
    </row>
    <row r="17" spans="1:16" x14ac:dyDescent="0.25">
      <c r="A17" s="2"/>
      <c r="B17" s="2"/>
      <c r="C17" s="2"/>
      <c r="D17" s="2"/>
      <c r="E17" s="2"/>
      <c r="F17" s="2"/>
      <c r="G17" s="2"/>
      <c r="H17" s="2"/>
      <c r="I17" s="2"/>
      <c r="J17" s="2"/>
      <c r="K17" s="2"/>
      <c r="L17" s="2"/>
      <c r="M17" s="2"/>
      <c r="N17" s="2"/>
      <c r="O17" s="2"/>
      <c r="P17" s="2"/>
    </row>
    <row r="18" spans="1:16" x14ac:dyDescent="0.25">
      <c r="A18" s="2"/>
      <c r="B18" s="48"/>
      <c r="C18" s="107" t="s">
        <v>819</v>
      </c>
      <c r="D18" s="107" t="s">
        <v>392</v>
      </c>
      <c r="E18" s="107" t="s">
        <v>820</v>
      </c>
      <c r="F18" s="107" t="s">
        <v>821</v>
      </c>
      <c r="G18" s="107" t="s">
        <v>822</v>
      </c>
      <c r="H18" s="107" t="s">
        <v>823</v>
      </c>
      <c r="I18" s="123"/>
      <c r="J18" s="123" t="s">
        <v>1216</v>
      </c>
      <c r="K18" s="123"/>
      <c r="L18" s="123"/>
      <c r="M18" s="123"/>
      <c r="N18" s="123"/>
      <c r="O18" s="123"/>
      <c r="P18" s="123"/>
    </row>
    <row r="19" spans="1:16" x14ac:dyDescent="0.25">
      <c r="A19" s="2"/>
      <c r="B19" s="187" t="s">
        <v>824</v>
      </c>
      <c r="C19" s="189">
        <v>45</v>
      </c>
      <c r="D19" s="189">
        <v>47</v>
      </c>
      <c r="E19" s="189">
        <v>50</v>
      </c>
      <c r="F19" s="189">
        <v>55</v>
      </c>
      <c r="G19" s="189">
        <v>60</v>
      </c>
      <c r="H19" s="189">
        <v>65</v>
      </c>
      <c r="I19" s="123"/>
      <c r="J19" s="123"/>
      <c r="K19" s="123"/>
      <c r="L19" s="123"/>
      <c r="M19" s="123"/>
      <c r="N19" s="123"/>
      <c r="O19" s="123"/>
      <c r="P19" s="123"/>
    </row>
    <row r="20" spans="1:16" x14ac:dyDescent="0.25">
      <c r="A20" s="2"/>
      <c r="B20" s="187" t="s">
        <v>825</v>
      </c>
      <c r="C20" s="189">
        <f t="shared" ref="C20:H20" si="1">+C19-15</f>
        <v>30</v>
      </c>
      <c r="D20" s="189">
        <f t="shared" si="1"/>
        <v>32</v>
      </c>
      <c r="E20" s="189">
        <f t="shared" si="1"/>
        <v>35</v>
      </c>
      <c r="F20" s="189">
        <f t="shared" si="1"/>
        <v>40</v>
      </c>
      <c r="G20" s="189">
        <f t="shared" si="1"/>
        <v>45</v>
      </c>
      <c r="H20" s="189">
        <f t="shared" si="1"/>
        <v>50</v>
      </c>
      <c r="I20" s="123"/>
      <c r="J20" s="123"/>
      <c r="K20" s="123"/>
      <c r="L20" s="123"/>
      <c r="M20" s="2"/>
      <c r="N20" s="2"/>
      <c r="O20" s="2"/>
      <c r="P20" s="2"/>
    </row>
    <row r="21" spans="1:16" x14ac:dyDescent="0.25">
      <c r="A21" s="2"/>
      <c r="B21" s="187" t="s">
        <v>826</v>
      </c>
      <c r="C21" s="189">
        <f t="shared" ref="C21:H21" si="2">+C20+5</f>
        <v>35</v>
      </c>
      <c r="D21" s="189">
        <f t="shared" si="2"/>
        <v>37</v>
      </c>
      <c r="E21" s="189">
        <f t="shared" si="2"/>
        <v>40</v>
      </c>
      <c r="F21" s="189">
        <f t="shared" si="2"/>
        <v>45</v>
      </c>
      <c r="G21" s="189">
        <f t="shared" si="2"/>
        <v>50</v>
      </c>
      <c r="H21" s="189">
        <f t="shared" si="2"/>
        <v>55</v>
      </c>
      <c r="I21" s="123"/>
      <c r="J21" s="123"/>
      <c r="K21" s="123"/>
      <c r="L21" s="123"/>
      <c r="M21" s="2"/>
      <c r="N21" s="2"/>
      <c r="O21" s="2"/>
      <c r="P21" s="2"/>
    </row>
    <row r="22" spans="1:16" x14ac:dyDescent="0.25">
      <c r="A22" s="2"/>
      <c r="B22" s="187" t="s">
        <v>827</v>
      </c>
      <c r="C22" s="189">
        <f t="shared" ref="C22:H22" si="3">+C21+12</f>
        <v>47</v>
      </c>
      <c r="D22" s="189">
        <f t="shared" si="3"/>
        <v>49</v>
      </c>
      <c r="E22" s="189">
        <f t="shared" si="3"/>
        <v>52</v>
      </c>
      <c r="F22" s="189">
        <f t="shared" si="3"/>
        <v>57</v>
      </c>
      <c r="G22" s="189">
        <f t="shared" si="3"/>
        <v>62</v>
      </c>
      <c r="H22" s="189">
        <f t="shared" si="3"/>
        <v>67</v>
      </c>
      <c r="I22" s="123"/>
      <c r="J22" s="123"/>
      <c r="K22" s="123"/>
      <c r="L22" s="123"/>
      <c r="M22" s="2"/>
      <c r="N22" s="2"/>
      <c r="O22" s="2"/>
      <c r="P22" s="2"/>
    </row>
    <row r="23" spans="1:16" x14ac:dyDescent="0.25">
      <c r="A23" s="2"/>
      <c r="B23" s="123"/>
      <c r="C23" s="123"/>
      <c r="D23" s="123"/>
      <c r="E23" s="123"/>
      <c r="F23" s="123"/>
      <c r="G23" s="123"/>
      <c r="H23" s="123"/>
      <c r="I23" s="123"/>
      <c r="J23" s="123"/>
      <c r="K23" s="123"/>
      <c r="L23" s="123"/>
      <c r="M23" s="2"/>
      <c r="N23" s="2"/>
      <c r="O23" s="2"/>
      <c r="P23" s="2"/>
    </row>
    <row r="24" spans="1:16" x14ac:dyDescent="0.25">
      <c r="A24" s="2"/>
      <c r="B24" s="123"/>
      <c r="C24" s="123"/>
      <c r="D24" s="123"/>
      <c r="E24" s="123"/>
      <c r="F24" s="123"/>
      <c r="G24" s="123"/>
      <c r="H24" s="123"/>
      <c r="I24" s="123"/>
      <c r="J24" s="123"/>
      <c r="K24" s="123"/>
      <c r="L24" s="123"/>
      <c r="M24" s="2"/>
      <c r="N24" s="2"/>
      <c r="O24" s="2"/>
      <c r="P24" s="2"/>
    </row>
    <row r="25" spans="1:16" x14ac:dyDescent="0.25">
      <c r="A25" s="2"/>
      <c r="B25" s="48"/>
      <c r="C25" s="107" t="s">
        <v>392</v>
      </c>
      <c r="D25" s="107" t="s">
        <v>820</v>
      </c>
      <c r="E25" s="107" t="s">
        <v>821</v>
      </c>
      <c r="F25" s="107" t="s">
        <v>822</v>
      </c>
      <c r="G25" s="107" t="s">
        <v>823</v>
      </c>
      <c r="H25" s="123"/>
      <c r="I25" s="2"/>
      <c r="J25" s="2"/>
      <c r="K25" s="2"/>
      <c r="L25" s="221" t="str">
        <f>+E18</f>
        <v>L</v>
      </c>
      <c r="M25" s="2"/>
      <c r="N25" s="2"/>
      <c r="O25" s="2"/>
      <c r="P25" s="2"/>
    </row>
    <row r="26" spans="1:16" x14ac:dyDescent="0.25">
      <c r="A26" s="2"/>
      <c r="B26" s="187" t="s">
        <v>828</v>
      </c>
      <c r="C26" s="189">
        <f>+D21+7</f>
        <v>44</v>
      </c>
      <c r="D26" s="189">
        <f>+E21+7</f>
        <v>47</v>
      </c>
      <c r="E26" s="189">
        <f>+F21+7</f>
        <v>52</v>
      </c>
      <c r="F26" s="189">
        <f>+G21+7</f>
        <v>57</v>
      </c>
      <c r="G26" s="189">
        <f>+H21+7</f>
        <v>62</v>
      </c>
      <c r="H26" s="123"/>
      <c r="I26" s="2"/>
      <c r="J26" s="3" t="str">
        <f>+B26</f>
        <v>Vyriškos kelnės</v>
      </c>
      <c r="K26" s="2"/>
      <c r="L26" s="104">
        <f>IFERROR(INDEX(B18:H22,MATCH(J26,B18:B22,0),MATCH(L25,B18:H18,0)),INDEX(B25:G27,MATCH(J26,B25:B27,0),MATCH(L25,B25:G25)))</f>
        <v>47</v>
      </c>
      <c r="M26" s="2"/>
      <c r="N26" s="2"/>
      <c r="O26" s="2"/>
      <c r="P26" s="2"/>
    </row>
    <row r="27" spans="1:16" x14ac:dyDescent="0.25">
      <c r="A27" s="2"/>
      <c r="B27" s="187" t="s">
        <v>829</v>
      </c>
      <c r="C27" s="189">
        <f>+D22+8</f>
        <v>57</v>
      </c>
      <c r="D27" s="189">
        <f>+E22+8</f>
        <v>60</v>
      </c>
      <c r="E27" s="189">
        <f>+F22+8</f>
        <v>65</v>
      </c>
      <c r="F27" s="189">
        <f>+G22+8</f>
        <v>70</v>
      </c>
      <c r="G27" s="189">
        <f>+H22+8</f>
        <v>75</v>
      </c>
      <c r="H27" s="123"/>
      <c r="I27" s="2"/>
      <c r="J27" s="2"/>
      <c r="K27" s="2"/>
      <c r="L27" s="2"/>
      <c r="M27" s="2"/>
      <c r="N27" s="2"/>
      <c r="O27" s="2"/>
      <c r="P27" s="2"/>
    </row>
    <row r="28" spans="1:16" x14ac:dyDescent="0.25">
      <c r="A28" s="2"/>
      <c r="B28" s="2"/>
      <c r="C28" s="2"/>
      <c r="D28" s="2"/>
      <c r="E28" s="2"/>
      <c r="F28" s="2"/>
      <c r="G28" s="2"/>
      <c r="H28" s="2"/>
      <c r="I28" s="2"/>
      <c r="J28" s="2"/>
      <c r="K28" s="2"/>
      <c r="L28" s="2"/>
      <c r="M28" s="2"/>
      <c r="N28" s="2"/>
      <c r="O28" s="2"/>
      <c r="P28" s="2"/>
    </row>
  </sheetData>
  <mergeCells count="2">
    <mergeCell ref="A3:P4"/>
    <mergeCell ref="A15:P16"/>
  </mergeCells>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113"/>
  <sheetViews>
    <sheetView zoomScaleNormal="100" workbookViewId="0">
      <selection activeCell="E101" sqref="E101"/>
    </sheetView>
  </sheetViews>
  <sheetFormatPr defaultRowHeight="15" x14ac:dyDescent="0.25"/>
  <cols>
    <col min="1" max="1" width="10.85546875" customWidth="1"/>
    <col min="2" max="2" width="13.42578125" customWidth="1"/>
    <col min="3" max="3" width="11.42578125" customWidth="1"/>
    <col min="4" max="4" width="13" customWidth="1"/>
    <col min="5" max="5" width="13.5703125" customWidth="1"/>
    <col min="6" max="7" width="10.85546875" bestFit="1" customWidth="1"/>
    <col min="8" max="8" width="10.5703125" bestFit="1" customWidth="1"/>
    <col min="9" max="9" width="10.5703125" customWidth="1"/>
    <col min="10" max="10" width="10.42578125" bestFit="1" customWidth="1"/>
    <col min="11" max="11" width="10.5703125" customWidth="1"/>
    <col min="12" max="12" width="11.42578125" customWidth="1"/>
    <col min="13" max="13" width="10.85546875" customWidth="1"/>
    <col min="14" max="15" width="10.42578125" bestFit="1" customWidth="1"/>
    <col min="16" max="17" width="11.42578125" customWidth="1"/>
    <col min="19" max="19" width="18.140625" customWidth="1"/>
    <col min="20" max="20" width="13.85546875" customWidth="1"/>
    <col min="21" max="21" width="17.140625" customWidth="1"/>
    <col min="22" max="22" width="16.5703125" customWidth="1"/>
    <col min="27" max="27" width="19.5703125" customWidth="1"/>
  </cols>
  <sheetData>
    <row r="1" spans="1:25" ht="23.25" x14ac:dyDescent="0.35">
      <c r="A1" s="257" t="s">
        <v>816</v>
      </c>
      <c r="B1" s="1" t="s">
        <v>649</v>
      </c>
      <c r="C1" s="1"/>
      <c r="D1" s="1"/>
      <c r="E1" s="1"/>
      <c r="F1" s="1"/>
      <c r="G1" s="1"/>
      <c r="H1" s="1"/>
      <c r="I1" s="1"/>
      <c r="J1" s="1"/>
      <c r="K1" s="1"/>
      <c r="L1" s="1"/>
      <c r="M1" s="1"/>
      <c r="N1" s="1"/>
      <c r="O1" s="1"/>
      <c r="P1" s="1"/>
      <c r="Q1" s="1"/>
      <c r="R1" s="1"/>
      <c r="Y1" t="s">
        <v>649</v>
      </c>
    </row>
    <row r="2" spans="1:25" x14ac:dyDescent="0.25">
      <c r="A2" s="2"/>
      <c r="B2" s="2"/>
      <c r="C2" s="2"/>
      <c r="D2" s="2"/>
      <c r="E2" s="2"/>
      <c r="F2" s="2"/>
      <c r="G2" s="2"/>
      <c r="H2" s="2"/>
      <c r="I2" s="2"/>
      <c r="J2" s="2"/>
      <c r="K2" s="2"/>
      <c r="L2" s="2"/>
      <c r="M2" s="2"/>
      <c r="N2" s="2"/>
      <c r="O2" s="2"/>
      <c r="P2" s="2"/>
      <c r="Q2" s="2"/>
      <c r="R2" s="2"/>
    </row>
    <row r="3" spans="1:25" x14ac:dyDescent="0.25">
      <c r="A3" s="2"/>
      <c r="B3" s="2"/>
      <c r="C3" s="2"/>
      <c r="D3" s="2"/>
      <c r="E3" s="2"/>
      <c r="F3" s="2"/>
      <c r="G3" s="2"/>
      <c r="H3" s="2"/>
      <c r="I3" s="2"/>
      <c r="J3" s="2"/>
      <c r="K3" s="2"/>
      <c r="L3" s="2"/>
      <c r="M3" s="2"/>
      <c r="N3" s="2"/>
      <c r="O3" s="2"/>
      <c r="P3" s="2"/>
      <c r="Q3" s="2"/>
      <c r="R3" s="2"/>
      <c r="T3" s="48" t="s">
        <v>650</v>
      </c>
      <c r="U3" s="48" t="s">
        <v>651</v>
      </c>
      <c r="V3" s="48" t="s">
        <v>652</v>
      </c>
      <c r="W3" s="48" t="s">
        <v>723</v>
      </c>
    </row>
    <row r="4" spans="1:25" x14ac:dyDescent="0.25">
      <c r="A4" s="2"/>
      <c r="B4" s="3" t="s">
        <v>653</v>
      </c>
      <c r="C4" s="2"/>
      <c r="D4" s="2"/>
      <c r="E4" s="2"/>
      <c r="F4" s="2"/>
      <c r="G4" s="2"/>
      <c r="H4" s="2"/>
      <c r="I4" s="2"/>
      <c r="J4" s="2"/>
      <c r="K4" s="2"/>
      <c r="L4" s="2"/>
      <c r="M4" s="2"/>
      <c r="N4" s="2"/>
      <c r="O4" s="2"/>
      <c r="P4" s="2"/>
      <c r="Q4" s="2"/>
      <c r="R4" s="2"/>
      <c r="T4" s="159" t="s">
        <v>654</v>
      </c>
      <c r="U4" s="2">
        <v>1000</v>
      </c>
      <c r="V4" s="2">
        <v>5689</v>
      </c>
      <c r="W4" s="2">
        <f>+U4+V4</f>
        <v>6689</v>
      </c>
      <c r="Y4" t="s">
        <v>653</v>
      </c>
    </row>
    <row r="5" spans="1:25" x14ac:dyDescent="0.25">
      <c r="A5" s="2"/>
      <c r="B5" s="2" t="s">
        <v>748</v>
      </c>
      <c r="C5" s="2"/>
      <c r="D5" s="2"/>
      <c r="E5" s="2"/>
      <c r="F5" s="2"/>
      <c r="G5" s="2"/>
      <c r="H5" s="2"/>
      <c r="I5" s="2"/>
      <c r="J5" s="2"/>
      <c r="K5" s="2"/>
      <c r="L5" s="2"/>
      <c r="M5" s="2"/>
      <c r="N5" s="2"/>
      <c r="O5" s="2"/>
      <c r="P5" s="2"/>
      <c r="Q5" s="2"/>
      <c r="R5" s="2"/>
      <c r="T5" s="159" t="s">
        <v>655</v>
      </c>
      <c r="U5" s="2">
        <v>1200</v>
      </c>
      <c r="V5" s="2">
        <v>6807</v>
      </c>
      <c r="W5" s="2">
        <f t="shared" ref="W5:W10" si="0">+U5+V5</f>
        <v>8007</v>
      </c>
      <c r="Y5" t="s">
        <v>748</v>
      </c>
    </row>
    <row r="6" spans="1:25" x14ac:dyDescent="0.25">
      <c r="A6" s="2"/>
      <c r="B6" s="2" t="s">
        <v>656</v>
      </c>
      <c r="C6" s="2"/>
      <c r="D6" s="2"/>
      <c r="E6" s="2"/>
      <c r="F6" s="2"/>
      <c r="G6" s="2"/>
      <c r="H6" s="2"/>
      <c r="I6" s="2"/>
      <c r="J6" s="2"/>
      <c r="K6" s="2"/>
      <c r="L6" s="2"/>
      <c r="M6" s="2"/>
      <c r="N6" s="2"/>
      <c r="O6" s="2"/>
      <c r="P6" s="2"/>
      <c r="Q6" s="2"/>
      <c r="R6" s="2"/>
      <c r="T6" s="159" t="s">
        <v>657</v>
      </c>
      <c r="U6" s="2">
        <v>900</v>
      </c>
      <c r="V6" s="2">
        <v>7150</v>
      </c>
      <c r="W6" s="2">
        <f t="shared" si="0"/>
        <v>8050</v>
      </c>
      <c r="Y6" t="s">
        <v>656</v>
      </c>
    </row>
    <row r="7" spans="1:25" x14ac:dyDescent="0.25">
      <c r="A7" s="2"/>
      <c r="B7" s="2" t="s">
        <v>658</v>
      </c>
      <c r="C7" s="2"/>
      <c r="D7" s="2"/>
      <c r="E7" s="2"/>
      <c r="F7" s="2"/>
      <c r="G7" s="2"/>
      <c r="H7" s="2"/>
      <c r="I7" s="2"/>
      <c r="J7" s="2"/>
      <c r="K7" s="2"/>
      <c r="L7" s="2"/>
      <c r="M7" s="2"/>
      <c r="N7" s="2"/>
      <c r="O7" s="2"/>
      <c r="P7" s="2"/>
      <c r="Q7" s="2"/>
      <c r="R7" s="2"/>
      <c r="T7" s="159" t="s">
        <v>659</v>
      </c>
      <c r="U7" s="2">
        <v>1300</v>
      </c>
      <c r="V7" s="2">
        <v>9043</v>
      </c>
      <c r="W7" s="2">
        <f t="shared" si="0"/>
        <v>10343</v>
      </c>
      <c r="Y7" t="s">
        <v>658</v>
      </c>
    </row>
    <row r="8" spans="1:25" x14ac:dyDescent="0.25">
      <c r="A8" s="2"/>
      <c r="B8" s="2" t="s">
        <v>660</v>
      </c>
      <c r="C8" s="2"/>
      <c r="D8" s="2"/>
      <c r="E8" s="2"/>
      <c r="F8" s="2"/>
      <c r="G8" s="2"/>
      <c r="H8" s="2"/>
      <c r="I8" s="2"/>
      <c r="J8" s="2"/>
      <c r="K8" s="2"/>
      <c r="L8" s="2"/>
      <c r="M8" s="2"/>
      <c r="N8" s="2"/>
      <c r="O8" s="2"/>
      <c r="P8" s="2"/>
      <c r="Q8" s="2"/>
      <c r="R8" s="2"/>
      <c r="T8" s="159" t="s">
        <v>661</v>
      </c>
      <c r="U8" s="2">
        <v>1050</v>
      </c>
      <c r="V8" s="2">
        <v>8560</v>
      </c>
      <c r="W8" s="2">
        <f t="shared" si="0"/>
        <v>9610</v>
      </c>
      <c r="Y8" t="s">
        <v>660</v>
      </c>
    </row>
    <row r="9" spans="1:25" x14ac:dyDescent="0.25">
      <c r="A9" s="2"/>
      <c r="B9" s="2" t="s">
        <v>662</v>
      </c>
      <c r="C9" s="2"/>
      <c r="D9" s="2"/>
      <c r="E9" s="2"/>
      <c r="F9" s="2"/>
      <c r="G9" s="2"/>
      <c r="H9" s="2"/>
      <c r="I9" s="2"/>
      <c r="J9" s="2"/>
      <c r="K9" s="2"/>
      <c r="L9" s="2"/>
      <c r="M9" s="2"/>
      <c r="N9" s="2"/>
      <c r="O9" s="2"/>
      <c r="P9" s="2"/>
      <c r="Q9" s="2"/>
      <c r="R9" s="2"/>
      <c r="T9" s="159" t="s">
        <v>663</v>
      </c>
      <c r="U9" s="2">
        <v>1350</v>
      </c>
      <c r="V9" s="2">
        <v>11279</v>
      </c>
      <c r="W9" s="2">
        <f t="shared" si="0"/>
        <v>12629</v>
      </c>
      <c r="Y9" t="s">
        <v>662</v>
      </c>
    </row>
    <row r="10" spans="1:25" x14ac:dyDescent="0.25">
      <c r="A10" s="2"/>
      <c r="B10" s="2"/>
      <c r="C10" s="2"/>
      <c r="D10" s="2"/>
      <c r="E10" s="2"/>
      <c r="F10" s="2"/>
      <c r="G10" s="2"/>
      <c r="H10" s="2"/>
      <c r="I10" s="2"/>
      <c r="J10" s="2"/>
      <c r="K10" s="2"/>
      <c r="L10" s="2"/>
      <c r="M10" s="2"/>
      <c r="N10" s="2"/>
      <c r="O10" s="2"/>
      <c r="P10" s="2"/>
      <c r="Q10" s="2"/>
      <c r="R10" s="2"/>
      <c r="T10" s="159" t="s">
        <v>664</v>
      </c>
      <c r="U10" s="2">
        <v>1250</v>
      </c>
      <c r="V10" s="2">
        <v>13452</v>
      </c>
      <c r="W10" s="2">
        <f t="shared" si="0"/>
        <v>14702</v>
      </c>
    </row>
    <row r="11" spans="1:25" x14ac:dyDescent="0.25">
      <c r="A11" s="2"/>
      <c r="B11" s="2"/>
      <c r="C11" s="2"/>
      <c r="D11" s="2"/>
      <c r="E11" s="2"/>
      <c r="F11" s="2"/>
      <c r="G11" s="2"/>
      <c r="H11" s="2"/>
      <c r="I11" s="2"/>
      <c r="J11" s="2"/>
      <c r="K11" s="2"/>
      <c r="L11" s="2"/>
      <c r="M11" s="2"/>
      <c r="N11" s="2"/>
      <c r="O11" s="2"/>
      <c r="P11" s="2"/>
      <c r="Q11" s="2"/>
      <c r="R11" s="2"/>
    </row>
    <row r="12" spans="1:25" x14ac:dyDescent="0.25">
      <c r="A12" s="2"/>
      <c r="B12" s="2"/>
      <c r="C12" s="2"/>
      <c r="D12" s="2"/>
      <c r="E12" s="2"/>
      <c r="F12" s="2"/>
      <c r="G12" s="2"/>
      <c r="H12" s="2"/>
      <c r="I12" s="2"/>
      <c r="J12" s="2"/>
      <c r="K12" s="2"/>
      <c r="L12" s="2"/>
      <c r="M12" s="2"/>
      <c r="N12" s="2"/>
      <c r="O12" s="2"/>
      <c r="P12" s="2"/>
      <c r="Q12" s="2"/>
      <c r="R12" s="2"/>
      <c r="T12" s="48"/>
      <c r="U12" s="48" t="s">
        <v>665</v>
      </c>
      <c r="V12" s="48" t="s">
        <v>666</v>
      </c>
      <c r="W12" s="48" t="s">
        <v>667</v>
      </c>
    </row>
    <row r="13" spans="1:25" x14ac:dyDescent="0.25">
      <c r="A13" s="2"/>
      <c r="B13" s="2"/>
      <c r="C13" s="2"/>
      <c r="D13" s="2"/>
      <c r="E13" s="2"/>
      <c r="F13" s="2"/>
      <c r="G13" s="2"/>
      <c r="H13" s="2"/>
      <c r="I13" s="2"/>
      <c r="J13" s="2"/>
      <c r="K13" s="2"/>
      <c r="L13" s="2"/>
      <c r="M13" s="2"/>
      <c r="N13" s="2"/>
      <c r="O13" s="2"/>
      <c r="P13" s="2"/>
      <c r="Q13" s="2"/>
      <c r="R13" s="2"/>
      <c r="T13" s="160" t="s">
        <v>668</v>
      </c>
      <c r="U13" s="2">
        <f>+V4</f>
        <v>5689</v>
      </c>
      <c r="V13" s="161">
        <f>+U13*0.05</f>
        <v>284.45</v>
      </c>
      <c r="W13" s="161">
        <f>+U13-V13</f>
        <v>5404.55</v>
      </c>
    </row>
    <row r="14" spans="1:25" x14ac:dyDescent="0.25">
      <c r="A14" s="2"/>
      <c r="B14" s="2"/>
      <c r="C14" s="2"/>
      <c r="D14" s="2"/>
      <c r="E14" s="2"/>
      <c r="F14" s="2"/>
      <c r="G14" s="2"/>
      <c r="H14" s="2"/>
      <c r="I14" s="2"/>
      <c r="J14" s="2"/>
      <c r="K14" s="2"/>
      <c r="L14" s="2"/>
      <c r="M14" s="2"/>
      <c r="N14" s="2"/>
      <c r="O14" s="2"/>
      <c r="P14" s="2"/>
      <c r="Q14" s="2"/>
      <c r="R14" s="2"/>
      <c r="T14" s="160" t="s">
        <v>669</v>
      </c>
      <c r="U14" s="2">
        <f>+U4</f>
        <v>1000</v>
      </c>
      <c r="V14" s="161">
        <f>+U14*0.1</f>
        <v>100</v>
      </c>
      <c r="W14" s="161">
        <f>+U14-V14</f>
        <v>900</v>
      </c>
    </row>
    <row r="15" spans="1:25" x14ac:dyDescent="0.25">
      <c r="A15" s="2"/>
      <c r="B15" s="2"/>
      <c r="C15" s="2"/>
      <c r="D15" s="2"/>
      <c r="E15" s="2"/>
      <c r="F15" s="2"/>
      <c r="G15" s="2"/>
      <c r="H15" s="2"/>
      <c r="I15" s="2"/>
      <c r="J15" s="2"/>
      <c r="K15" s="2"/>
      <c r="L15" s="2"/>
      <c r="M15" s="2"/>
      <c r="N15" s="2"/>
      <c r="O15" s="2"/>
      <c r="P15" s="2"/>
      <c r="Q15" s="2"/>
      <c r="R15" s="2"/>
      <c r="T15" s="2" t="s">
        <v>670</v>
      </c>
      <c r="U15" s="2">
        <v>5050</v>
      </c>
      <c r="V15" s="161">
        <f>+U15*0.55</f>
        <v>2777.5</v>
      </c>
      <c r="W15" s="161">
        <f>+U15-V15</f>
        <v>2272.5</v>
      </c>
    </row>
    <row r="16" spans="1:25" x14ac:dyDescent="0.25">
      <c r="A16" s="2"/>
      <c r="B16" s="2"/>
      <c r="C16" s="159"/>
      <c r="D16" s="2"/>
      <c r="E16" s="2"/>
      <c r="F16" s="2"/>
      <c r="G16" s="2"/>
      <c r="H16" s="2"/>
      <c r="I16" s="2"/>
      <c r="J16" s="2"/>
      <c r="K16" s="2"/>
      <c r="L16" s="2"/>
      <c r="M16" s="2"/>
      <c r="N16" s="2"/>
      <c r="O16" s="2"/>
      <c r="P16" s="2"/>
      <c r="Q16" s="2"/>
      <c r="R16" s="2"/>
      <c r="T16" s="2" t="s">
        <v>671</v>
      </c>
      <c r="U16" s="2">
        <v>2500</v>
      </c>
      <c r="V16" s="161">
        <f>+U16*0.2</f>
        <v>500</v>
      </c>
      <c r="W16" s="161">
        <f>+U16-V16</f>
        <v>2000</v>
      </c>
    </row>
    <row r="17" spans="1:21" x14ac:dyDescent="0.25">
      <c r="A17" s="2"/>
      <c r="B17" s="2"/>
      <c r="C17" s="159"/>
      <c r="D17" s="2"/>
      <c r="E17" s="2"/>
      <c r="F17" s="2"/>
      <c r="G17" s="2"/>
      <c r="H17" s="2"/>
      <c r="I17" s="2"/>
      <c r="J17" s="2"/>
      <c r="K17" s="2"/>
      <c r="L17" s="2"/>
      <c r="M17" s="2"/>
      <c r="N17" s="2"/>
      <c r="O17" s="2"/>
      <c r="P17" s="2"/>
      <c r="Q17" s="2"/>
      <c r="R17" s="2"/>
    </row>
    <row r="18" spans="1:21" x14ac:dyDescent="0.25">
      <c r="A18" s="2"/>
      <c r="B18" s="2"/>
      <c r="C18" s="159"/>
      <c r="D18" s="2"/>
      <c r="E18" s="2"/>
      <c r="F18" s="2"/>
      <c r="G18" s="2"/>
      <c r="H18" s="2"/>
      <c r="I18" s="2"/>
      <c r="J18" s="2"/>
      <c r="K18" s="2"/>
      <c r="L18" s="2"/>
      <c r="M18" s="2"/>
      <c r="N18" s="2"/>
      <c r="O18" s="2"/>
      <c r="P18" s="2"/>
      <c r="Q18" s="2"/>
      <c r="R18" s="2"/>
      <c r="T18" s="48" t="s">
        <v>760</v>
      </c>
      <c r="U18" s="48" t="s">
        <v>665</v>
      </c>
    </row>
    <row r="19" spans="1:21" x14ac:dyDescent="0.25">
      <c r="A19" s="2"/>
      <c r="B19" s="2"/>
      <c r="C19" s="159"/>
      <c r="D19" s="2"/>
      <c r="E19" s="2"/>
      <c r="F19" s="2"/>
      <c r="G19" s="2"/>
      <c r="H19" s="2"/>
      <c r="I19" s="2"/>
      <c r="J19" s="2"/>
      <c r="K19" s="2"/>
      <c r="L19" s="2"/>
      <c r="M19" s="2"/>
      <c r="N19" s="2"/>
      <c r="O19" s="2"/>
      <c r="P19" s="2"/>
      <c r="Q19" s="2"/>
      <c r="R19" s="2"/>
      <c r="T19" s="159" t="s">
        <v>755</v>
      </c>
      <c r="U19" s="2">
        <v>1000</v>
      </c>
    </row>
    <row r="20" spans="1:21" x14ac:dyDescent="0.25">
      <c r="A20" s="2"/>
      <c r="B20" s="2"/>
      <c r="C20" s="159"/>
      <c r="D20" s="2"/>
      <c r="E20" s="2"/>
      <c r="F20" s="2"/>
      <c r="G20" s="2"/>
      <c r="H20" s="2"/>
      <c r="I20" s="2"/>
      <c r="J20" s="2"/>
      <c r="K20" s="2"/>
      <c r="L20" s="2"/>
      <c r="M20" s="2"/>
      <c r="N20" s="2"/>
      <c r="O20" s="2"/>
      <c r="P20" s="2"/>
      <c r="Q20" s="2"/>
      <c r="R20" s="2"/>
      <c r="T20" s="159" t="s">
        <v>756</v>
      </c>
      <c r="U20" s="2">
        <v>1200</v>
      </c>
    </row>
    <row r="21" spans="1:21" x14ac:dyDescent="0.25">
      <c r="A21" s="2"/>
      <c r="B21" s="2"/>
      <c r="C21" s="159"/>
      <c r="D21" s="2"/>
      <c r="E21" s="2"/>
      <c r="F21" s="2"/>
      <c r="G21" s="2"/>
      <c r="H21" s="2"/>
      <c r="I21" s="2"/>
      <c r="J21" s="2"/>
      <c r="K21" s="2"/>
      <c r="L21" s="2"/>
      <c r="M21" s="2"/>
      <c r="N21" s="2"/>
      <c r="O21" s="2"/>
      <c r="P21" s="2"/>
      <c r="Q21" s="2"/>
      <c r="R21" s="2"/>
      <c r="T21" s="159" t="s">
        <v>757</v>
      </c>
      <c r="U21" s="2">
        <v>900</v>
      </c>
    </row>
    <row r="22" spans="1:21" x14ac:dyDescent="0.25">
      <c r="A22" s="2"/>
      <c r="B22" s="2"/>
      <c r="C22" s="159"/>
      <c r="D22" s="2"/>
      <c r="E22" s="2"/>
      <c r="F22" s="2"/>
      <c r="G22" s="2"/>
      <c r="H22" s="2"/>
      <c r="I22" s="2"/>
      <c r="J22" s="2"/>
      <c r="K22" s="2"/>
      <c r="L22" s="2"/>
      <c r="M22" s="2"/>
      <c r="N22" s="2"/>
      <c r="O22" s="2"/>
      <c r="P22" s="2"/>
      <c r="Q22" s="2"/>
      <c r="R22" s="2"/>
      <c r="T22" s="159" t="s">
        <v>758</v>
      </c>
      <c r="U22" s="2">
        <v>1300</v>
      </c>
    </row>
    <row r="23" spans="1:21" x14ac:dyDescent="0.25">
      <c r="A23" s="2"/>
      <c r="B23" s="2"/>
      <c r="C23" s="159"/>
      <c r="D23" s="2"/>
      <c r="E23" s="2"/>
      <c r="F23" s="2"/>
      <c r="G23" s="2"/>
      <c r="H23" s="2"/>
      <c r="I23" s="2"/>
      <c r="J23" s="2"/>
      <c r="K23" s="2"/>
      <c r="L23" s="2"/>
      <c r="M23" s="2"/>
      <c r="N23" s="2"/>
      <c r="O23" s="2"/>
      <c r="P23" s="2"/>
      <c r="Q23" s="2"/>
      <c r="R23" s="2"/>
      <c r="T23" s="159" t="s">
        <v>759</v>
      </c>
      <c r="U23" s="2">
        <v>1050</v>
      </c>
    </row>
    <row r="24" spans="1:21" x14ac:dyDescent="0.25">
      <c r="A24" s="2"/>
      <c r="B24" s="2"/>
      <c r="C24" s="159"/>
      <c r="D24" s="2"/>
      <c r="E24" s="2"/>
      <c r="F24" s="2"/>
      <c r="G24" s="2"/>
      <c r="H24" s="2"/>
      <c r="I24" s="2"/>
      <c r="J24" s="2"/>
      <c r="K24" s="2"/>
      <c r="L24" s="2"/>
      <c r="M24" s="2"/>
      <c r="N24" s="2"/>
      <c r="O24" s="2"/>
      <c r="P24" s="2"/>
      <c r="Q24" s="2"/>
      <c r="R24" s="2"/>
    </row>
    <row r="25" spans="1:21" x14ac:dyDescent="0.25">
      <c r="A25" s="2"/>
      <c r="B25" s="2"/>
      <c r="C25" s="159"/>
      <c r="D25" s="2"/>
      <c r="E25" s="2"/>
      <c r="F25" s="2"/>
      <c r="G25" s="2"/>
      <c r="H25" s="2"/>
      <c r="I25" s="2"/>
      <c r="J25" s="2"/>
      <c r="K25" s="2"/>
      <c r="L25" s="2"/>
      <c r="M25" s="2"/>
      <c r="N25" s="2"/>
      <c r="O25" s="2"/>
      <c r="P25" s="2"/>
      <c r="Q25" s="2"/>
      <c r="R25" s="2"/>
    </row>
    <row r="26" spans="1:21" x14ac:dyDescent="0.25">
      <c r="A26" s="2"/>
      <c r="B26" s="2"/>
      <c r="C26" s="159"/>
      <c r="D26" s="2"/>
      <c r="E26" s="2"/>
      <c r="F26" s="2"/>
      <c r="G26" s="2"/>
      <c r="H26" s="2"/>
      <c r="I26" s="2"/>
      <c r="J26" s="2"/>
      <c r="K26" s="2"/>
      <c r="L26" s="2"/>
      <c r="M26" s="2"/>
      <c r="N26" s="2"/>
      <c r="O26" s="2"/>
      <c r="P26" s="2"/>
      <c r="Q26" s="2"/>
      <c r="R26" s="2"/>
    </row>
    <row r="27" spans="1:21" x14ac:dyDescent="0.25">
      <c r="A27" s="2"/>
      <c r="B27" s="2"/>
      <c r="C27" s="159"/>
      <c r="D27" s="2"/>
      <c r="E27" s="2"/>
      <c r="F27" s="2"/>
      <c r="G27" s="2"/>
      <c r="H27" s="2"/>
      <c r="I27" s="2"/>
      <c r="J27" s="2"/>
      <c r="K27" s="2"/>
      <c r="L27" s="2"/>
      <c r="M27" s="2"/>
      <c r="N27" s="2"/>
      <c r="O27" s="2"/>
      <c r="P27" s="2"/>
      <c r="Q27" s="2"/>
      <c r="R27" s="2"/>
    </row>
    <row r="28" spans="1:21" x14ac:dyDescent="0.25">
      <c r="A28" s="2"/>
      <c r="B28" s="2"/>
      <c r="C28" s="159"/>
      <c r="D28" s="2"/>
      <c r="E28" s="2"/>
      <c r="F28" s="2"/>
      <c r="G28" s="2"/>
      <c r="H28" s="2"/>
      <c r="I28" s="2"/>
      <c r="J28" s="2"/>
      <c r="K28" s="2"/>
      <c r="L28" s="2"/>
      <c r="M28" s="2"/>
      <c r="N28" s="2"/>
      <c r="O28" s="2"/>
      <c r="P28" s="2"/>
      <c r="Q28" s="2"/>
      <c r="R28" s="2"/>
    </row>
    <row r="29" spans="1:21" x14ac:dyDescent="0.25">
      <c r="A29" s="2"/>
      <c r="B29" s="2"/>
      <c r="C29" s="159"/>
      <c r="D29" s="2"/>
      <c r="E29" s="2"/>
      <c r="F29" s="2"/>
      <c r="G29" s="2"/>
      <c r="H29" s="2"/>
      <c r="I29" s="2"/>
      <c r="J29" s="2"/>
      <c r="K29" s="2"/>
      <c r="L29" s="2"/>
      <c r="M29" s="2"/>
      <c r="N29" s="2"/>
      <c r="O29" s="2"/>
      <c r="P29" s="2"/>
      <c r="Q29" s="2"/>
      <c r="R29" s="2"/>
    </row>
    <row r="30" spans="1:21" x14ac:dyDescent="0.25">
      <c r="A30" s="2"/>
      <c r="B30" s="2"/>
      <c r="C30" s="159"/>
      <c r="D30" s="2"/>
      <c r="E30" s="2"/>
      <c r="F30" s="2"/>
      <c r="G30" s="2"/>
      <c r="H30" s="2"/>
      <c r="I30" s="2"/>
      <c r="J30" s="2"/>
      <c r="K30" s="2"/>
      <c r="L30" s="2"/>
      <c r="M30" s="2"/>
      <c r="N30" s="2"/>
      <c r="O30" s="2"/>
      <c r="P30" s="2"/>
      <c r="Q30" s="2"/>
      <c r="R30" s="2"/>
    </row>
    <row r="31" spans="1:21" x14ac:dyDescent="0.25">
      <c r="A31" s="2"/>
      <c r="B31" s="2"/>
      <c r="C31" s="159"/>
      <c r="D31" s="2"/>
      <c r="E31" s="2"/>
      <c r="F31" s="2"/>
      <c r="G31" s="2"/>
      <c r="H31" s="2"/>
      <c r="I31" s="2"/>
      <c r="J31" s="2"/>
      <c r="K31" s="2"/>
      <c r="L31" s="2"/>
      <c r="M31" s="2"/>
      <c r="N31" s="2"/>
      <c r="O31" s="2"/>
      <c r="P31" s="2"/>
      <c r="Q31" s="2"/>
      <c r="R31" s="2"/>
    </row>
    <row r="32" spans="1:21" x14ac:dyDescent="0.25">
      <c r="A32" s="2"/>
      <c r="B32" s="2"/>
      <c r="C32" s="159"/>
      <c r="D32" s="2"/>
      <c r="E32" s="2"/>
      <c r="F32" s="2"/>
      <c r="G32" s="2"/>
      <c r="H32" s="2"/>
      <c r="I32" s="2"/>
      <c r="J32" s="2"/>
      <c r="K32" s="2"/>
      <c r="L32" s="2"/>
      <c r="M32" s="2"/>
      <c r="N32" s="2"/>
      <c r="O32" s="2"/>
      <c r="P32" s="2"/>
      <c r="Q32" s="2"/>
      <c r="R32" s="2"/>
    </row>
    <row r="33" spans="1:26" x14ac:dyDescent="0.25">
      <c r="A33" s="2"/>
      <c r="B33" s="420" t="s">
        <v>724</v>
      </c>
      <c r="C33" s="413"/>
      <c r="D33" s="413"/>
      <c r="E33" s="413"/>
      <c r="F33" s="413"/>
      <c r="G33" s="413"/>
      <c r="H33" s="413"/>
      <c r="I33" s="413"/>
      <c r="J33" s="413"/>
      <c r="K33" s="413"/>
      <c r="L33" s="413"/>
      <c r="M33" s="413"/>
      <c r="N33" s="413"/>
      <c r="O33" s="413"/>
      <c r="P33" s="413"/>
      <c r="Q33" s="413"/>
      <c r="R33" s="413"/>
      <c r="Y33" t="s">
        <v>725</v>
      </c>
    </row>
    <row r="34" spans="1:26" x14ac:dyDescent="0.25">
      <c r="A34" s="2"/>
      <c r="B34" s="413"/>
      <c r="C34" s="413"/>
      <c r="D34" s="413"/>
      <c r="E34" s="413"/>
      <c r="F34" s="413"/>
      <c r="G34" s="413"/>
      <c r="H34" s="413"/>
      <c r="I34" s="413"/>
      <c r="J34" s="413"/>
      <c r="K34" s="413"/>
      <c r="L34" s="413"/>
      <c r="M34" s="413"/>
      <c r="N34" s="413"/>
      <c r="O34" s="413"/>
      <c r="P34" s="413"/>
      <c r="Q34" s="413"/>
      <c r="R34" s="413"/>
    </row>
    <row r="35" spans="1:26" x14ac:dyDescent="0.25">
      <c r="A35" s="2"/>
      <c r="B35" s="2"/>
      <c r="C35" s="2"/>
      <c r="D35" s="2"/>
      <c r="E35" s="2"/>
      <c r="F35" s="2"/>
      <c r="G35" s="2"/>
      <c r="H35" s="2"/>
      <c r="I35" s="2"/>
      <c r="J35" s="2"/>
      <c r="K35" s="2"/>
      <c r="L35" s="2"/>
      <c r="M35" s="2"/>
      <c r="N35" s="2"/>
      <c r="O35" s="2"/>
      <c r="P35" s="2"/>
      <c r="Q35" s="2"/>
      <c r="R35" s="2"/>
    </row>
    <row r="36" spans="1:26" x14ac:dyDescent="0.25">
      <c r="A36" s="2"/>
      <c r="B36" s="107" t="s">
        <v>38</v>
      </c>
      <c r="C36" s="107" t="s">
        <v>672</v>
      </c>
      <c r="D36" s="2"/>
      <c r="E36" s="2"/>
      <c r="F36" s="2"/>
      <c r="G36" s="2"/>
      <c r="H36" s="2"/>
      <c r="I36" s="2"/>
      <c r="J36" s="2"/>
      <c r="K36" s="2"/>
      <c r="L36" s="2"/>
      <c r="M36" s="2"/>
      <c r="N36" s="2"/>
      <c r="O36" s="2"/>
      <c r="P36" s="2"/>
      <c r="Q36" s="2"/>
      <c r="R36" s="2"/>
      <c r="Y36" t="s">
        <v>38</v>
      </c>
      <c r="Z36" t="s">
        <v>672</v>
      </c>
    </row>
    <row r="37" spans="1:26" x14ac:dyDescent="0.25">
      <c r="A37" s="2"/>
      <c r="B37" s="162" t="s">
        <v>48</v>
      </c>
      <c r="C37" s="163">
        <v>10520</v>
      </c>
      <c r="D37" s="2"/>
      <c r="E37" s="2"/>
      <c r="F37" s="2"/>
      <c r="G37" s="2"/>
      <c r="H37" s="2"/>
      <c r="I37" s="2"/>
      <c r="J37" s="2"/>
      <c r="K37" s="2"/>
      <c r="L37" s="2"/>
      <c r="M37" s="2"/>
      <c r="N37" s="2"/>
      <c r="O37" s="2"/>
      <c r="P37" s="2"/>
      <c r="Q37" s="2"/>
      <c r="R37" s="2"/>
      <c r="Y37" t="s">
        <v>48</v>
      </c>
      <c r="Z37">
        <v>10520</v>
      </c>
    </row>
    <row r="38" spans="1:26" x14ac:dyDescent="0.25">
      <c r="A38" s="2"/>
      <c r="B38" s="162" t="s">
        <v>44</v>
      </c>
      <c r="C38" s="163">
        <v>12650</v>
      </c>
      <c r="D38" s="2"/>
      <c r="E38" s="2"/>
      <c r="F38" s="2"/>
      <c r="G38" s="2"/>
      <c r="H38" s="2"/>
      <c r="I38" s="2"/>
      <c r="J38" s="2"/>
      <c r="K38" s="2"/>
      <c r="L38" s="2"/>
      <c r="M38" s="2"/>
      <c r="N38" s="2"/>
      <c r="O38" s="2"/>
      <c r="P38" s="2"/>
      <c r="Q38" s="2"/>
      <c r="R38" s="2"/>
      <c r="Y38" t="s">
        <v>44</v>
      </c>
      <c r="Z38">
        <v>12650</v>
      </c>
    </row>
    <row r="39" spans="1:26" x14ac:dyDescent="0.25">
      <c r="A39" s="2"/>
      <c r="B39" s="162" t="s">
        <v>53</v>
      </c>
      <c r="C39" s="163">
        <v>11840</v>
      </c>
      <c r="D39" s="2"/>
      <c r="E39" s="2"/>
      <c r="F39" s="2"/>
      <c r="G39" s="2"/>
      <c r="H39" s="2"/>
      <c r="I39" s="2"/>
      <c r="J39" s="2"/>
      <c r="K39" s="2"/>
      <c r="L39" s="2"/>
      <c r="M39" s="2"/>
      <c r="N39" s="2"/>
      <c r="O39" s="2"/>
      <c r="P39" s="2"/>
      <c r="Q39" s="2"/>
      <c r="R39" s="2"/>
      <c r="Y39" t="s">
        <v>53</v>
      </c>
      <c r="Z39">
        <v>11840</v>
      </c>
    </row>
    <row r="40" spans="1:26" x14ac:dyDescent="0.25">
      <c r="A40" s="2"/>
      <c r="B40" s="2"/>
      <c r="C40" s="2"/>
      <c r="D40" s="2"/>
      <c r="E40" s="2"/>
      <c r="F40" s="2"/>
      <c r="G40" s="2"/>
      <c r="H40" s="2"/>
      <c r="I40" s="2"/>
      <c r="J40" s="2"/>
      <c r="K40" s="2"/>
      <c r="L40" s="2"/>
      <c r="M40" s="2"/>
      <c r="N40" s="2"/>
      <c r="O40" s="2"/>
      <c r="P40" s="2"/>
      <c r="Q40" s="2"/>
      <c r="R40" s="2"/>
    </row>
    <row r="41" spans="1:26" x14ac:dyDescent="0.25">
      <c r="A41" s="2"/>
      <c r="B41" s="2"/>
      <c r="C41" s="2"/>
      <c r="D41" s="2"/>
      <c r="E41" s="2"/>
      <c r="F41" s="2"/>
      <c r="G41" s="2"/>
      <c r="H41" s="2"/>
      <c r="I41" s="2"/>
      <c r="J41" s="2"/>
      <c r="K41" s="2"/>
      <c r="L41" s="2"/>
      <c r="M41" s="2"/>
      <c r="N41" s="2"/>
      <c r="O41" s="2"/>
      <c r="P41" s="2"/>
      <c r="Q41" s="2"/>
      <c r="R41" s="2"/>
    </row>
    <row r="42" spans="1:26" x14ac:dyDescent="0.25">
      <c r="A42" s="2"/>
      <c r="B42" s="2"/>
      <c r="C42" s="2"/>
      <c r="D42" s="2"/>
      <c r="E42" s="2"/>
      <c r="F42" s="2"/>
      <c r="G42" s="2"/>
      <c r="H42" s="2"/>
      <c r="I42" s="2"/>
      <c r="J42" s="2"/>
      <c r="K42" s="2"/>
      <c r="L42" s="2"/>
      <c r="M42" s="2"/>
      <c r="N42" s="2"/>
      <c r="O42" s="2"/>
      <c r="P42" s="2"/>
      <c r="Q42" s="2"/>
      <c r="R42" s="2"/>
    </row>
    <row r="43" spans="1:26" x14ac:dyDescent="0.25">
      <c r="A43" s="2"/>
      <c r="B43" s="2"/>
      <c r="C43" s="2"/>
      <c r="D43" s="2"/>
      <c r="E43" s="2"/>
      <c r="F43" s="2"/>
      <c r="G43" s="2"/>
      <c r="H43" s="2"/>
      <c r="I43" s="2"/>
      <c r="J43" s="2"/>
      <c r="K43" s="2"/>
      <c r="L43" s="2"/>
      <c r="M43" s="2"/>
      <c r="N43" s="2"/>
      <c r="O43" s="2"/>
      <c r="P43" s="2"/>
      <c r="Q43" s="2"/>
      <c r="R43" s="2"/>
    </row>
    <row r="44" spans="1:26" x14ac:dyDescent="0.25">
      <c r="A44" s="2"/>
      <c r="B44" s="2"/>
      <c r="C44" s="2"/>
      <c r="D44" s="2"/>
      <c r="E44" s="2"/>
      <c r="F44" s="2"/>
      <c r="G44" s="2"/>
      <c r="H44" s="2"/>
      <c r="I44" s="2"/>
      <c r="J44" s="2"/>
      <c r="K44" s="2"/>
      <c r="L44" s="2"/>
      <c r="M44" s="2"/>
      <c r="N44" s="2"/>
      <c r="O44" s="2"/>
      <c r="P44" s="2"/>
      <c r="Q44" s="2"/>
      <c r="R44" s="2"/>
    </row>
    <row r="45" spans="1:26" x14ac:dyDescent="0.25">
      <c r="A45" s="2"/>
      <c r="B45" s="2"/>
      <c r="C45" s="2"/>
      <c r="D45" s="2"/>
      <c r="E45" s="2"/>
      <c r="F45" s="2"/>
      <c r="G45" s="2"/>
      <c r="H45" s="2"/>
      <c r="I45" s="2"/>
      <c r="J45" s="2"/>
      <c r="K45" s="2"/>
      <c r="L45" s="2"/>
      <c r="M45" s="2"/>
      <c r="N45" s="2"/>
      <c r="O45" s="2"/>
      <c r="P45" s="2"/>
      <c r="Q45" s="2"/>
      <c r="R45" s="2"/>
    </row>
    <row r="46" spans="1:26" x14ac:dyDescent="0.25">
      <c r="A46" s="2"/>
      <c r="B46" s="2"/>
      <c r="C46" s="2"/>
      <c r="D46" s="2"/>
      <c r="E46" s="2"/>
      <c r="F46" s="2"/>
      <c r="G46" s="2"/>
      <c r="H46" s="2"/>
      <c r="I46" s="2"/>
      <c r="J46" s="2"/>
      <c r="K46" s="2"/>
      <c r="L46" s="2"/>
      <c r="M46" s="2"/>
      <c r="N46" s="2"/>
      <c r="O46" s="2"/>
      <c r="P46" s="2"/>
      <c r="Q46" s="2"/>
      <c r="R46" s="2"/>
    </row>
    <row r="47" spans="1:26" x14ac:dyDescent="0.25">
      <c r="A47" s="2"/>
      <c r="B47" s="2"/>
      <c r="C47" s="2"/>
      <c r="D47" s="2"/>
      <c r="E47" s="2"/>
      <c r="F47" s="2"/>
      <c r="G47" s="2"/>
      <c r="H47" s="2"/>
      <c r="I47" s="2"/>
      <c r="J47" s="2"/>
      <c r="K47" s="2"/>
      <c r="L47" s="2"/>
      <c r="M47" s="2"/>
      <c r="N47" s="2"/>
      <c r="O47" s="2"/>
      <c r="P47" s="2"/>
      <c r="Q47" s="2"/>
      <c r="R47" s="2"/>
    </row>
    <row r="48" spans="1:26" x14ac:dyDescent="0.25">
      <c r="A48" s="2"/>
      <c r="B48" s="2"/>
      <c r="C48" s="2"/>
      <c r="D48" s="2"/>
      <c r="E48" s="2"/>
      <c r="F48" s="2"/>
      <c r="G48" s="2"/>
      <c r="H48" s="2"/>
      <c r="I48" s="2"/>
      <c r="J48" s="2"/>
      <c r="K48" s="2"/>
      <c r="L48" s="2"/>
      <c r="M48" s="2"/>
      <c r="N48" s="2"/>
      <c r="O48" s="2"/>
      <c r="P48" s="2"/>
      <c r="Q48" s="2"/>
      <c r="R48" s="2"/>
    </row>
    <row r="49" spans="1:26" x14ac:dyDescent="0.25">
      <c r="A49" s="2"/>
      <c r="B49" s="2"/>
      <c r="C49" s="2"/>
      <c r="D49" s="2"/>
      <c r="E49" s="2"/>
      <c r="F49" s="2"/>
      <c r="G49" s="2"/>
      <c r="H49" s="2"/>
      <c r="I49" s="2"/>
      <c r="J49" s="2"/>
      <c r="K49" s="2"/>
      <c r="L49" s="2"/>
      <c r="M49" s="2"/>
      <c r="N49" s="2"/>
      <c r="O49" s="2"/>
      <c r="P49" s="2"/>
      <c r="Q49" s="2"/>
      <c r="R49" s="2"/>
    </row>
    <row r="50" spans="1:26" x14ac:dyDescent="0.25">
      <c r="A50" s="2"/>
      <c r="B50" s="2"/>
      <c r="C50" s="2"/>
      <c r="D50" s="2"/>
      <c r="E50" s="2"/>
      <c r="F50" s="2"/>
      <c r="G50" s="2"/>
      <c r="H50" s="2"/>
      <c r="I50" s="2"/>
      <c r="J50" s="2"/>
      <c r="K50" s="2"/>
      <c r="L50" s="2"/>
      <c r="M50" s="2"/>
      <c r="N50" s="2"/>
      <c r="O50" s="2"/>
      <c r="P50" s="2"/>
      <c r="Q50" s="2"/>
      <c r="R50" s="2"/>
    </row>
    <row r="51" spans="1:26" x14ac:dyDescent="0.25">
      <c r="A51" s="2"/>
      <c r="B51" s="420" t="s">
        <v>726</v>
      </c>
      <c r="C51" s="413"/>
      <c r="D51" s="413"/>
      <c r="E51" s="413"/>
      <c r="F51" s="413"/>
      <c r="G51" s="413"/>
      <c r="H51" s="413"/>
      <c r="I51" s="413"/>
      <c r="J51" s="413"/>
      <c r="K51" s="413"/>
      <c r="L51" s="413"/>
      <c r="M51" s="413"/>
      <c r="N51" s="413"/>
      <c r="O51" s="413"/>
      <c r="P51" s="413"/>
      <c r="Q51" s="413"/>
      <c r="R51" s="413"/>
      <c r="Y51" t="s">
        <v>728</v>
      </c>
    </row>
    <row r="52" spans="1:26" x14ac:dyDescent="0.25">
      <c r="A52" s="2"/>
      <c r="B52" s="420"/>
      <c r="C52" s="413"/>
      <c r="D52" s="413"/>
      <c r="E52" s="413"/>
      <c r="F52" s="413"/>
      <c r="G52" s="413"/>
      <c r="H52" s="413"/>
      <c r="I52" s="413"/>
      <c r="J52" s="413"/>
      <c r="K52" s="413"/>
      <c r="L52" s="413"/>
      <c r="M52" s="413"/>
      <c r="N52" s="413"/>
      <c r="O52" s="413"/>
      <c r="P52" s="413"/>
      <c r="Q52" s="413"/>
      <c r="R52" s="413"/>
      <c r="Y52" t="str">
        <f>+B51</f>
        <v>Jei X ašies reikšmės bus skaičiai, o ne tekstas ar datos, duomenys diagramoje gali būti pavaizduoti ne taip, kaip tikitės, t. y. X reikšmės pavaizduotos Y ašyje. Norėdami nurodyti, kur turi būti pavaizduotos reikšmės, pažymėję diagramą, įrankių juostoje CHART TOOLS-&gt;DESIGN-&gt;SELECT DATA DIAGRAMOS ĮRANKIAI-&gt;PASIRINKTI DUOMENIS-&gt;PASIRINKTI DUOMENIS.  Pasirodo SELECT DATA SOURCE DUOMENŲ ŠALTINIO PASIRINKIMAS dialogo langas, kuriame galime pridėti arba išimti duomenų sekas Y ašyje ir pakeisti horizontalios X ašies etiketes.</v>
      </c>
    </row>
    <row r="53" spans="1:26" x14ac:dyDescent="0.25">
      <c r="A53" s="2"/>
      <c r="B53" s="413"/>
      <c r="C53" s="413"/>
      <c r="D53" s="413"/>
      <c r="E53" s="413"/>
      <c r="F53" s="413"/>
      <c r="G53" s="413"/>
      <c r="H53" s="413"/>
      <c r="I53" s="413"/>
      <c r="J53" s="413"/>
      <c r="K53" s="413"/>
      <c r="L53" s="413"/>
      <c r="M53" s="413"/>
      <c r="N53" s="413"/>
      <c r="O53" s="413"/>
      <c r="P53" s="413"/>
      <c r="Q53" s="413"/>
      <c r="R53" s="413"/>
    </row>
    <row r="54" spans="1:26" x14ac:dyDescent="0.25">
      <c r="A54" s="2"/>
      <c r="B54" s="2"/>
      <c r="C54" s="2"/>
      <c r="D54" s="2"/>
      <c r="E54" s="2"/>
      <c r="F54" s="2"/>
      <c r="G54" s="2"/>
      <c r="H54" s="2"/>
      <c r="I54" s="2"/>
      <c r="J54" s="2"/>
      <c r="K54" s="2"/>
      <c r="L54" s="2" t="s">
        <v>1217</v>
      </c>
      <c r="M54" s="2"/>
      <c r="N54" s="2"/>
      <c r="O54" s="2"/>
      <c r="P54" s="2"/>
      <c r="Q54" s="2"/>
      <c r="R54" s="2"/>
    </row>
    <row r="55" spans="1:26" x14ac:dyDescent="0.25">
      <c r="A55" s="2"/>
      <c r="B55" s="107" t="s">
        <v>650</v>
      </c>
      <c r="C55" s="107" t="s">
        <v>667</v>
      </c>
      <c r="D55" s="2"/>
      <c r="E55" s="2"/>
      <c r="F55" s="2"/>
      <c r="G55" s="2"/>
      <c r="H55" s="2"/>
      <c r="I55" s="2"/>
      <c r="J55" s="2"/>
      <c r="K55" s="2"/>
      <c r="L55" s="2"/>
      <c r="M55" s="2"/>
      <c r="N55" s="2"/>
      <c r="O55" s="2"/>
      <c r="P55" s="2"/>
      <c r="Q55" s="2"/>
      <c r="R55" s="2"/>
      <c r="Y55" t="s">
        <v>650</v>
      </c>
      <c r="Z55" t="s">
        <v>667</v>
      </c>
    </row>
    <row r="56" spans="1:26" x14ac:dyDescent="0.25">
      <c r="A56" s="2"/>
      <c r="B56" s="163">
        <v>2010</v>
      </c>
      <c r="C56" s="163">
        <v>10520</v>
      </c>
      <c r="D56" s="2"/>
      <c r="E56" s="2"/>
      <c r="F56" s="2"/>
      <c r="G56" s="2"/>
      <c r="H56" s="2"/>
      <c r="I56" s="2"/>
      <c r="J56" s="2"/>
      <c r="K56" s="2"/>
      <c r="L56" s="2"/>
      <c r="M56" s="2"/>
      <c r="N56" s="2"/>
      <c r="O56" s="2"/>
      <c r="P56" s="2"/>
      <c r="Q56" s="2"/>
      <c r="R56" s="2"/>
      <c r="Y56">
        <v>2010</v>
      </c>
      <c r="Z56">
        <v>10520</v>
      </c>
    </row>
    <row r="57" spans="1:26" x14ac:dyDescent="0.25">
      <c r="A57" s="2"/>
      <c r="B57" s="163">
        <v>2011</v>
      </c>
      <c r="C57" s="163">
        <v>12650</v>
      </c>
      <c r="D57" s="2"/>
      <c r="E57" s="2"/>
      <c r="F57" s="2"/>
      <c r="G57" s="2"/>
      <c r="H57" s="2"/>
      <c r="I57" s="2"/>
      <c r="J57" s="2"/>
      <c r="K57" s="2"/>
      <c r="L57" s="2"/>
      <c r="M57" s="2"/>
      <c r="N57" s="2"/>
      <c r="O57" s="2"/>
      <c r="P57" s="2"/>
      <c r="Q57" s="2"/>
      <c r="R57" s="2"/>
      <c r="Y57">
        <v>2011</v>
      </c>
      <c r="Z57">
        <v>12650</v>
      </c>
    </row>
    <row r="58" spans="1:26" x14ac:dyDescent="0.25">
      <c r="A58" s="2"/>
      <c r="B58" s="163">
        <v>2012</v>
      </c>
      <c r="C58" s="163">
        <v>11840</v>
      </c>
      <c r="D58" s="2"/>
      <c r="E58" s="2"/>
      <c r="F58" s="2"/>
      <c r="G58" s="2"/>
      <c r="H58" s="2"/>
      <c r="I58" s="2"/>
      <c r="J58" s="2"/>
      <c r="K58" s="2"/>
      <c r="L58" s="2"/>
      <c r="M58" s="2"/>
      <c r="N58" s="2"/>
      <c r="O58" s="2"/>
      <c r="P58" s="2"/>
      <c r="Q58" s="2"/>
      <c r="R58" s="2"/>
      <c r="Y58">
        <v>2012</v>
      </c>
      <c r="Z58">
        <v>11840</v>
      </c>
    </row>
    <row r="59" spans="1:26" x14ac:dyDescent="0.25">
      <c r="A59" s="2"/>
      <c r="B59" s="163">
        <v>2013</v>
      </c>
      <c r="C59" s="163">
        <v>17450</v>
      </c>
      <c r="D59" s="2"/>
      <c r="E59" s="2"/>
      <c r="F59" s="2"/>
      <c r="G59" s="2"/>
      <c r="H59" s="2"/>
      <c r="I59" s="2"/>
      <c r="J59" s="2"/>
      <c r="K59" s="2"/>
      <c r="L59" s="2"/>
      <c r="M59" s="2"/>
      <c r="N59" s="2"/>
      <c r="O59" s="2"/>
      <c r="P59" s="2"/>
      <c r="Q59" s="2"/>
      <c r="R59" s="2"/>
      <c r="Y59">
        <v>2013</v>
      </c>
      <c r="Z59">
        <v>17450</v>
      </c>
    </row>
    <row r="60" spans="1:26" x14ac:dyDescent="0.25">
      <c r="A60" s="2"/>
      <c r="B60" s="163">
        <v>2014</v>
      </c>
      <c r="C60" s="163">
        <v>23650</v>
      </c>
      <c r="D60" s="2"/>
      <c r="E60" s="2"/>
      <c r="F60" s="2"/>
      <c r="G60" s="2"/>
      <c r="H60" s="2"/>
      <c r="I60" s="2"/>
      <c r="J60" s="2"/>
      <c r="K60" s="2"/>
      <c r="L60" s="2"/>
      <c r="M60" s="2"/>
      <c r="N60" s="2"/>
      <c r="O60" s="2"/>
      <c r="P60" s="2"/>
      <c r="Q60" s="2"/>
      <c r="R60" s="2"/>
      <c r="Y60">
        <v>2014</v>
      </c>
      <c r="Z60">
        <v>23650</v>
      </c>
    </row>
    <row r="61" spans="1:26" x14ac:dyDescent="0.25">
      <c r="A61" s="2"/>
      <c r="B61" s="163">
        <v>2015</v>
      </c>
      <c r="C61" s="163">
        <v>15250</v>
      </c>
      <c r="D61" s="2"/>
      <c r="E61" s="2"/>
      <c r="F61" s="2"/>
      <c r="G61" s="2"/>
      <c r="H61" s="2"/>
      <c r="I61" s="2"/>
      <c r="J61" s="2"/>
      <c r="K61" s="2"/>
      <c r="L61" s="2"/>
      <c r="M61" s="2"/>
      <c r="N61" s="2"/>
      <c r="O61" s="2"/>
      <c r="P61" s="2"/>
      <c r="Q61" s="2"/>
      <c r="R61" s="2"/>
      <c r="Y61">
        <v>2015</v>
      </c>
      <c r="Z61">
        <v>15250</v>
      </c>
    </row>
    <row r="62" spans="1:26" x14ac:dyDescent="0.25">
      <c r="A62" s="2"/>
      <c r="B62" s="163">
        <v>2016</v>
      </c>
      <c r="C62" s="163">
        <v>19520</v>
      </c>
      <c r="D62" s="2"/>
      <c r="E62" s="2"/>
      <c r="F62" s="2"/>
      <c r="G62" s="2"/>
      <c r="H62" s="2"/>
      <c r="I62" s="2"/>
      <c r="J62" s="2"/>
      <c r="K62" s="2"/>
      <c r="L62" s="2"/>
      <c r="M62" s="2"/>
      <c r="N62" s="2"/>
      <c r="O62" s="2"/>
      <c r="P62" s="2"/>
      <c r="Q62" s="2"/>
      <c r="R62" s="2"/>
      <c r="Y62">
        <v>2016</v>
      </c>
      <c r="Z62">
        <v>19520</v>
      </c>
    </row>
    <row r="63" spans="1:26" x14ac:dyDescent="0.25">
      <c r="A63" s="2"/>
      <c r="B63" s="163">
        <v>2017</v>
      </c>
      <c r="C63" s="163">
        <v>26500</v>
      </c>
      <c r="D63" s="2"/>
      <c r="E63" s="2"/>
      <c r="F63" s="2"/>
      <c r="G63" s="2"/>
      <c r="H63" s="2"/>
      <c r="I63" s="2"/>
      <c r="J63" s="2"/>
      <c r="K63" s="2"/>
      <c r="L63" s="2"/>
      <c r="M63" s="2"/>
      <c r="N63" s="2"/>
      <c r="O63" s="2"/>
      <c r="P63" s="2"/>
      <c r="Q63" s="2"/>
      <c r="R63" s="2"/>
      <c r="Y63">
        <v>2017</v>
      </c>
      <c r="Z63">
        <v>26500</v>
      </c>
    </row>
    <row r="64" spans="1:26" x14ac:dyDescent="0.25">
      <c r="A64" s="2"/>
      <c r="B64" s="2"/>
      <c r="C64" s="2"/>
      <c r="D64" s="2"/>
      <c r="E64" s="2"/>
      <c r="F64" s="2"/>
      <c r="G64" s="2"/>
      <c r="H64" s="2"/>
      <c r="I64" s="2"/>
      <c r="J64" s="2"/>
      <c r="K64" s="2"/>
      <c r="L64" s="2"/>
      <c r="M64" s="2"/>
      <c r="N64" s="2"/>
      <c r="O64" s="2"/>
      <c r="P64" s="2"/>
      <c r="Q64" s="2"/>
      <c r="R64" s="2"/>
    </row>
    <row r="65" spans="1:29" x14ac:dyDescent="0.25">
      <c r="A65" s="2"/>
      <c r="B65" s="2"/>
      <c r="C65" s="2"/>
      <c r="D65" s="2"/>
      <c r="E65" s="2"/>
      <c r="F65" s="2"/>
      <c r="G65" s="2"/>
      <c r="H65" s="2"/>
      <c r="I65" s="2"/>
      <c r="J65" s="2"/>
      <c r="K65" s="2"/>
      <c r="L65" s="2"/>
      <c r="M65" s="2"/>
      <c r="N65" s="2"/>
      <c r="O65" s="2"/>
      <c r="P65" s="2"/>
      <c r="Q65" s="2"/>
      <c r="R65" s="2"/>
    </row>
    <row r="66" spans="1:29" x14ac:dyDescent="0.25">
      <c r="A66" s="2"/>
      <c r="B66" s="2"/>
      <c r="C66" s="2"/>
      <c r="D66" s="2"/>
      <c r="E66" s="2"/>
      <c r="F66" s="2"/>
      <c r="G66" s="2"/>
      <c r="H66" s="2"/>
      <c r="I66" s="2"/>
      <c r="J66" s="2"/>
      <c r="K66" s="2"/>
      <c r="L66" s="2"/>
      <c r="M66" s="2"/>
      <c r="N66" s="2"/>
      <c r="O66" s="2"/>
      <c r="P66" s="2"/>
      <c r="Q66" s="2"/>
      <c r="R66" s="2"/>
    </row>
    <row r="67" spans="1:29" x14ac:dyDescent="0.25">
      <c r="A67" s="2"/>
      <c r="B67" s="2"/>
      <c r="C67" s="2"/>
      <c r="D67" s="2"/>
      <c r="E67" s="2"/>
      <c r="F67" s="2"/>
      <c r="G67" s="2"/>
      <c r="H67" s="2"/>
      <c r="I67" s="2"/>
      <c r="J67" s="2"/>
      <c r="K67" s="2"/>
      <c r="L67" s="2"/>
      <c r="M67" s="2"/>
      <c r="N67" s="2"/>
      <c r="O67" s="2"/>
      <c r="P67" s="2"/>
      <c r="Q67" s="2"/>
      <c r="R67" s="2"/>
    </row>
    <row r="68" spans="1:29" x14ac:dyDescent="0.25">
      <c r="A68" s="2"/>
      <c r="B68" s="2"/>
      <c r="C68" s="2"/>
      <c r="D68" s="2"/>
      <c r="E68" s="2"/>
      <c r="F68" s="2"/>
      <c r="G68" s="2"/>
      <c r="H68" s="2"/>
      <c r="I68" s="2"/>
      <c r="J68" s="2"/>
      <c r="K68" s="2"/>
      <c r="L68" s="2"/>
      <c r="M68" s="2"/>
      <c r="N68" s="2"/>
      <c r="O68" s="2"/>
      <c r="P68" s="2"/>
      <c r="Q68" s="2"/>
      <c r="R68" s="2"/>
    </row>
    <row r="69" spans="1:29" x14ac:dyDescent="0.25">
      <c r="A69" s="2"/>
      <c r="B69" s="2"/>
      <c r="C69" s="2"/>
      <c r="D69" s="2"/>
      <c r="E69" s="2"/>
      <c r="F69" s="2"/>
      <c r="G69" s="2"/>
      <c r="H69" s="2"/>
      <c r="I69" s="2"/>
      <c r="J69" s="2"/>
      <c r="K69" s="2"/>
      <c r="L69" s="2"/>
      <c r="M69" s="2"/>
      <c r="N69" s="2"/>
      <c r="O69" s="2"/>
      <c r="P69" s="2"/>
      <c r="Q69" s="2"/>
      <c r="R69" s="2"/>
    </row>
    <row r="70" spans="1:29" x14ac:dyDescent="0.25">
      <c r="A70" s="2"/>
      <c r="B70" s="2"/>
      <c r="C70" s="2"/>
      <c r="D70" s="2"/>
      <c r="E70" s="2"/>
      <c r="F70" s="2"/>
      <c r="G70" s="2"/>
      <c r="H70" s="2"/>
      <c r="I70" s="2"/>
      <c r="J70" s="2"/>
      <c r="K70" s="2"/>
      <c r="L70" s="2"/>
      <c r="M70" s="2"/>
      <c r="N70" s="2"/>
      <c r="O70" s="2"/>
      <c r="P70" s="2"/>
      <c r="Q70" s="2"/>
      <c r="R70" s="2"/>
    </row>
    <row r="71" spans="1:29" x14ac:dyDescent="0.25">
      <c r="A71" s="2"/>
      <c r="B71" s="420" t="s">
        <v>673</v>
      </c>
      <c r="C71" s="413"/>
      <c r="D71" s="413"/>
      <c r="E71" s="413"/>
      <c r="F71" s="413"/>
      <c r="G71" s="413"/>
      <c r="H71" s="413"/>
      <c r="I71" s="413"/>
      <c r="J71" s="413"/>
      <c r="K71" s="413"/>
      <c r="L71" s="413"/>
      <c r="M71" s="413"/>
      <c r="N71" s="413"/>
      <c r="O71" s="413"/>
      <c r="P71" s="413"/>
      <c r="Q71" s="413"/>
      <c r="R71" s="413"/>
      <c r="Y71" t="s">
        <v>674</v>
      </c>
    </row>
    <row r="72" spans="1:29" x14ac:dyDescent="0.25">
      <c r="A72" s="2"/>
      <c r="B72" s="413"/>
      <c r="C72" s="413"/>
      <c r="D72" s="413"/>
      <c r="E72" s="413"/>
      <c r="F72" s="413"/>
      <c r="G72" s="413"/>
      <c r="H72" s="413"/>
      <c r="I72" s="413"/>
      <c r="J72" s="413"/>
      <c r="K72" s="413"/>
      <c r="L72" s="413"/>
      <c r="M72" s="413"/>
      <c r="N72" s="413"/>
      <c r="O72" s="413"/>
      <c r="P72" s="413"/>
      <c r="Q72" s="413"/>
      <c r="R72" s="413"/>
      <c r="Y72" t="str">
        <f>+B71</f>
        <v>Diagramos tvarkymo įrankiai. DESIGN DIZIANAS - diagramos tipui, maketui, dizainui, duomenų įtraukimui/šalinimui, diagramos vietos keitimo, diagramos tipo keitimui. FORMAT FORMATUOTI - grafiniam apipavidalinimui</v>
      </c>
    </row>
    <row r="73" spans="1:29" ht="15" customHeight="1" x14ac:dyDescent="0.25">
      <c r="A73" s="2"/>
      <c r="B73" s="420" t="s">
        <v>675</v>
      </c>
      <c r="C73" s="413"/>
      <c r="D73" s="413"/>
      <c r="E73" s="413"/>
      <c r="F73" s="413"/>
      <c r="G73" s="413"/>
      <c r="H73" s="413"/>
      <c r="I73" s="413"/>
      <c r="J73" s="413"/>
      <c r="K73" s="413"/>
      <c r="L73" s="413"/>
      <c r="M73" s="413"/>
      <c r="N73" s="413"/>
      <c r="O73" s="413"/>
      <c r="P73" s="413"/>
      <c r="Q73" s="413"/>
      <c r="R73" s="413"/>
      <c r="Y73" t="s">
        <v>676</v>
      </c>
    </row>
    <row r="74" spans="1:29" x14ac:dyDescent="0.25">
      <c r="A74" s="2"/>
      <c r="B74" s="413"/>
      <c r="C74" s="413"/>
      <c r="D74" s="413"/>
      <c r="E74" s="413"/>
      <c r="F74" s="413"/>
      <c r="G74" s="413"/>
      <c r="H74" s="413"/>
      <c r="I74" s="413"/>
      <c r="J74" s="413"/>
      <c r="K74" s="413"/>
      <c r="L74" s="413"/>
      <c r="M74" s="413"/>
      <c r="N74" s="413"/>
      <c r="O74" s="413"/>
      <c r="P74" s="413"/>
      <c r="Q74" s="413"/>
      <c r="R74" s="413"/>
      <c r="Y74" t="str">
        <f>+B73</f>
        <v>Papildoma duomenų ašis. Jei vienos duomenų sekos reikšmės yra keletą kartų didesnės už kitos, gauname vaizdą, kuriame vienos duomenų sekos kreivė yra labai arti X ašies ir jos kitimo beveik nematyti. Tokiu atveju šią seką reikėtų vaizduoti antroje Y ašyje. Renkamės COMBO KOMBINUOTOJI DIAGRAMA diagramos tipą ir nurodome, kurią duomenų seką iškelti į antrąją Y ašį.</v>
      </c>
    </row>
    <row r="75" spans="1:29" x14ac:dyDescent="0.25">
      <c r="A75" s="2"/>
      <c r="B75" s="2"/>
      <c r="C75" s="2"/>
      <c r="D75" s="2"/>
      <c r="E75" s="2"/>
      <c r="F75" s="2"/>
      <c r="G75" s="2"/>
      <c r="H75" s="2"/>
      <c r="I75" s="2"/>
      <c r="J75" s="2"/>
      <c r="K75" s="2"/>
      <c r="L75" s="2"/>
      <c r="M75" s="2"/>
      <c r="N75" s="2"/>
      <c r="O75" s="2"/>
      <c r="P75" s="2"/>
      <c r="Q75" s="2"/>
      <c r="R75" s="2"/>
    </row>
    <row r="76" spans="1:29" x14ac:dyDescent="0.25">
      <c r="A76" s="2"/>
      <c r="B76" s="107" t="s">
        <v>650</v>
      </c>
      <c r="C76" s="107" t="s">
        <v>667</v>
      </c>
      <c r="D76" s="107" t="s">
        <v>677</v>
      </c>
      <c r="E76" s="2"/>
      <c r="F76" s="2" t="s">
        <v>747</v>
      </c>
      <c r="G76" s="2"/>
      <c r="H76" s="2"/>
      <c r="I76" s="2"/>
      <c r="J76" s="2"/>
      <c r="K76" s="2" t="s">
        <v>1218</v>
      </c>
      <c r="L76" s="2"/>
      <c r="M76" s="2"/>
      <c r="N76" s="2"/>
      <c r="O76" s="2"/>
      <c r="P76" s="2"/>
      <c r="Q76" s="2"/>
      <c r="R76" s="2"/>
      <c r="Y76" t="s">
        <v>650</v>
      </c>
      <c r="Z76" t="s">
        <v>667</v>
      </c>
      <c r="AA76" t="s">
        <v>677</v>
      </c>
      <c r="AC76" t="s">
        <v>678</v>
      </c>
    </row>
    <row r="77" spans="1:29" x14ac:dyDescent="0.25">
      <c r="A77" s="2"/>
      <c r="B77" s="163">
        <v>2010</v>
      </c>
      <c r="C77" s="163">
        <v>10520</v>
      </c>
      <c r="D77" s="163">
        <v>3</v>
      </c>
      <c r="E77" s="2"/>
      <c r="F77" s="2" t="s">
        <v>727</v>
      </c>
      <c r="G77" s="2"/>
      <c r="H77" s="2"/>
      <c r="I77" s="2"/>
      <c r="J77" s="2"/>
      <c r="K77" s="2"/>
      <c r="L77" s="2"/>
      <c r="M77" s="2"/>
      <c r="N77" s="2"/>
      <c r="O77" s="2"/>
      <c r="P77" s="2"/>
      <c r="Q77" s="2"/>
      <c r="R77" s="2"/>
      <c r="Y77">
        <v>2010</v>
      </c>
      <c r="Z77">
        <v>10520</v>
      </c>
      <c r="AA77">
        <v>3</v>
      </c>
      <c r="AC77" t="s">
        <v>727</v>
      </c>
    </row>
    <row r="78" spans="1:29" x14ac:dyDescent="0.25">
      <c r="A78" s="2"/>
      <c r="B78" s="163">
        <v>2011</v>
      </c>
      <c r="C78" s="163">
        <v>12650</v>
      </c>
      <c r="D78" s="163">
        <v>4</v>
      </c>
      <c r="E78" s="2"/>
      <c r="F78" s="2" t="s">
        <v>679</v>
      </c>
      <c r="G78" s="2"/>
      <c r="H78" s="2"/>
      <c r="I78" s="2"/>
      <c r="J78" s="2"/>
      <c r="K78" s="2"/>
      <c r="L78" s="2"/>
      <c r="M78" s="2"/>
      <c r="N78" s="2"/>
      <c r="O78" s="2"/>
      <c r="P78" s="2"/>
      <c r="Q78" s="2"/>
      <c r="R78" s="2"/>
      <c r="Y78">
        <v>2011</v>
      </c>
      <c r="Z78">
        <v>12650</v>
      </c>
      <c r="AA78">
        <v>4</v>
      </c>
    </row>
    <row r="79" spans="1:29" x14ac:dyDescent="0.25">
      <c r="A79" s="2"/>
      <c r="B79" s="163">
        <v>2012</v>
      </c>
      <c r="C79" s="163">
        <v>11840</v>
      </c>
      <c r="D79" s="163">
        <v>3</v>
      </c>
      <c r="E79" s="2"/>
      <c r="F79" s="2"/>
      <c r="G79" s="2"/>
      <c r="H79" s="2"/>
      <c r="I79" s="2"/>
      <c r="J79" s="2"/>
      <c r="K79" s="2"/>
      <c r="L79" s="2"/>
      <c r="M79" s="2"/>
      <c r="N79" s="2"/>
      <c r="O79" s="2"/>
      <c r="P79" s="2"/>
      <c r="Q79" s="2"/>
      <c r="R79" s="2"/>
      <c r="Y79">
        <v>2012</v>
      </c>
      <c r="Z79">
        <v>11840</v>
      </c>
      <c r="AA79">
        <v>3</v>
      </c>
    </row>
    <row r="80" spans="1:29" x14ac:dyDescent="0.25">
      <c r="A80" s="2"/>
      <c r="B80" s="163">
        <v>2013</v>
      </c>
      <c r="C80" s="163">
        <v>17450</v>
      </c>
      <c r="D80" s="163">
        <v>5</v>
      </c>
      <c r="E80" s="2"/>
      <c r="F80" s="2"/>
      <c r="G80" s="2"/>
      <c r="H80" s="2"/>
      <c r="I80" s="2"/>
      <c r="J80" s="2"/>
      <c r="K80" s="2"/>
      <c r="L80" s="2"/>
      <c r="M80" s="2"/>
      <c r="N80" s="2"/>
      <c r="O80" s="2"/>
      <c r="P80" s="2"/>
      <c r="Q80" s="2"/>
      <c r="R80" s="2"/>
      <c r="Y80">
        <v>2013</v>
      </c>
      <c r="Z80">
        <v>17450</v>
      </c>
      <c r="AA80">
        <v>5</v>
      </c>
    </row>
    <row r="81" spans="1:29" x14ac:dyDescent="0.25">
      <c r="A81" s="2"/>
      <c r="B81" s="163">
        <v>2014</v>
      </c>
      <c r="C81" s="163">
        <v>23650</v>
      </c>
      <c r="D81" s="163">
        <v>6</v>
      </c>
      <c r="E81" s="2"/>
      <c r="F81" s="2"/>
      <c r="G81" s="2"/>
      <c r="H81" s="2"/>
      <c r="I81" s="2"/>
      <c r="J81" s="2"/>
      <c r="K81" s="2"/>
      <c r="L81" s="2"/>
      <c r="M81" s="2"/>
      <c r="N81" s="2"/>
      <c r="O81" s="2"/>
      <c r="P81" s="2"/>
      <c r="Q81" s="2"/>
      <c r="R81" s="2"/>
      <c r="Y81">
        <v>2014</v>
      </c>
      <c r="Z81">
        <v>23650</v>
      </c>
      <c r="AA81">
        <v>6</v>
      </c>
    </row>
    <row r="82" spans="1:29" x14ac:dyDescent="0.25">
      <c r="A82" s="2"/>
      <c r="B82" s="163">
        <v>2015</v>
      </c>
      <c r="C82" s="163">
        <v>15250</v>
      </c>
      <c r="D82" s="163">
        <v>4</v>
      </c>
      <c r="E82" s="2"/>
      <c r="F82" s="2"/>
      <c r="G82" s="2"/>
      <c r="H82" s="2"/>
      <c r="I82" s="2"/>
      <c r="J82" s="2"/>
      <c r="K82" s="2"/>
      <c r="L82" s="2"/>
      <c r="M82" s="2"/>
      <c r="N82" s="2"/>
      <c r="O82" s="2"/>
      <c r="P82" s="2"/>
      <c r="Q82" s="2"/>
      <c r="R82" s="2"/>
      <c r="Y82">
        <v>2015</v>
      </c>
      <c r="Z82">
        <v>15250</v>
      </c>
      <c r="AA82">
        <v>4</v>
      </c>
    </row>
    <row r="83" spans="1:29" x14ac:dyDescent="0.25">
      <c r="A83" s="2"/>
      <c r="B83" s="163">
        <v>2016</v>
      </c>
      <c r="C83" s="163">
        <v>19520</v>
      </c>
      <c r="D83" s="163">
        <v>5</v>
      </c>
      <c r="E83" s="2"/>
      <c r="F83" s="2"/>
      <c r="G83" s="2"/>
      <c r="H83" s="2"/>
      <c r="I83" s="2"/>
      <c r="J83" s="2"/>
      <c r="K83" s="2"/>
      <c r="L83" s="2"/>
      <c r="M83" s="2"/>
      <c r="N83" s="2"/>
      <c r="O83" s="2"/>
      <c r="P83" s="2"/>
      <c r="Q83" s="2"/>
      <c r="R83" s="2"/>
      <c r="Y83">
        <v>2016</v>
      </c>
      <c r="Z83">
        <v>19520</v>
      </c>
      <c r="AA83">
        <v>5</v>
      </c>
    </row>
    <row r="84" spans="1:29" x14ac:dyDescent="0.25">
      <c r="A84" s="2"/>
      <c r="B84" s="163">
        <v>2017</v>
      </c>
      <c r="C84" s="163">
        <v>26500</v>
      </c>
      <c r="D84" s="163">
        <v>7</v>
      </c>
      <c r="E84" s="2"/>
      <c r="F84" s="2"/>
      <c r="G84" s="2"/>
      <c r="H84" s="2"/>
      <c r="I84" s="2"/>
      <c r="J84" s="2"/>
      <c r="K84" s="2"/>
      <c r="L84" s="2"/>
      <c r="M84" s="2"/>
      <c r="N84" s="2"/>
      <c r="O84" s="2"/>
      <c r="P84" s="2"/>
      <c r="Q84" s="2"/>
      <c r="R84" s="2"/>
      <c r="Y84">
        <v>2017</v>
      </c>
      <c r="Z84">
        <v>26500</v>
      </c>
      <c r="AA84">
        <v>7</v>
      </c>
    </row>
    <row r="85" spans="1:29" x14ac:dyDescent="0.25">
      <c r="A85" s="2"/>
      <c r="B85" s="2"/>
      <c r="C85" s="2"/>
      <c r="D85" s="2"/>
      <c r="E85" s="2"/>
      <c r="F85" s="2"/>
      <c r="G85" s="2"/>
      <c r="H85" s="2"/>
      <c r="I85" s="2"/>
      <c r="J85" s="2"/>
      <c r="K85" s="2"/>
      <c r="L85" s="2"/>
      <c r="M85" s="2"/>
      <c r="N85" s="2"/>
      <c r="O85" s="2"/>
      <c r="P85" s="2"/>
      <c r="Q85" s="2"/>
      <c r="R85" s="2"/>
    </row>
    <row r="86" spans="1:29" x14ac:dyDescent="0.25">
      <c r="A86" s="2"/>
      <c r="B86" s="2"/>
      <c r="C86" s="2"/>
      <c r="D86" s="2"/>
      <c r="E86" s="2"/>
      <c r="F86" s="2"/>
      <c r="G86" s="2"/>
      <c r="H86" s="2"/>
      <c r="I86" s="2"/>
      <c r="J86" s="2"/>
      <c r="K86" s="2"/>
      <c r="L86" s="2"/>
      <c r="M86" s="2"/>
      <c r="N86" s="2"/>
      <c r="O86" s="2"/>
      <c r="P86" s="2"/>
      <c r="Q86" s="2"/>
      <c r="R86" s="2"/>
    </row>
    <row r="87" spans="1:29" x14ac:dyDescent="0.25">
      <c r="A87" s="2"/>
      <c r="B87" s="2"/>
      <c r="C87" s="2"/>
      <c r="D87" s="2"/>
      <c r="E87" s="2"/>
      <c r="F87" s="2"/>
      <c r="G87" s="2"/>
      <c r="H87" s="2"/>
      <c r="I87" s="2"/>
      <c r="J87" s="2"/>
      <c r="K87" s="2"/>
      <c r="L87" s="2"/>
      <c r="M87" s="2"/>
      <c r="N87" s="2"/>
      <c r="O87" s="2"/>
      <c r="P87" s="2"/>
      <c r="Q87" s="2"/>
      <c r="R87" s="2"/>
    </row>
    <row r="88" spans="1:29" x14ac:dyDescent="0.25">
      <c r="A88" s="2"/>
      <c r="B88" s="2"/>
      <c r="C88" s="2"/>
      <c r="D88" s="2"/>
      <c r="E88" s="2"/>
      <c r="F88" s="2"/>
      <c r="G88" s="2"/>
      <c r="H88" s="2"/>
      <c r="I88" s="2"/>
      <c r="J88" s="2"/>
      <c r="K88" s="2"/>
      <c r="L88" s="2"/>
      <c r="M88" s="2"/>
      <c r="N88" s="2"/>
      <c r="O88" s="2"/>
      <c r="P88" s="2"/>
      <c r="Q88" s="2"/>
      <c r="R88" s="2"/>
    </row>
    <row r="89" spans="1:29" x14ac:dyDescent="0.25">
      <c r="A89" s="2"/>
      <c r="B89" s="2"/>
      <c r="C89" s="2"/>
      <c r="D89" s="2"/>
      <c r="E89" s="2"/>
      <c r="F89" s="2"/>
      <c r="G89" s="2"/>
      <c r="H89" s="2"/>
      <c r="I89" s="2"/>
      <c r="J89" s="2"/>
      <c r="K89" s="2"/>
      <c r="L89" s="2"/>
      <c r="M89" s="2"/>
      <c r="N89" s="2"/>
      <c r="O89" s="2"/>
      <c r="P89" s="2"/>
      <c r="Q89" s="2"/>
      <c r="R89" s="2"/>
    </row>
    <row r="90" spans="1:29" x14ac:dyDescent="0.25">
      <c r="A90" s="2"/>
      <c r="B90" s="2"/>
      <c r="C90" s="2"/>
      <c r="D90" s="2"/>
      <c r="E90" s="2"/>
      <c r="F90" s="2"/>
      <c r="G90" s="2"/>
      <c r="H90" s="2"/>
      <c r="I90" s="2"/>
      <c r="J90" s="2"/>
      <c r="K90" s="2"/>
      <c r="L90" s="2"/>
      <c r="M90" s="2"/>
      <c r="N90" s="2"/>
      <c r="O90" s="2"/>
      <c r="P90" s="2"/>
      <c r="Q90" s="2"/>
      <c r="R90" s="2"/>
    </row>
    <row r="91" spans="1:29" x14ac:dyDescent="0.25">
      <c r="A91" s="2"/>
      <c r="B91" s="2"/>
      <c r="C91" s="2"/>
      <c r="D91" s="2"/>
      <c r="E91" s="2"/>
      <c r="F91" s="2"/>
      <c r="G91" s="2"/>
      <c r="H91" s="2"/>
      <c r="I91" s="2"/>
      <c r="J91" s="2"/>
      <c r="K91" s="2"/>
      <c r="L91" s="2"/>
      <c r="M91" s="2"/>
      <c r="N91" s="2"/>
      <c r="O91" s="2"/>
      <c r="P91" s="2"/>
      <c r="Q91" s="2"/>
      <c r="R91" s="2"/>
    </row>
    <row r="92" spans="1:29" x14ac:dyDescent="0.25">
      <c r="A92" s="2"/>
      <c r="B92" s="2"/>
      <c r="C92" s="2"/>
      <c r="D92" s="2"/>
      <c r="E92" s="2"/>
      <c r="F92" s="2"/>
      <c r="G92" s="2"/>
      <c r="H92" s="2"/>
      <c r="I92" s="2"/>
      <c r="J92" s="2"/>
      <c r="K92" s="2"/>
      <c r="L92" s="2"/>
      <c r="M92" s="2"/>
      <c r="N92" s="2"/>
      <c r="O92" s="2"/>
      <c r="P92" s="2"/>
      <c r="Q92" s="2"/>
      <c r="R92" s="2"/>
    </row>
    <row r="93" spans="1:29" x14ac:dyDescent="0.25">
      <c r="A93" s="2"/>
      <c r="B93" s="2"/>
      <c r="C93" s="2"/>
      <c r="D93" s="2"/>
      <c r="E93" s="2"/>
      <c r="F93" s="2"/>
      <c r="G93" s="2"/>
      <c r="H93" s="2"/>
      <c r="I93" s="2"/>
      <c r="J93" s="2"/>
      <c r="K93" s="2"/>
      <c r="L93" s="2"/>
      <c r="M93" s="2"/>
      <c r="N93" s="2"/>
      <c r="O93" s="2"/>
      <c r="P93" s="2"/>
      <c r="Q93" s="2"/>
      <c r="R93" s="2"/>
    </row>
    <row r="94" spans="1:29" x14ac:dyDescent="0.25">
      <c r="A94" s="2"/>
      <c r="B94" s="2"/>
      <c r="C94" s="2"/>
      <c r="D94" s="2"/>
      <c r="E94" s="2"/>
      <c r="F94" s="2"/>
      <c r="G94" s="2"/>
      <c r="H94" s="2"/>
      <c r="I94" s="2"/>
      <c r="J94" s="2"/>
      <c r="K94" s="2"/>
      <c r="L94" s="2"/>
      <c r="M94" s="2"/>
      <c r="N94" s="2"/>
      <c r="O94" s="2"/>
      <c r="P94" s="2"/>
      <c r="Q94" s="2"/>
      <c r="R94" s="2"/>
    </row>
    <row r="95" spans="1:29" x14ac:dyDescent="0.25">
      <c r="A95" s="2"/>
      <c r="B95" s="2"/>
      <c r="C95" s="2"/>
      <c r="D95" s="2"/>
      <c r="E95" s="2"/>
      <c r="F95" s="2"/>
      <c r="G95" s="2"/>
      <c r="H95" s="2"/>
      <c r="I95" s="2"/>
      <c r="J95" s="2"/>
      <c r="K95" s="2"/>
      <c r="L95" s="2"/>
      <c r="M95" s="2"/>
      <c r="N95" s="2"/>
      <c r="O95" s="2"/>
      <c r="P95" s="2"/>
      <c r="Q95" s="2"/>
      <c r="R95" s="2"/>
      <c r="AC95" t="s">
        <v>680</v>
      </c>
    </row>
    <row r="96" spans="1:29" x14ac:dyDescent="0.25">
      <c r="A96" s="2"/>
      <c r="B96" s="2"/>
      <c r="C96" s="2"/>
      <c r="D96" s="2"/>
      <c r="E96" s="2"/>
      <c r="F96" s="2"/>
      <c r="G96" s="2"/>
      <c r="H96" s="2"/>
      <c r="I96" s="2"/>
      <c r="J96" s="2"/>
      <c r="K96" s="2"/>
      <c r="L96" s="2"/>
      <c r="M96" s="2"/>
      <c r="N96" s="2"/>
      <c r="O96" s="2"/>
      <c r="P96" s="2"/>
      <c r="Q96" s="2"/>
      <c r="R96" s="2"/>
    </row>
    <row r="97" spans="1:18" x14ac:dyDescent="0.25">
      <c r="A97" s="2"/>
      <c r="B97" s="2"/>
      <c r="C97" s="2"/>
      <c r="D97" s="2"/>
      <c r="E97" s="2"/>
      <c r="F97" s="2"/>
      <c r="G97" s="2"/>
      <c r="H97" s="2"/>
      <c r="I97" s="2"/>
      <c r="J97" s="2"/>
      <c r="K97" s="2"/>
      <c r="L97" s="2"/>
      <c r="M97" s="2"/>
      <c r="N97" s="2"/>
      <c r="O97" s="2"/>
      <c r="P97" s="2"/>
      <c r="Q97" s="2"/>
      <c r="R97" s="2"/>
    </row>
    <row r="98" spans="1:18" x14ac:dyDescent="0.25">
      <c r="A98" s="2"/>
      <c r="B98" s="2"/>
      <c r="C98" s="2"/>
      <c r="D98" s="2"/>
      <c r="E98" s="2"/>
      <c r="F98" s="2"/>
      <c r="G98" s="2"/>
      <c r="H98" s="2"/>
      <c r="I98" s="2"/>
      <c r="J98" s="2"/>
      <c r="K98" s="2"/>
      <c r="L98" s="2"/>
      <c r="M98" s="2"/>
      <c r="N98" s="2"/>
      <c r="O98" s="2"/>
      <c r="P98" s="2"/>
      <c r="Q98" s="2"/>
      <c r="R98" s="2"/>
    </row>
    <row r="99" spans="1:18" x14ac:dyDescent="0.25">
      <c r="A99" s="2"/>
      <c r="B99" s="2"/>
      <c r="C99" s="2"/>
      <c r="D99" s="2"/>
      <c r="E99" s="2"/>
      <c r="F99" s="2"/>
      <c r="G99" s="2"/>
      <c r="H99" s="2"/>
      <c r="I99" s="2"/>
      <c r="J99" s="2"/>
      <c r="K99" s="2"/>
      <c r="L99" s="2"/>
      <c r="M99" s="2"/>
      <c r="N99" s="2"/>
      <c r="O99" s="2"/>
      <c r="P99" s="2"/>
      <c r="Q99" s="2"/>
      <c r="R99" s="2"/>
    </row>
    <row r="100" spans="1:18" x14ac:dyDescent="0.25">
      <c r="A100" s="2"/>
      <c r="B100" s="2"/>
      <c r="C100" s="2"/>
      <c r="D100" s="2"/>
      <c r="E100" s="2"/>
      <c r="F100" s="2"/>
      <c r="G100" s="2"/>
      <c r="H100" s="2"/>
      <c r="I100" s="2"/>
      <c r="J100" s="2"/>
      <c r="K100" s="2"/>
      <c r="L100" s="2"/>
      <c r="M100" s="2"/>
      <c r="N100" s="2"/>
      <c r="O100" s="2"/>
      <c r="P100" s="2"/>
      <c r="Q100" s="2"/>
      <c r="R100" s="2"/>
    </row>
    <row r="101" spans="1:18" x14ac:dyDescent="0.25">
      <c r="A101" s="2"/>
      <c r="B101" s="2"/>
      <c r="C101" s="2"/>
      <c r="D101" s="2"/>
      <c r="E101" s="2"/>
      <c r="F101" s="2"/>
      <c r="G101" s="2"/>
      <c r="H101" s="2"/>
      <c r="I101" s="2"/>
      <c r="J101" s="2"/>
      <c r="K101" s="2"/>
      <c r="L101" s="2"/>
      <c r="M101" s="2"/>
      <c r="N101" s="2"/>
      <c r="O101" s="2"/>
      <c r="P101" s="2"/>
      <c r="Q101" s="2"/>
      <c r="R101" s="2"/>
    </row>
    <row r="102" spans="1:18" x14ac:dyDescent="0.25">
      <c r="A102" s="2"/>
      <c r="B102" s="2"/>
      <c r="C102" s="2"/>
      <c r="D102" s="2"/>
      <c r="E102" s="2"/>
      <c r="F102" s="2"/>
      <c r="G102" s="2"/>
      <c r="H102" s="2"/>
      <c r="I102" s="2"/>
      <c r="J102" s="2"/>
      <c r="K102" s="2"/>
      <c r="L102" s="2"/>
      <c r="M102" s="2"/>
      <c r="N102" s="2"/>
      <c r="O102" s="2"/>
      <c r="P102" s="2"/>
      <c r="Q102" s="2"/>
      <c r="R102" s="2"/>
    </row>
    <row r="103" spans="1:18" x14ac:dyDescent="0.25">
      <c r="A103" s="2"/>
      <c r="B103" s="2"/>
      <c r="C103" s="2"/>
      <c r="D103" s="2"/>
      <c r="E103" s="2"/>
      <c r="F103" s="2"/>
      <c r="G103" s="2"/>
      <c r="H103" s="2"/>
      <c r="I103" s="2"/>
      <c r="J103" s="2"/>
      <c r="K103" s="2"/>
      <c r="L103" s="2"/>
      <c r="M103" s="2"/>
      <c r="N103" s="2"/>
      <c r="O103" s="2"/>
      <c r="P103" s="2"/>
      <c r="Q103" s="2"/>
      <c r="R103" s="2"/>
    </row>
    <row r="104" spans="1:18" x14ac:dyDescent="0.25">
      <c r="A104" s="2"/>
      <c r="B104" s="2"/>
      <c r="C104" s="2"/>
      <c r="D104" s="2"/>
      <c r="E104" s="2"/>
      <c r="F104" s="2"/>
      <c r="G104" s="2"/>
      <c r="H104" s="2"/>
      <c r="I104" s="2"/>
      <c r="J104" s="2"/>
      <c r="K104" s="2"/>
      <c r="L104" s="2"/>
      <c r="M104" s="2"/>
      <c r="N104" s="2"/>
      <c r="O104" s="2"/>
      <c r="P104" s="2"/>
      <c r="Q104" s="2"/>
      <c r="R104" s="2"/>
    </row>
    <row r="105" spans="1:18" x14ac:dyDescent="0.25">
      <c r="A105" s="2" t="s">
        <v>1219</v>
      </c>
      <c r="B105" s="2"/>
      <c r="C105" s="2"/>
      <c r="D105" s="2"/>
      <c r="E105" s="2"/>
      <c r="F105" s="2"/>
      <c r="G105" s="2"/>
      <c r="H105" s="2"/>
      <c r="I105" s="2"/>
      <c r="J105" s="2"/>
      <c r="K105" s="2"/>
      <c r="L105" s="2"/>
      <c r="M105" s="2"/>
      <c r="N105" s="2"/>
      <c r="O105" s="2"/>
      <c r="P105" s="2"/>
      <c r="Q105" s="2"/>
      <c r="R105" s="2"/>
    </row>
    <row r="106" spans="1:18" x14ac:dyDescent="0.25">
      <c r="A106" s="2" t="s">
        <v>1220</v>
      </c>
      <c r="B106" s="2"/>
      <c r="C106" s="2"/>
      <c r="D106" s="2"/>
      <c r="E106" s="2"/>
      <c r="F106" s="2"/>
      <c r="G106" s="2"/>
      <c r="H106" s="2"/>
      <c r="I106" s="2"/>
      <c r="J106" s="2"/>
      <c r="K106" s="2"/>
      <c r="L106" s="2"/>
      <c r="M106" s="2"/>
      <c r="N106" s="2"/>
      <c r="O106" s="2"/>
      <c r="P106" s="2"/>
      <c r="Q106" s="2"/>
      <c r="R106" s="2"/>
    </row>
    <row r="107" spans="1:18" x14ac:dyDescent="0.25">
      <c r="A107" s="2"/>
      <c r="B107" s="2"/>
      <c r="C107" s="2"/>
      <c r="D107" s="2"/>
      <c r="E107" s="2"/>
      <c r="F107" s="2"/>
      <c r="G107" s="2"/>
      <c r="H107" s="2"/>
      <c r="I107" s="2"/>
      <c r="J107" s="2"/>
      <c r="K107" s="2"/>
      <c r="L107" s="2"/>
      <c r="M107" s="2"/>
      <c r="N107" s="2"/>
      <c r="O107" s="2"/>
      <c r="P107" s="2"/>
      <c r="Q107" s="2"/>
      <c r="R107" s="2"/>
    </row>
    <row r="108" spans="1:18" x14ac:dyDescent="0.25">
      <c r="A108" s="2"/>
      <c r="B108" s="2"/>
      <c r="C108" s="2"/>
      <c r="D108" s="2"/>
      <c r="E108" s="2"/>
      <c r="F108" s="2"/>
      <c r="G108" s="2"/>
      <c r="H108" s="2"/>
      <c r="I108" s="2"/>
      <c r="J108" s="2"/>
      <c r="K108" s="2"/>
      <c r="L108" s="2"/>
      <c r="M108" s="2"/>
      <c r="N108" s="2"/>
      <c r="O108" s="2"/>
      <c r="P108" s="2"/>
      <c r="Q108" s="2"/>
      <c r="R108" s="2"/>
    </row>
    <row r="109" spans="1:18" x14ac:dyDescent="0.25">
      <c r="A109" s="2"/>
      <c r="B109" s="2"/>
      <c r="C109" s="2"/>
      <c r="D109" s="2"/>
      <c r="E109" s="2"/>
      <c r="F109" s="2"/>
      <c r="G109" s="2"/>
      <c r="H109" s="2"/>
      <c r="I109" s="2"/>
      <c r="J109" s="2"/>
      <c r="K109" s="2"/>
      <c r="L109" s="2"/>
      <c r="M109" s="2"/>
      <c r="N109" s="2"/>
      <c r="O109" s="2"/>
      <c r="P109" s="2"/>
      <c r="Q109" s="2"/>
      <c r="R109" s="2"/>
    </row>
    <row r="110" spans="1:18" x14ac:dyDescent="0.25">
      <c r="A110" s="2"/>
      <c r="B110" s="2"/>
      <c r="C110" s="2"/>
      <c r="D110" s="2"/>
      <c r="E110" s="2"/>
      <c r="F110" s="2"/>
      <c r="G110" s="2"/>
      <c r="H110" s="2"/>
      <c r="I110" s="2"/>
      <c r="J110" s="2"/>
      <c r="K110" s="2"/>
      <c r="L110" s="2"/>
      <c r="M110" s="2"/>
      <c r="N110" s="2"/>
      <c r="O110" s="2"/>
      <c r="P110" s="2"/>
      <c r="Q110" s="2"/>
      <c r="R110" s="2"/>
    </row>
    <row r="111" spans="1:18" x14ac:dyDescent="0.25">
      <c r="A111" s="2"/>
      <c r="B111" s="2"/>
      <c r="C111" s="2"/>
      <c r="D111" s="2"/>
      <c r="E111" s="2"/>
      <c r="F111" s="2"/>
      <c r="G111" s="2"/>
      <c r="H111" s="2"/>
      <c r="I111" s="2"/>
      <c r="J111" s="2"/>
      <c r="K111" s="2"/>
      <c r="L111" s="2"/>
      <c r="M111" s="2"/>
      <c r="N111" s="2"/>
      <c r="O111" s="2"/>
      <c r="P111" s="2"/>
      <c r="Q111" s="2"/>
      <c r="R111" s="2"/>
    </row>
    <row r="112" spans="1:18" x14ac:dyDescent="0.25">
      <c r="A112" s="2"/>
      <c r="B112" s="2"/>
      <c r="C112" s="2"/>
      <c r="D112" s="2"/>
      <c r="E112" s="2"/>
      <c r="F112" s="2"/>
      <c r="G112" s="2"/>
      <c r="H112" s="2"/>
      <c r="I112" s="2"/>
      <c r="J112" s="2"/>
      <c r="K112" s="2"/>
      <c r="L112" s="2"/>
      <c r="M112" s="2"/>
      <c r="N112" s="2"/>
      <c r="O112" s="2"/>
      <c r="P112" s="2"/>
      <c r="Q112" s="2"/>
      <c r="R112" s="2"/>
    </row>
    <row r="113" spans="1:18" x14ac:dyDescent="0.25">
      <c r="A113" s="2"/>
      <c r="B113" s="2"/>
      <c r="C113" s="2"/>
      <c r="D113" s="2"/>
      <c r="E113" s="2"/>
      <c r="F113" s="2"/>
      <c r="G113" s="2"/>
      <c r="H113" s="2"/>
      <c r="I113" s="2"/>
      <c r="J113" s="2"/>
      <c r="K113" s="2"/>
      <c r="L113" s="2"/>
      <c r="M113" s="2"/>
      <c r="N113" s="2"/>
      <c r="O113" s="2"/>
      <c r="P113" s="2"/>
      <c r="Q113" s="2"/>
      <c r="R113" s="2"/>
    </row>
  </sheetData>
  <mergeCells count="4">
    <mergeCell ref="B33:R34"/>
    <mergeCell ref="B51:R53"/>
    <mergeCell ref="B71:R72"/>
    <mergeCell ref="B73:R74"/>
  </mergeCells>
  <phoneticPr fontId="22" type="noConversion"/>
  <printOptions gridLines="1"/>
  <pageMargins left="0.70866141732283472" right="0.70866141732283472" top="0.74803149606299213" bottom="0.74803149606299213" header="0.31496062992125984" footer="0.31496062992125984"/>
  <pageSetup paperSize="9" orientation="portrait" verticalDpi="0"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57"/>
  <sheetViews>
    <sheetView zoomScaleNormal="100" workbookViewId="0">
      <selection activeCell="J52" sqref="J52"/>
    </sheetView>
  </sheetViews>
  <sheetFormatPr defaultRowHeight="15" x14ac:dyDescent="0.25"/>
  <cols>
    <col min="1" max="1" width="15" customWidth="1"/>
    <col min="2" max="2" width="15.42578125" customWidth="1"/>
    <col min="3" max="3" width="13.5703125" customWidth="1"/>
    <col min="4" max="4" width="13" customWidth="1"/>
    <col min="5" max="5" width="13.5703125" customWidth="1"/>
    <col min="6" max="8" width="12" bestFit="1" customWidth="1"/>
    <col min="9" max="9" width="16.42578125" customWidth="1"/>
    <col min="10" max="10" width="12" bestFit="1" customWidth="1"/>
    <col min="11" max="11" width="10.5703125" customWidth="1"/>
    <col min="12" max="12" width="11.42578125" customWidth="1"/>
    <col min="13" max="13" width="10.85546875" customWidth="1"/>
    <col min="14" max="15" width="12" bestFit="1" customWidth="1"/>
    <col min="16" max="17" width="11.42578125" customWidth="1"/>
    <col min="18" max="18" width="12" bestFit="1" customWidth="1"/>
    <col min="19" max="19" width="18.140625" customWidth="1"/>
  </cols>
  <sheetData>
    <row r="1" spans="1:18" ht="23.25" x14ac:dyDescent="0.35">
      <c r="A1" s="1" t="s">
        <v>812</v>
      </c>
      <c r="B1" s="1" t="s">
        <v>415</v>
      </c>
      <c r="C1" s="1"/>
      <c r="D1" s="1"/>
      <c r="E1" s="1"/>
      <c r="F1" s="1"/>
      <c r="G1" s="1"/>
      <c r="H1" s="1"/>
      <c r="I1" s="1"/>
      <c r="J1" s="1"/>
      <c r="K1" s="1"/>
      <c r="L1" s="1"/>
      <c r="M1" s="1"/>
      <c r="N1" s="1"/>
      <c r="O1" s="1"/>
      <c r="P1" s="1"/>
      <c r="Q1" s="1"/>
      <c r="R1" s="1"/>
    </row>
    <row r="3" spans="1:18" x14ac:dyDescent="0.25">
      <c r="B3" s="40" t="s">
        <v>729</v>
      </c>
    </row>
    <row r="5" spans="1:18" x14ac:dyDescent="0.25">
      <c r="B5" s="413" t="s">
        <v>730</v>
      </c>
      <c r="C5" s="413"/>
      <c r="D5" s="413"/>
      <c r="E5" s="413"/>
      <c r="F5" s="413"/>
      <c r="G5" s="413"/>
      <c r="H5" s="413"/>
      <c r="I5" s="413"/>
      <c r="J5" s="413"/>
      <c r="K5" s="413"/>
      <c r="L5" s="413"/>
      <c r="M5" s="413"/>
      <c r="N5" s="413"/>
      <c r="O5" s="413"/>
      <c r="P5" s="413"/>
      <c r="Q5" s="413"/>
      <c r="R5" s="413"/>
    </row>
    <row r="6" spans="1:18" x14ac:dyDescent="0.25">
      <c r="B6" s="413"/>
      <c r="C6" s="413"/>
      <c r="D6" s="413"/>
      <c r="E6" s="413"/>
      <c r="F6" s="413"/>
      <c r="G6" s="413"/>
      <c r="H6" s="413"/>
      <c r="I6" s="413"/>
      <c r="J6" s="413"/>
      <c r="K6" s="413"/>
      <c r="L6" s="413"/>
      <c r="M6" s="413"/>
      <c r="N6" s="413"/>
      <c r="O6" s="413"/>
      <c r="P6" s="413"/>
      <c r="Q6" s="413"/>
      <c r="R6" s="413"/>
    </row>
    <row r="7" spans="1:18" x14ac:dyDescent="0.25">
      <c r="C7" s="106">
        <v>0.57416267942583732</v>
      </c>
      <c r="D7" t="s">
        <v>416</v>
      </c>
      <c r="G7" s="87" t="s">
        <v>1223</v>
      </c>
    </row>
    <row r="8" spans="1:18" x14ac:dyDescent="0.25">
      <c r="G8" s="334" t="s">
        <v>1221</v>
      </c>
      <c r="H8" s="334"/>
      <c r="I8" s="334"/>
      <c r="J8" s="334"/>
      <c r="K8" s="334"/>
    </row>
    <row r="9" spans="1:18" x14ac:dyDescent="0.25">
      <c r="B9" s="107"/>
      <c r="C9" s="107" t="s">
        <v>417</v>
      </c>
      <c r="D9" s="107" t="s">
        <v>418</v>
      </c>
      <c r="E9" s="107" t="s">
        <v>419</v>
      </c>
      <c r="G9" s="107" t="s">
        <v>1222</v>
      </c>
    </row>
    <row r="10" spans="1:18" x14ac:dyDescent="0.25">
      <c r="B10" t="s">
        <v>44</v>
      </c>
      <c r="C10" s="33">
        <v>1200</v>
      </c>
      <c r="D10" s="108">
        <f t="shared" ref="D10:D17" si="0">+$C$7</f>
        <v>0.57416267942583732</v>
      </c>
      <c r="E10" s="49">
        <f>+C10*D10</f>
        <v>688.99521531100481</v>
      </c>
    </row>
    <row r="11" spans="1:18" x14ac:dyDescent="0.25">
      <c r="B11" t="s">
        <v>48</v>
      </c>
      <c r="C11" s="33">
        <v>1500</v>
      </c>
      <c r="D11" s="108">
        <f t="shared" si="0"/>
        <v>0.57416267942583732</v>
      </c>
      <c r="E11" s="49">
        <f t="shared" ref="E11:E17" si="1">+C11*D11</f>
        <v>861.24401913875602</v>
      </c>
    </row>
    <row r="12" spans="1:18" x14ac:dyDescent="0.25">
      <c r="B12" t="s">
        <v>53</v>
      </c>
      <c r="C12" s="33">
        <v>1700</v>
      </c>
      <c r="D12" s="108">
        <f t="shared" si="0"/>
        <v>0.57416267942583732</v>
      </c>
      <c r="E12" s="49">
        <f t="shared" si="1"/>
        <v>976.07655502392345</v>
      </c>
    </row>
    <row r="13" spans="1:18" x14ac:dyDescent="0.25">
      <c r="B13" t="s">
        <v>420</v>
      </c>
      <c r="C13" s="33">
        <v>1450</v>
      </c>
      <c r="D13" s="108">
        <f t="shared" si="0"/>
        <v>0.57416267942583732</v>
      </c>
      <c r="E13" s="49">
        <f t="shared" si="1"/>
        <v>832.53588516746413</v>
      </c>
    </row>
    <row r="14" spans="1:18" x14ac:dyDescent="0.25">
      <c r="B14" t="s">
        <v>421</v>
      </c>
      <c r="C14" s="33">
        <v>1100</v>
      </c>
      <c r="D14" s="108">
        <f t="shared" si="0"/>
        <v>0.57416267942583732</v>
      </c>
      <c r="E14" s="49">
        <f t="shared" si="1"/>
        <v>631.57894736842104</v>
      </c>
    </row>
    <row r="15" spans="1:18" x14ac:dyDescent="0.25">
      <c r="B15" t="s">
        <v>422</v>
      </c>
      <c r="C15" s="33">
        <v>850</v>
      </c>
      <c r="D15" s="108">
        <f t="shared" si="0"/>
        <v>0.57416267942583732</v>
      </c>
      <c r="E15" s="49">
        <f t="shared" si="1"/>
        <v>488.03827751196172</v>
      </c>
    </row>
    <row r="16" spans="1:18" x14ac:dyDescent="0.25">
      <c r="B16" t="s">
        <v>423</v>
      </c>
      <c r="C16" s="33">
        <v>1150</v>
      </c>
      <c r="D16" s="108">
        <f t="shared" si="0"/>
        <v>0.57416267942583732</v>
      </c>
      <c r="E16" s="49">
        <f t="shared" si="1"/>
        <v>660.28708133971293</v>
      </c>
    </row>
    <row r="17" spans="2:14" ht="15.75" thickBot="1" x14ac:dyDescent="0.3">
      <c r="B17" s="109" t="s">
        <v>424</v>
      </c>
      <c r="C17" s="110">
        <v>1500</v>
      </c>
      <c r="D17" s="111">
        <f t="shared" si="0"/>
        <v>0.57416267942583732</v>
      </c>
      <c r="E17" s="112">
        <f t="shared" si="1"/>
        <v>861.24401913875602</v>
      </c>
    </row>
    <row r="18" spans="2:14" ht="15.75" thickTop="1" x14ac:dyDescent="0.25">
      <c r="B18" t="s">
        <v>723</v>
      </c>
      <c r="C18" s="113">
        <f>SUM(C10:C17)</f>
        <v>10450</v>
      </c>
      <c r="E18" s="49">
        <f>SUM(E10:E17)</f>
        <v>6000</v>
      </c>
    </row>
    <row r="19" spans="2:14" x14ac:dyDescent="0.25">
      <c r="C19" s="114"/>
    </row>
    <row r="21" spans="2:14" x14ac:dyDescent="0.25">
      <c r="B21" s="40" t="s">
        <v>731</v>
      </c>
      <c r="C21" s="114"/>
      <c r="J21" t="s">
        <v>1225</v>
      </c>
    </row>
    <row r="23" spans="2:14" x14ac:dyDescent="0.25">
      <c r="B23" s="40" t="s">
        <v>425</v>
      </c>
      <c r="I23" s="87" t="s">
        <v>1224</v>
      </c>
      <c r="J23" s="87"/>
      <c r="K23" s="87"/>
      <c r="L23" s="87"/>
      <c r="M23" s="87"/>
      <c r="N23" s="87"/>
    </row>
    <row r="24" spans="2:14" x14ac:dyDescent="0.25">
      <c r="B24" s="107"/>
      <c r="C24" s="107" t="s">
        <v>426</v>
      </c>
      <c r="D24" s="107" t="s">
        <v>749</v>
      </c>
      <c r="E24" s="107" t="s">
        <v>427</v>
      </c>
    </row>
    <row r="25" spans="2:14" x14ac:dyDescent="0.25">
      <c r="B25" s="107"/>
      <c r="C25" s="107" t="s">
        <v>428</v>
      </c>
      <c r="D25" s="107" t="s">
        <v>429</v>
      </c>
      <c r="E25" s="107" t="s">
        <v>429</v>
      </c>
    </row>
    <row r="26" spans="2:14" x14ac:dyDescent="0.25">
      <c r="B26" t="s">
        <v>430</v>
      </c>
      <c r="C26" s="33">
        <v>2100</v>
      </c>
      <c r="D26" s="34">
        <v>2</v>
      </c>
      <c r="E26" s="34">
        <v>1.2</v>
      </c>
    </row>
    <row r="27" spans="2:14" x14ac:dyDescent="0.25">
      <c r="B27" t="s">
        <v>431</v>
      </c>
      <c r="C27" s="33">
        <v>600</v>
      </c>
      <c r="D27" s="34">
        <v>7</v>
      </c>
      <c r="E27" s="34">
        <v>5.3</v>
      </c>
      <c r="I27" s="73"/>
      <c r="J27" s="73" t="s">
        <v>892</v>
      </c>
      <c r="K27" s="73" t="s">
        <v>432</v>
      </c>
      <c r="L27" s="73" t="s">
        <v>433</v>
      </c>
      <c r="M27" s="73" t="s">
        <v>434</v>
      </c>
    </row>
    <row r="28" spans="2:14" x14ac:dyDescent="0.25">
      <c r="B28" t="s">
        <v>435</v>
      </c>
      <c r="C28" s="33">
        <v>300</v>
      </c>
      <c r="D28" s="34">
        <v>13</v>
      </c>
      <c r="E28" s="34">
        <v>10.5</v>
      </c>
      <c r="I28" s="73" t="s">
        <v>430</v>
      </c>
      <c r="J28" s="347"/>
      <c r="K28" s="115">
        <f>J28*D26</f>
        <v>0</v>
      </c>
      <c r="L28" s="115">
        <f>J28*E26</f>
        <v>0</v>
      </c>
      <c r="M28" s="115">
        <f>K28-L28</f>
        <v>0</v>
      </c>
    </row>
    <row r="29" spans="2:14" x14ac:dyDescent="0.25">
      <c r="C29" s="114"/>
      <c r="I29" s="73" t="s">
        <v>431</v>
      </c>
      <c r="J29" s="347"/>
      <c r="K29" s="115">
        <f>J29*D27</f>
        <v>0</v>
      </c>
      <c r="L29" s="115">
        <f t="shared" ref="L29" si="2">J29*E27</f>
        <v>0</v>
      </c>
      <c r="M29" s="115">
        <f t="shared" ref="M29:M30" si="3">K29-L29</f>
        <v>0</v>
      </c>
    </row>
    <row r="30" spans="2:14" ht="15.75" thickBot="1" x14ac:dyDescent="0.3">
      <c r="I30" s="116" t="s">
        <v>435</v>
      </c>
      <c r="J30" s="348">
        <v>300</v>
      </c>
      <c r="K30" s="115">
        <f>J30*D28</f>
        <v>3900</v>
      </c>
      <c r="L30" s="115">
        <f>J30*E28</f>
        <v>3150</v>
      </c>
      <c r="M30" s="115">
        <f t="shared" si="3"/>
        <v>750</v>
      </c>
    </row>
    <row r="31" spans="2:14" ht="15.75" thickTop="1" x14ac:dyDescent="0.25">
      <c r="I31" t="s">
        <v>732</v>
      </c>
      <c r="K31" s="49"/>
      <c r="L31" s="49"/>
      <c r="M31" s="49">
        <f>SUM(M28:M30)</f>
        <v>750</v>
      </c>
    </row>
    <row r="38" spans="2:16" x14ac:dyDescent="0.25">
      <c r="C38" s="114"/>
    </row>
    <row r="39" spans="2:16" x14ac:dyDescent="0.25">
      <c r="B39" s="40" t="s">
        <v>733</v>
      </c>
      <c r="C39" s="114"/>
    </row>
    <row r="41" spans="2:16" x14ac:dyDescent="0.25">
      <c r="B41" s="45"/>
      <c r="C41" s="45" t="s">
        <v>436</v>
      </c>
      <c r="E41" s="334" t="s">
        <v>1226</v>
      </c>
      <c r="F41" s="334"/>
      <c r="G41" s="334"/>
      <c r="H41" s="334"/>
      <c r="J41">
        <v>100</v>
      </c>
    </row>
    <row r="42" spans="2:16" x14ac:dyDescent="0.25">
      <c r="B42" t="s">
        <v>437</v>
      </c>
      <c r="C42" s="349">
        <v>5000</v>
      </c>
    </row>
    <row r="43" spans="2:16" x14ac:dyDescent="0.25">
      <c r="B43" t="s">
        <v>438</v>
      </c>
      <c r="C43" s="350">
        <v>60</v>
      </c>
    </row>
    <row r="44" spans="2:16" x14ac:dyDescent="0.25">
      <c r="B44" t="s">
        <v>439</v>
      </c>
      <c r="C44" s="118">
        <v>0.25</v>
      </c>
    </row>
    <row r="45" spans="2:16" x14ac:dyDescent="0.25">
      <c r="B45" t="s">
        <v>440</v>
      </c>
      <c r="C45" s="117">
        <f>-PMT(C44/12,C43,C42)</f>
        <v>146.75661688243136</v>
      </c>
      <c r="D45" s="87">
        <v>2000</v>
      </c>
      <c r="E45" s="87">
        <v>2500</v>
      </c>
      <c r="F45" s="87">
        <v>3000</v>
      </c>
      <c r="G45" s="87">
        <v>3500</v>
      </c>
      <c r="H45" s="87">
        <v>4000</v>
      </c>
      <c r="I45" s="87">
        <v>4500</v>
      </c>
      <c r="J45" s="87">
        <v>5000</v>
      </c>
      <c r="K45" s="87">
        <v>5500</v>
      </c>
      <c r="L45" s="87">
        <v>6000</v>
      </c>
      <c r="M45" s="87">
        <v>6500</v>
      </c>
      <c r="N45" s="87">
        <v>7000</v>
      </c>
      <c r="O45" s="87">
        <v>7500</v>
      </c>
      <c r="P45" s="87">
        <v>8000</v>
      </c>
    </row>
    <row r="46" spans="2:16" x14ac:dyDescent="0.25">
      <c r="C46" s="87">
        <v>24</v>
      </c>
      <c r="D46" s="66">
        <f t="dataTable" ref="D46:P57" dt2D="1" dtr="1" r1="C42" r2="C43"/>
        <v>106.7430405904741</v>
      </c>
      <c r="E46" s="66">
        <v>133.4288007380926</v>
      </c>
      <c r="F46" s="66">
        <v>160.11456088571114</v>
      </c>
      <c r="G46" s="66">
        <v>186.80032103332965</v>
      </c>
      <c r="H46" s="66">
        <v>213.48608118094819</v>
      </c>
      <c r="I46" s="66">
        <v>240.1718413285667</v>
      </c>
      <c r="J46" s="66">
        <v>266.85760147618521</v>
      </c>
      <c r="K46" s="66">
        <v>293.54336162380378</v>
      </c>
      <c r="L46" s="66">
        <v>320.22912177142229</v>
      </c>
      <c r="M46" s="66">
        <v>346.91488191904079</v>
      </c>
      <c r="N46" s="66">
        <v>373.6006420666593</v>
      </c>
      <c r="O46" s="66">
        <v>400.28640221427787</v>
      </c>
      <c r="P46" s="66">
        <v>426.97216236189638</v>
      </c>
    </row>
    <row r="47" spans="2:16" x14ac:dyDescent="0.25">
      <c r="C47" s="87">
        <v>30</v>
      </c>
      <c r="D47" s="66">
        <v>90.326326505605522</v>
      </c>
      <c r="E47" s="66">
        <v>112.9079081320069</v>
      </c>
      <c r="F47" s="66">
        <v>135.4894897584083</v>
      </c>
      <c r="G47" s="66">
        <v>158.07107138480967</v>
      </c>
      <c r="H47" s="66">
        <v>180.65265301121104</v>
      </c>
      <c r="I47" s="66">
        <v>203.23423463761245</v>
      </c>
      <c r="J47" s="66">
        <v>225.81581626401379</v>
      </c>
      <c r="K47" s="66">
        <v>248.39739789041519</v>
      </c>
      <c r="L47" s="66">
        <v>270.97897951681659</v>
      </c>
      <c r="M47" s="66">
        <v>293.56056114321791</v>
      </c>
      <c r="N47" s="66">
        <v>316.14214276961934</v>
      </c>
      <c r="O47" s="66">
        <v>338.72372439602071</v>
      </c>
      <c r="P47" s="66">
        <v>361.30530602242209</v>
      </c>
    </row>
    <row r="48" spans="2:16" x14ac:dyDescent="0.25">
      <c r="C48" s="87">
        <v>36</v>
      </c>
      <c r="D48" s="66">
        <v>79.519651802511049</v>
      </c>
      <c r="E48" s="66">
        <v>99.399564753138804</v>
      </c>
      <c r="F48" s="66">
        <v>119.27947770376656</v>
      </c>
      <c r="G48" s="66">
        <v>139.15939065439431</v>
      </c>
      <c r="H48" s="66">
        <v>159.0393036050221</v>
      </c>
      <c r="I48" s="66">
        <v>178.91921655564983</v>
      </c>
      <c r="J48" s="66">
        <v>198.79912950627761</v>
      </c>
      <c r="K48" s="66">
        <v>218.67904245690536</v>
      </c>
      <c r="L48" s="66">
        <v>238.55895540753312</v>
      </c>
      <c r="M48" s="66">
        <v>258.4388683581609</v>
      </c>
      <c r="N48" s="66">
        <v>278.31878130878863</v>
      </c>
      <c r="O48" s="66">
        <v>298.19869425941641</v>
      </c>
      <c r="P48" s="66">
        <v>318.0786072100442</v>
      </c>
    </row>
    <row r="49" spans="3:16" x14ac:dyDescent="0.25">
      <c r="C49" s="87">
        <v>42</v>
      </c>
      <c r="D49" s="66">
        <v>71.916760350159279</v>
      </c>
      <c r="E49" s="66">
        <v>89.895950437699099</v>
      </c>
      <c r="F49" s="66">
        <v>107.87514052523892</v>
      </c>
      <c r="G49" s="66">
        <v>125.85433061277874</v>
      </c>
      <c r="H49" s="66">
        <v>143.83352070031856</v>
      </c>
      <c r="I49" s="66">
        <v>161.81271078785838</v>
      </c>
      <c r="J49" s="66">
        <v>179.7919008753982</v>
      </c>
      <c r="K49" s="66">
        <v>197.77109096293799</v>
      </c>
      <c r="L49" s="66">
        <v>215.75028105047784</v>
      </c>
      <c r="M49" s="66">
        <v>233.72947113801766</v>
      </c>
      <c r="N49" s="66">
        <v>251.70866122555748</v>
      </c>
      <c r="O49" s="66">
        <v>269.68785131309733</v>
      </c>
      <c r="P49" s="66">
        <v>287.66704140063712</v>
      </c>
    </row>
    <row r="50" spans="3:16" x14ac:dyDescent="0.25">
      <c r="C50" s="87">
        <v>48</v>
      </c>
      <c r="D50" s="66">
        <v>66.31425643434801</v>
      </c>
      <c r="E50" s="66">
        <v>82.892820542934999</v>
      </c>
      <c r="F50" s="66">
        <v>99.471384651522001</v>
      </c>
      <c r="G50" s="66">
        <v>116.049948760109</v>
      </c>
      <c r="H50" s="66">
        <v>132.62851286869602</v>
      </c>
      <c r="I50" s="66">
        <v>149.20707697728301</v>
      </c>
      <c r="J50" s="66">
        <v>165.78564108587</v>
      </c>
      <c r="K50" s="66">
        <v>182.36420519445701</v>
      </c>
      <c r="L50" s="66">
        <v>198.942769303044</v>
      </c>
      <c r="M50" s="66">
        <v>215.52133341163102</v>
      </c>
      <c r="N50" s="66">
        <v>232.09989752021801</v>
      </c>
      <c r="O50" s="66">
        <v>248.678461628805</v>
      </c>
      <c r="P50" s="66">
        <v>265.25702573739204</v>
      </c>
    </row>
    <row r="51" spans="3:16" x14ac:dyDescent="0.25">
      <c r="C51" s="87">
        <v>54</v>
      </c>
      <c r="D51" s="66">
        <v>62.043366749316711</v>
      </c>
      <c r="E51" s="66">
        <v>77.554208436645894</v>
      </c>
      <c r="F51" s="66">
        <v>93.065050123975084</v>
      </c>
      <c r="G51" s="66">
        <v>108.57589181130425</v>
      </c>
      <c r="H51" s="66">
        <v>124.08673349863342</v>
      </c>
      <c r="I51" s="66">
        <v>139.5975751859626</v>
      </c>
      <c r="J51" s="66">
        <v>155.10841687329179</v>
      </c>
      <c r="K51" s="66">
        <v>170.61925856062095</v>
      </c>
      <c r="L51" s="66">
        <v>186.13010024795017</v>
      </c>
      <c r="M51" s="66">
        <v>201.64094193527933</v>
      </c>
      <c r="N51" s="66">
        <v>217.15178362260849</v>
      </c>
      <c r="O51" s="66">
        <v>232.66262530993768</v>
      </c>
      <c r="P51" s="66">
        <v>248.17346699726684</v>
      </c>
    </row>
    <row r="52" spans="3:16" x14ac:dyDescent="0.25">
      <c r="C52" s="87">
        <v>60</v>
      </c>
      <c r="D52" s="66">
        <v>58.702646752972555</v>
      </c>
      <c r="E52" s="66">
        <v>73.37830844121568</v>
      </c>
      <c r="F52" s="66">
        <v>88.053970129458833</v>
      </c>
      <c r="G52" s="66">
        <v>102.72963181770196</v>
      </c>
      <c r="H52" s="66">
        <v>117.40529350594511</v>
      </c>
      <c r="I52" s="66">
        <v>132.08095519418822</v>
      </c>
      <c r="J52" s="66">
        <v>146.75661688243136</v>
      </c>
      <c r="K52" s="66">
        <v>161.4322785706745</v>
      </c>
      <c r="L52" s="66">
        <v>176.10794025891767</v>
      </c>
      <c r="M52" s="66">
        <v>190.78360194716078</v>
      </c>
      <c r="N52" s="66">
        <v>205.45926363540391</v>
      </c>
      <c r="O52" s="66">
        <v>220.13492532364705</v>
      </c>
      <c r="P52" s="66">
        <v>234.81058701189022</v>
      </c>
    </row>
    <row r="53" spans="3:16" x14ac:dyDescent="0.25">
      <c r="C53" s="87">
        <v>66</v>
      </c>
      <c r="D53" s="66">
        <v>56.036484674044459</v>
      </c>
      <c r="E53" s="66">
        <v>70.045605842555574</v>
      </c>
      <c r="F53" s="66">
        <v>84.054727011066689</v>
      </c>
      <c r="G53" s="66">
        <v>98.063848179577803</v>
      </c>
      <c r="H53" s="66">
        <v>112.07296934808892</v>
      </c>
      <c r="I53" s="66">
        <v>126.08209051660003</v>
      </c>
      <c r="J53" s="66">
        <v>140.09121168511115</v>
      </c>
      <c r="K53" s="66">
        <v>154.10033285362226</v>
      </c>
      <c r="L53" s="66">
        <v>168.10945402213338</v>
      </c>
      <c r="M53" s="66">
        <v>182.11857519064449</v>
      </c>
      <c r="N53" s="66">
        <v>196.12769635915561</v>
      </c>
      <c r="O53" s="66">
        <v>210.13681752766672</v>
      </c>
      <c r="P53" s="66">
        <v>224.14593869617784</v>
      </c>
    </row>
    <row r="54" spans="3:16" x14ac:dyDescent="0.25">
      <c r="C54" s="87">
        <v>72</v>
      </c>
      <c r="D54" s="66">
        <v>53.87435425953376</v>
      </c>
      <c r="E54" s="66">
        <v>67.342942824417193</v>
      </c>
      <c r="F54" s="66">
        <v>80.811531389300626</v>
      </c>
      <c r="G54" s="66">
        <v>94.280119954184073</v>
      </c>
      <c r="H54" s="66">
        <v>107.74870851906752</v>
      </c>
      <c r="I54" s="66">
        <v>121.21729708395095</v>
      </c>
      <c r="J54" s="66">
        <v>134.68588564883439</v>
      </c>
      <c r="K54" s="66">
        <v>148.15447421371783</v>
      </c>
      <c r="L54" s="66">
        <v>161.62306277860125</v>
      </c>
      <c r="M54" s="66">
        <v>175.09165134348473</v>
      </c>
      <c r="N54" s="66">
        <v>188.56023990836815</v>
      </c>
      <c r="O54" s="66">
        <v>202.02882847325159</v>
      </c>
      <c r="P54" s="66">
        <v>215.49741703813504</v>
      </c>
    </row>
    <row r="55" spans="3:16" x14ac:dyDescent="0.25">
      <c r="C55" s="87">
        <v>78</v>
      </c>
      <c r="D55" s="66">
        <v>52.098105142627681</v>
      </c>
      <c r="E55" s="66">
        <v>65.122631428284592</v>
      </c>
      <c r="F55" s="66">
        <v>78.14715771394151</v>
      </c>
      <c r="G55" s="66">
        <v>91.171683999598429</v>
      </c>
      <c r="H55" s="66">
        <v>104.19621028525536</v>
      </c>
      <c r="I55" s="66">
        <v>117.22073657091228</v>
      </c>
      <c r="J55" s="66">
        <v>130.24526285656918</v>
      </c>
      <c r="K55" s="66">
        <v>143.2697891422261</v>
      </c>
      <c r="L55" s="66">
        <v>156.29431542788302</v>
      </c>
      <c r="M55" s="66">
        <v>169.31884171353994</v>
      </c>
      <c r="N55" s="66">
        <v>182.34336799919686</v>
      </c>
      <c r="O55" s="66">
        <v>195.36789428485378</v>
      </c>
      <c r="P55" s="66">
        <v>208.39242057051072</v>
      </c>
    </row>
    <row r="56" spans="3:16" x14ac:dyDescent="0.25">
      <c r="C56" s="87">
        <v>84</v>
      </c>
      <c r="D56" s="66">
        <v>50.623271785961734</v>
      </c>
      <c r="E56" s="66">
        <v>63.279089732452178</v>
      </c>
      <c r="F56" s="66">
        <v>75.934907678942608</v>
      </c>
      <c r="G56" s="66">
        <v>88.590725625433038</v>
      </c>
      <c r="H56" s="66">
        <v>101.24654357192347</v>
      </c>
      <c r="I56" s="66">
        <v>113.90236151841391</v>
      </c>
      <c r="J56" s="66">
        <v>126.55817946490436</v>
      </c>
      <c r="K56" s="66">
        <v>139.21399741139476</v>
      </c>
      <c r="L56" s="66">
        <v>151.86981535788522</v>
      </c>
      <c r="M56" s="66">
        <v>164.52563330437565</v>
      </c>
      <c r="N56" s="66">
        <v>177.18145125086608</v>
      </c>
      <c r="O56" s="66">
        <v>189.83726919735651</v>
      </c>
      <c r="P56" s="66">
        <v>202.49308714384694</v>
      </c>
    </row>
    <row r="57" spans="3:16" x14ac:dyDescent="0.25">
      <c r="C57" s="87">
        <v>90</v>
      </c>
      <c r="D57" s="66">
        <v>49.387858790206913</v>
      </c>
      <c r="E57" s="66">
        <v>61.734823487758639</v>
      </c>
      <c r="F57" s="66">
        <v>74.081788185310373</v>
      </c>
      <c r="G57" s="66">
        <v>86.428752882862085</v>
      </c>
      <c r="H57" s="66">
        <v>98.775717580413826</v>
      </c>
      <c r="I57" s="66">
        <v>111.12268227796557</v>
      </c>
      <c r="J57" s="66">
        <v>123.46964697551728</v>
      </c>
      <c r="K57" s="66">
        <v>135.81661167306902</v>
      </c>
      <c r="L57" s="66">
        <v>148.16357637062075</v>
      </c>
      <c r="M57" s="66">
        <v>160.51054106817247</v>
      </c>
      <c r="N57" s="66">
        <v>172.85750576572417</v>
      </c>
      <c r="O57" s="66">
        <v>185.20447046327592</v>
      </c>
      <c r="P57" s="66">
        <v>197.55143516082765</v>
      </c>
    </row>
  </sheetData>
  <scenarios current="0" show="1">
    <scenario name="Misri tara" locked="1" count="3" user="Sandra Stasaityte" comment="Created by Sandra Stasaityte on 27/08/2023">
      <inputCells r="J28" val="700"/>
      <inputCells r="J29" val="200"/>
      <inputCells r="J30" val="100"/>
    </scenario>
    <scenario name="Smulki Tara" locked="1" count="3" user="Sandra Stasaityte" comment="Created by Sandra Stasaityte on 27/08/2023_x000a_Modified by Sandra Stasaityte on 27/08/2023">
      <inputCells r="J28" val="2100"/>
      <inputCells r="J29" val=""/>
      <inputCells r="J30" val=""/>
    </scenario>
    <scenario name="Vidutine Tara" locked="1" count="3" user="Sandra Stasaityte" comment="Created by Sandra Stasaityte on 27/08/2023">
      <inputCells r="J28" val=""/>
      <inputCells r="J29" val="600"/>
      <inputCells r="J30" val=""/>
    </scenario>
    <scenario name="Stambi tara" locked="1" count="3" user="Sandra Stasaityte" comment="Created by Sandra Stasaityte on 27/08/2023">
      <inputCells r="J28" val=""/>
      <inputCells r="J29" val=""/>
      <inputCells r="J30" val="300"/>
    </scenario>
  </scenarios>
  <mergeCells count="1">
    <mergeCell ref="B5:R6"/>
  </mergeCells>
  <conditionalFormatting sqref="D46:P57">
    <cfRule type="cellIs" dxfId="1" priority="1" operator="greaterThan">
      <formula>$J$41</formula>
    </cfRule>
  </conditionalFormatting>
  <conditionalFormatting sqref="G41:H41">
    <cfRule type="cellIs" dxfId="0" priority="4" operator="greaterThan">
      <formula>$G$41</formula>
    </cfRule>
  </conditionalFormatting>
  <pageMargins left="0.7" right="0.7" top="0.75" bottom="0.75" header="0.3" footer="0.3"/>
  <pageSetup paperSize="9" orientation="portrait" verticalDpi="0" r:id="rId1"/>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D389C-0C7F-4386-8026-BDB9F567894E}">
  <dimension ref="A1:R12"/>
  <sheetViews>
    <sheetView workbookViewId="0">
      <selection activeCell="E21" sqref="E21"/>
    </sheetView>
  </sheetViews>
  <sheetFormatPr defaultColWidth="8.85546875" defaultRowHeight="15" x14ac:dyDescent="0.25"/>
  <cols>
    <col min="1" max="1" width="16.42578125" customWidth="1"/>
  </cols>
  <sheetData>
    <row r="1" spans="1:18" ht="23.25" x14ac:dyDescent="0.35">
      <c r="A1" s="1" t="s">
        <v>813</v>
      </c>
      <c r="B1" s="1" t="s">
        <v>794</v>
      </c>
      <c r="C1" s="1"/>
      <c r="D1" s="1"/>
      <c r="E1" s="1"/>
      <c r="F1" s="1"/>
      <c r="G1" s="1"/>
      <c r="H1" s="1"/>
      <c r="I1" s="1"/>
      <c r="J1" s="1"/>
      <c r="K1" s="1"/>
      <c r="L1" s="1"/>
      <c r="M1" s="1"/>
      <c r="N1" s="1"/>
      <c r="O1" s="1"/>
      <c r="P1" s="1"/>
      <c r="Q1" s="1"/>
      <c r="R1" s="1"/>
    </row>
    <row r="3" spans="1:18" x14ac:dyDescent="0.25">
      <c r="A3" s="413" t="s">
        <v>965</v>
      </c>
      <c r="B3" s="413"/>
      <c r="C3" s="413"/>
      <c r="D3" s="413"/>
      <c r="E3" s="413"/>
      <c r="F3" s="413"/>
      <c r="G3" s="413"/>
      <c r="H3" s="413"/>
      <c r="I3" s="413"/>
      <c r="J3" s="413"/>
      <c r="K3" s="413"/>
      <c r="L3" s="413"/>
      <c r="M3" s="413"/>
      <c r="N3" s="413"/>
      <c r="O3" s="413"/>
    </row>
    <row r="4" spans="1:18" x14ac:dyDescent="0.25">
      <c r="A4" s="413"/>
      <c r="B4" s="413"/>
      <c r="C4" s="413"/>
      <c r="D4" s="413"/>
      <c r="E4" s="413"/>
      <c r="F4" s="413"/>
      <c r="G4" s="413"/>
      <c r="H4" s="413"/>
      <c r="I4" s="413"/>
      <c r="J4" s="413"/>
      <c r="K4" s="413"/>
      <c r="L4" s="413"/>
      <c r="M4" s="413"/>
      <c r="N4" s="413"/>
      <c r="O4" s="413"/>
    </row>
    <row r="6" spans="1:18" x14ac:dyDescent="0.25">
      <c r="C6" s="107" t="s">
        <v>804</v>
      </c>
      <c r="D6" s="107" t="s">
        <v>805</v>
      </c>
      <c r="E6" s="107" t="s">
        <v>806</v>
      </c>
      <c r="G6" s="107" t="s">
        <v>124</v>
      </c>
    </row>
    <row r="7" spans="1:18" x14ac:dyDescent="0.25">
      <c r="B7" s="178">
        <v>1</v>
      </c>
      <c r="C7" s="223">
        <v>3</v>
      </c>
      <c r="D7" s="223">
        <v>4.3499021209610023</v>
      </c>
      <c r="E7" s="223">
        <v>5.7771862800294453</v>
      </c>
      <c r="G7" s="275">
        <f>SUM(C7:E7)</f>
        <v>13.127088400990448</v>
      </c>
      <c r="H7">
        <v>15</v>
      </c>
    </row>
    <row r="8" spans="1:18" x14ac:dyDescent="0.25">
      <c r="B8" s="178">
        <v>2</v>
      </c>
      <c r="C8" s="223">
        <v>3</v>
      </c>
      <c r="D8" s="223">
        <v>6.2228287185882216</v>
      </c>
      <c r="E8" s="223">
        <v>3.4456284182513524</v>
      </c>
      <c r="G8" s="79">
        <f>SUM(C8:E8)</f>
        <v>12.668457136839574</v>
      </c>
      <c r="H8">
        <v>15</v>
      </c>
    </row>
    <row r="9" spans="1:18" x14ac:dyDescent="0.25">
      <c r="B9" s="178">
        <v>3</v>
      </c>
      <c r="C9" s="223">
        <v>3</v>
      </c>
      <c r="D9" s="223">
        <v>4.4272691372707618</v>
      </c>
      <c r="E9" s="223">
        <v>5.7771862813979586</v>
      </c>
      <c r="G9" s="79">
        <f>SUM(C9:E9)</f>
        <v>13.20445541866872</v>
      </c>
      <c r="H9">
        <v>15</v>
      </c>
    </row>
    <row r="11" spans="1:18" x14ac:dyDescent="0.25">
      <c r="B11" s="107" t="s">
        <v>124</v>
      </c>
      <c r="C11" s="275">
        <f>SUM(C7:C9)</f>
        <v>9</v>
      </c>
      <c r="D11" s="79">
        <f t="shared" ref="D11:E11" si="0">SUM(D7:D9)</f>
        <v>14.999999976819986</v>
      </c>
      <c r="E11" s="79">
        <f t="shared" si="0"/>
        <v>15.000000979678756</v>
      </c>
      <c r="G11" s="275">
        <f>+C7+D8+E9</f>
        <v>15.000014999986181</v>
      </c>
      <c r="H11">
        <v>15</v>
      </c>
    </row>
    <row r="12" spans="1:18" x14ac:dyDescent="0.25">
      <c r="C12">
        <v>15</v>
      </c>
      <c r="D12">
        <v>15</v>
      </c>
      <c r="E12">
        <v>15</v>
      </c>
      <c r="G12" s="275">
        <f>+C9+D8+E7</f>
        <v>15.000014998617667</v>
      </c>
      <c r="H12">
        <v>15</v>
      </c>
    </row>
  </sheetData>
  <mergeCells count="1">
    <mergeCell ref="A3:O4"/>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45BB7-65A3-4A48-B83C-7AC74434CDF7}">
  <dimension ref="A1:R17"/>
  <sheetViews>
    <sheetView workbookViewId="0">
      <selection activeCell="G21" sqref="G21"/>
    </sheetView>
  </sheetViews>
  <sheetFormatPr defaultColWidth="8.85546875" defaultRowHeight="15" x14ac:dyDescent="0.25"/>
  <cols>
    <col min="1" max="1" width="20.5703125" bestFit="1" customWidth="1"/>
    <col min="2" max="2" width="7.5703125" bestFit="1" customWidth="1"/>
    <col min="3" max="3" width="7.5703125" customWidth="1"/>
    <col min="4" max="5" width="7.42578125" bestFit="1" customWidth="1"/>
    <col min="6" max="6" width="3.5703125" customWidth="1"/>
    <col min="7" max="7" width="11.5703125" bestFit="1" customWidth="1"/>
    <col min="8" max="8" width="3" bestFit="1" customWidth="1"/>
    <col min="9" max="9" width="8.42578125" bestFit="1" customWidth="1"/>
    <col min="11" max="11" width="13.42578125" customWidth="1"/>
    <col min="12" max="12" width="16" customWidth="1"/>
    <col min="23" max="23" width="12.42578125" customWidth="1"/>
    <col min="24" max="24" width="13.42578125" customWidth="1"/>
  </cols>
  <sheetData>
    <row r="1" spans="1:18" ht="23.25" x14ac:dyDescent="0.35">
      <c r="A1" s="1" t="s">
        <v>814</v>
      </c>
      <c r="B1" s="1" t="s">
        <v>794</v>
      </c>
      <c r="C1" s="1"/>
      <c r="D1" s="1"/>
      <c r="E1" s="1"/>
      <c r="F1" s="1"/>
      <c r="G1" s="1"/>
      <c r="H1" s="1"/>
      <c r="I1" s="1"/>
      <c r="J1" s="1"/>
      <c r="K1" s="1"/>
      <c r="L1" s="1"/>
      <c r="M1" s="1"/>
      <c r="N1" s="1"/>
      <c r="O1" s="1"/>
      <c r="P1" s="1"/>
      <c r="Q1" s="1"/>
      <c r="R1" s="1"/>
    </row>
    <row r="3" spans="1:18" x14ac:dyDescent="0.25">
      <c r="A3" t="s">
        <v>960</v>
      </c>
    </row>
    <row r="5" spans="1:18" ht="18.75" x14ac:dyDescent="0.3">
      <c r="A5" s="40" t="s">
        <v>961</v>
      </c>
      <c r="B5" s="222"/>
      <c r="C5" s="222"/>
      <c r="D5" s="222"/>
    </row>
    <row r="6" spans="1:18" x14ac:dyDescent="0.25">
      <c r="B6" s="107" t="s">
        <v>795</v>
      </c>
      <c r="C6" s="107" t="s">
        <v>796</v>
      </c>
      <c r="D6" s="107" t="s">
        <v>797</v>
      </c>
      <c r="E6" s="107" t="s">
        <v>798</v>
      </c>
    </row>
    <row r="7" spans="1:18" x14ac:dyDescent="0.25">
      <c r="A7" s="85" t="s">
        <v>799</v>
      </c>
      <c r="B7" s="166">
        <v>1.5</v>
      </c>
      <c r="C7" s="166">
        <v>3.5</v>
      </c>
      <c r="D7" s="166">
        <v>1</v>
      </c>
      <c r="E7" s="166">
        <v>4.5</v>
      </c>
    </row>
    <row r="8" spans="1:18" x14ac:dyDescent="0.25">
      <c r="A8" s="85" t="s">
        <v>800</v>
      </c>
      <c r="B8" s="166">
        <v>2</v>
      </c>
      <c r="C8" s="166">
        <v>4.5</v>
      </c>
      <c r="D8" s="166">
        <v>1</v>
      </c>
      <c r="E8" s="166">
        <v>2</v>
      </c>
    </row>
    <row r="9" spans="1:18" x14ac:dyDescent="0.25">
      <c r="A9" s="40"/>
    </row>
    <row r="10" spans="1:18" x14ac:dyDescent="0.25">
      <c r="A10" s="40"/>
    </row>
    <row r="11" spans="1:18" x14ac:dyDescent="0.25">
      <c r="A11" s="40" t="s">
        <v>962</v>
      </c>
    </row>
    <row r="12" spans="1:18" x14ac:dyDescent="0.25">
      <c r="B12" s="107" t="s">
        <v>795</v>
      </c>
      <c r="C12" s="107" t="s">
        <v>796</v>
      </c>
      <c r="D12" s="107" t="s">
        <v>797</v>
      </c>
      <c r="E12" s="107" t="s">
        <v>798</v>
      </c>
      <c r="G12" t="s">
        <v>963</v>
      </c>
      <c r="I12" t="s">
        <v>801</v>
      </c>
    </row>
    <row r="13" spans="1:18" x14ac:dyDescent="0.25">
      <c r="A13" s="85" t="s">
        <v>799</v>
      </c>
      <c r="B13" s="223">
        <v>70</v>
      </c>
      <c r="C13" s="223">
        <v>0</v>
      </c>
      <c r="D13" s="223">
        <v>0</v>
      </c>
      <c r="E13" s="223">
        <v>0</v>
      </c>
      <c r="G13" s="66">
        <f>SUM(B13:F13)</f>
        <v>70</v>
      </c>
      <c r="I13" s="276">
        <v>120</v>
      </c>
    </row>
    <row r="14" spans="1:18" x14ac:dyDescent="0.25">
      <c r="A14" s="85" t="s">
        <v>800</v>
      </c>
      <c r="B14" s="223">
        <v>0</v>
      </c>
      <c r="C14" s="223">
        <v>45</v>
      </c>
      <c r="D14" s="223">
        <v>35</v>
      </c>
      <c r="E14" s="223">
        <v>60</v>
      </c>
      <c r="G14" s="66">
        <f>SUM(B14:F14)</f>
        <v>140</v>
      </c>
      <c r="I14" s="276">
        <v>180</v>
      </c>
    </row>
    <row r="15" spans="1:18" x14ac:dyDescent="0.25">
      <c r="A15" t="s">
        <v>964</v>
      </c>
      <c r="B15" s="66">
        <f>SUM(B13:B14)</f>
        <v>70</v>
      </c>
      <c r="C15" s="66">
        <f t="shared" ref="C15:E15" si="0">SUM(C13:C14)</f>
        <v>45</v>
      </c>
      <c r="D15" s="66">
        <f t="shared" si="0"/>
        <v>35</v>
      </c>
      <c r="E15" s="66">
        <f t="shared" si="0"/>
        <v>60</v>
      </c>
    </row>
    <row r="16" spans="1:18" x14ac:dyDescent="0.25">
      <c r="A16" t="s">
        <v>802</v>
      </c>
      <c r="B16" s="276">
        <v>70</v>
      </c>
      <c r="C16" s="276">
        <v>45</v>
      </c>
      <c r="D16" s="276">
        <v>35</v>
      </c>
      <c r="E16" s="276">
        <v>60</v>
      </c>
    </row>
    <row r="17" spans="1:7" x14ac:dyDescent="0.25">
      <c r="A17" t="s">
        <v>803</v>
      </c>
      <c r="B17">
        <f>SUMPRODUCT(B7:B8,B13:B14)</f>
        <v>105</v>
      </c>
      <c r="C17">
        <f t="shared" ref="C17:E17" si="1">SUMPRODUCT(C7:C8,C13:C14)</f>
        <v>202.5</v>
      </c>
      <c r="D17">
        <f t="shared" si="1"/>
        <v>35</v>
      </c>
      <c r="E17">
        <f t="shared" si="1"/>
        <v>120</v>
      </c>
      <c r="G17" s="351">
        <f>SUM(G13:G14)</f>
        <v>210</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4DA85-7C78-4FBF-B02C-9A82FB6CDB75}">
  <dimension ref="A1:R19"/>
  <sheetViews>
    <sheetView zoomScaleNormal="100" workbookViewId="0">
      <selection activeCell="I15" sqref="I15"/>
    </sheetView>
  </sheetViews>
  <sheetFormatPr defaultColWidth="8.85546875" defaultRowHeight="15" x14ac:dyDescent="0.25"/>
  <cols>
    <col min="1" max="1" width="16.42578125" customWidth="1"/>
    <col min="3" max="3" width="10" customWidth="1"/>
  </cols>
  <sheetData>
    <row r="1" spans="1:18" ht="23.25" x14ac:dyDescent="0.35">
      <c r="A1" s="1" t="s">
        <v>815</v>
      </c>
      <c r="B1" s="1" t="s">
        <v>794</v>
      </c>
      <c r="C1" s="1"/>
      <c r="D1" s="1"/>
      <c r="E1" s="1"/>
      <c r="F1" s="1"/>
      <c r="G1" s="1"/>
      <c r="H1" s="1"/>
      <c r="I1" s="1"/>
      <c r="J1" s="1"/>
      <c r="K1" s="1"/>
      <c r="L1" s="1"/>
      <c r="M1" s="1"/>
      <c r="N1" s="1"/>
      <c r="O1" s="1"/>
      <c r="P1" s="1"/>
      <c r="Q1" s="1"/>
      <c r="R1" s="1"/>
    </row>
    <row r="4" spans="1:18" x14ac:dyDescent="0.25">
      <c r="A4" s="413" t="s">
        <v>966</v>
      </c>
      <c r="B4" s="413"/>
      <c r="C4" s="413"/>
      <c r="D4" s="413"/>
      <c r="E4" s="413"/>
      <c r="F4" s="413"/>
      <c r="G4" s="413"/>
      <c r="H4" s="413"/>
      <c r="I4" s="413"/>
      <c r="J4" s="413"/>
      <c r="K4" s="413"/>
      <c r="L4" s="413"/>
      <c r="M4" s="413"/>
      <c r="N4" s="413"/>
      <c r="O4" s="413"/>
    </row>
    <row r="5" spans="1:18" x14ac:dyDescent="0.25">
      <c r="A5" s="413"/>
      <c r="B5" s="413"/>
      <c r="C5" s="413"/>
      <c r="D5" s="413"/>
      <c r="E5" s="413"/>
      <c r="F5" s="413"/>
      <c r="G5" s="413"/>
      <c r="H5" s="413"/>
      <c r="I5" s="413"/>
      <c r="J5" s="413"/>
      <c r="K5" s="413"/>
      <c r="L5" s="413"/>
      <c r="M5" s="413"/>
      <c r="N5" s="413"/>
      <c r="O5" s="413"/>
    </row>
    <row r="7" spans="1:18" x14ac:dyDescent="0.25">
      <c r="B7" s="421" t="s">
        <v>650</v>
      </c>
      <c r="C7" s="414" t="s">
        <v>807</v>
      </c>
      <c r="D7" s="414"/>
      <c r="E7" s="414"/>
      <c r="F7" s="414"/>
      <c r="G7" s="414"/>
      <c r="H7" s="414"/>
      <c r="I7" s="414"/>
    </row>
    <row r="8" spans="1:18" ht="75" x14ac:dyDescent="0.25">
      <c r="B8" s="421"/>
      <c r="C8" s="165" t="s">
        <v>967</v>
      </c>
      <c r="D8" s="165" t="s">
        <v>968</v>
      </c>
      <c r="E8" s="165" t="s">
        <v>808</v>
      </c>
      <c r="F8" s="165" t="s">
        <v>809</v>
      </c>
      <c r="G8" s="165" t="s">
        <v>810</v>
      </c>
      <c r="H8" s="165" t="s">
        <v>723</v>
      </c>
      <c r="I8" s="165" t="s">
        <v>969</v>
      </c>
    </row>
    <row r="9" spans="1:18" x14ac:dyDescent="0.25">
      <c r="B9" s="179">
        <v>2020</v>
      </c>
      <c r="C9" s="180">
        <v>15</v>
      </c>
      <c r="D9" s="180">
        <v>20</v>
      </c>
      <c r="E9" s="180">
        <v>40</v>
      </c>
      <c r="F9" s="180">
        <v>5</v>
      </c>
      <c r="G9" s="180">
        <v>25</v>
      </c>
      <c r="H9" s="352">
        <v>105</v>
      </c>
      <c r="I9" s="181">
        <v>100</v>
      </c>
    </row>
    <row r="10" spans="1:18" x14ac:dyDescent="0.25">
      <c r="B10" s="182">
        <v>2021</v>
      </c>
      <c r="C10" s="183">
        <v>20</v>
      </c>
      <c r="D10" s="183">
        <v>10</v>
      </c>
      <c r="E10" s="183">
        <v>30</v>
      </c>
      <c r="F10" s="183">
        <v>4</v>
      </c>
      <c r="G10" s="183">
        <v>30</v>
      </c>
      <c r="H10" s="352">
        <v>94</v>
      </c>
      <c r="I10" s="258">
        <v>90</v>
      </c>
    </row>
    <row r="11" spans="1:18" x14ac:dyDescent="0.25">
      <c r="B11" s="182">
        <v>2022</v>
      </c>
      <c r="C11" s="183">
        <v>10</v>
      </c>
      <c r="D11" s="183">
        <v>15</v>
      </c>
      <c r="E11" s="183">
        <v>5</v>
      </c>
      <c r="F11" s="183">
        <v>6</v>
      </c>
      <c r="G11" s="183">
        <v>10</v>
      </c>
      <c r="H11" s="352">
        <v>46</v>
      </c>
      <c r="I11" s="258">
        <v>35</v>
      </c>
    </row>
    <row r="12" spans="1:18" x14ac:dyDescent="0.25">
      <c r="B12" s="184" t="s">
        <v>723</v>
      </c>
      <c r="C12" s="185">
        <f>SUM(C9:C11)</f>
        <v>45</v>
      </c>
      <c r="D12" s="185">
        <f t="shared" ref="D12:G12" si="0">SUM(D9:D11)</f>
        <v>45</v>
      </c>
      <c r="E12" s="185">
        <f t="shared" si="0"/>
        <v>75</v>
      </c>
      <c r="F12" s="185">
        <f t="shared" si="0"/>
        <v>15</v>
      </c>
      <c r="G12" s="185">
        <f t="shared" si="0"/>
        <v>65</v>
      </c>
      <c r="H12" s="353">
        <v>245</v>
      </c>
      <c r="I12" s="186">
        <f>SUM(I9:I11)</f>
        <v>225</v>
      </c>
    </row>
    <row r="14" spans="1:18" x14ac:dyDescent="0.25">
      <c r="A14" t="s">
        <v>811</v>
      </c>
      <c r="C14" s="224">
        <v>1</v>
      </c>
      <c r="D14" s="224">
        <v>0</v>
      </c>
      <c r="E14" s="224">
        <v>1</v>
      </c>
      <c r="F14" s="224">
        <v>1</v>
      </c>
      <c r="G14" s="224">
        <v>1</v>
      </c>
    </row>
    <row r="15" spans="1:18" x14ac:dyDescent="0.25"/>
    <row r="16" spans="1:18" x14ac:dyDescent="0.25">
      <c r="B16" s="179">
        <v>2020</v>
      </c>
      <c r="C16" s="180">
        <f>C9*C$14</f>
        <v>15</v>
      </c>
      <c r="D16" s="180">
        <f t="shared" ref="D16:G16" si="1">D9*D$14</f>
        <v>0</v>
      </c>
      <c r="E16" s="180">
        <f t="shared" si="1"/>
        <v>40</v>
      </c>
      <c r="F16" s="180">
        <f t="shared" si="1"/>
        <v>5</v>
      </c>
      <c r="G16" s="180">
        <f t="shared" si="1"/>
        <v>25</v>
      </c>
      <c r="H16" s="354">
        <f>SUM(C16:G16)</f>
        <v>85</v>
      </c>
      <c r="I16" s="354">
        <f>I9</f>
        <v>100</v>
      </c>
    </row>
    <row r="17" spans="2:9" x14ac:dyDescent="0.25">
      <c r="B17" s="182">
        <v>2021</v>
      </c>
      <c r="C17" s="180">
        <f t="shared" ref="C17:G17" si="2">C10*C$14</f>
        <v>20</v>
      </c>
      <c r="D17" s="180">
        <f t="shared" si="2"/>
        <v>0</v>
      </c>
      <c r="E17" s="180">
        <f t="shared" si="2"/>
        <v>30</v>
      </c>
      <c r="F17" s="180">
        <f t="shared" si="2"/>
        <v>4</v>
      </c>
      <c r="G17" s="180">
        <f t="shared" si="2"/>
        <v>30</v>
      </c>
      <c r="H17" s="354">
        <f t="shared" ref="H17:H19" si="3">SUM(C17:G17)</f>
        <v>84</v>
      </c>
      <c r="I17" s="354">
        <f t="shared" ref="I17:I19" si="4">I10</f>
        <v>90</v>
      </c>
    </row>
    <row r="18" spans="2:9" x14ac:dyDescent="0.25">
      <c r="B18" s="182">
        <v>2022</v>
      </c>
      <c r="C18" s="180">
        <f t="shared" ref="C18:G18" si="5">C11*C$14</f>
        <v>10</v>
      </c>
      <c r="D18" s="180">
        <f t="shared" si="5"/>
        <v>0</v>
      </c>
      <c r="E18" s="180">
        <f t="shared" si="5"/>
        <v>5</v>
      </c>
      <c r="F18" s="180">
        <f t="shared" si="5"/>
        <v>6</v>
      </c>
      <c r="G18" s="180">
        <f t="shared" si="5"/>
        <v>10</v>
      </c>
      <c r="H18" s="354">
        <f t="shared" si="3"/>
        <v>31</v>
      </c>
      <c r="I18" s="354">
        <f t="shared" si="4"/>
        <v>35</v>
      </c>
    </row>
    <row r="19" spans="2:9" x14ac:dyDescent="0.25">
      <c r="B19" s="184" t="s">
        <v>723</v>
      </c>
      <c r="C19" s="185">
        <f>SUM(C16:C18)</f>
        <v>45</v>
      </c>
      <c r="D19" s="185">
        <f t="shared" ref="D19:G19" si="6">SUM(D16:D18)</f>
        <v>0</v>
      </c>
      <c r="E19" s="185">
        <f t="shared" si="6"/>
        <v>75</v>
      </c>
      <c r="F19" s="185">
        <f t="shared" si="6"/>
        <v>15</v>
      </c>
      <c r="G19" s="185">
        <f t="shared" si="6"/>
        <v>65</v>
      </c>
      <c r="H19" s="355">
        <f t="shared" si="3"/>
        <v>200</v>
      </c>
      <c r="I19" s="355">
        <f t="shared" si="4"/>
        <v>225</v>
      </c>
    </row>
  </sheetData>
  <mergeCells count="3">
    <mergeCell ref="A4:O5"/>
    <mergeCell ref="B7:B8"/>
    <mergeCell ref="C7:I7"/>
  </mergeCells>
  <pageMargins left="0.7" right="0.7" top="0.75" bottom="0.75" header="0.3" footer="0.3"/>
  <pageSetup scale="61" orientation="portrait" r:id="rId1"/>
  <drawing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99E08-ED42-4CDB-9FA4-473F14D6D231}">
  <dimension ref="A1:C40"/>
  <sheetViews>
    <sheetView workbookViewId="0">
      <selection activeCell="A4" sqref="A4"/>
    </sheetView>
  </sheetViews>
  <sheetFormatPr defaultRowHeight="15" x14ac:dyDescent="0.25"/>
  <cols>
    <col min="1" max="1" width="14.28515625" bestFit="1" customWidth="1"/>
    <col min="2" max="2" width="10.42578125" bestFit="1" customWidth="1"/>
    <col min="3" max="5" width="11.85546875" bestFit="1" customWidth="1"/>
    <col min="6" max="6" width="6" bestFit="1" customWidth="1"/>
    <col min="7" max="7" width="6.140625" bestFit="1" customWidth="1"/>
    <col min="8" max="8" width="17.42578125" bestFit="1" customWidth="1"/>
    <col min="9" max="9" width="16.7109375" bestFit="1" customWidth="1"/>
  </cols>
  <sheetData>
    <row r="1" spans="1:3" x14ac:dyDescent="0.25">
      <c r="A1" s="356" t="s">
        <v>444</v>
      </c>
      <c r="B1" t="s">
        <v>1228</v>
      </c>
    </row>
    <row r="2" spans="1:3" x14ac:dyDescent="0.25">
      <c r="A2" s="356" t="s">
        <v>36</v>
      </c>
      <c r="B2" t="s">
        <v>1228</v>
      </c>
    </row>
    <row r="4" spans="1:3" x14ac:dyDescent="0.25">
      <c r="A4" s="356" t="s">
        <v>443</v>
      </c>
      <c r="B4" s="356" t="s">
        <v>35</v>
      </c>
      <c r="C4" t="s">
        <v>1227</v>
      </c>
    </row>
    <row r="5" spans="1:3" x14ac:dyDescent="0.25">
      <c r="A5" t="s">
        <v>445</v>
      </c>
      <c r="C5">
        <v>3234</v>
      </c>
    </row>
    <row r="6" spans="1:3" x14ac:dyDescent="0.25">
      <c r="B6" t="s">
        <v>7</v>
      </c>
      <c r="C6">
        <v>481</v>
      </c>
    </row>
    <row r="7" spans="1:3" x14ac:dyDescent="0.25">
      <c r="B7" t="s">
        <v>6</v>
      </c>
      <c r="C7">
        <v>96</v>
      </c>
    </row>
    <row r="8" spans="1:3" x14ac:dyDescent="0.25">
      <c r="B8" t="s">
        <v>4</v>
      </c>
      <c r="C8">
        <v>69</v>
      </c>
    </row>
    <row r="9" spans="1:3" x14ac:dyDescent="0.25">
      <c r="B9" t="s">
        <v>10</v>
      </c>
      <c r="C9">
        <v>657</v>
      </c>
    </row>
    <row r="10" spans="1:3" x14ac:dyDescent="0.25">
      <c r="B10" t="s">
        <v>3</v>
      </c>
      <c r="C10">
        <v>925</v>
      </c>
    </row>
    <row r="11" spans="1:3" x14ac:dyDescent="0.25">
      <c r="B11" t="s">
        <v>11</v>
      </c>
      <c r="C11">
        <v>301</v>
      </c>
    </row>
    <row r="12" spans="1:3" x14ac:dyDescent="0.25">
      <c r="B12" t="s">
        <v>9</v>
      </c>
      <c r="C12">
        <v>174</v>
      </c>
    </row>
    <row r="13" spans="1:3" x14ac:dyDescent="0.25">
      <c r="B13" t="s">
        <v>8</v>
      </c>
      <c r="C13">
        <v>162</v>
      </c>
    </row>
    <row r="14" spans="1:3" x14ac:dyDescent="0.25">
      <c r="B14" t="s">
        <v>451</v>
      </c>
      <c r="C14">
        <v>369</v>
      </c>
    </row>
    <row r="15" spans="1:3" x14ac:dyDescent="0.25">
      <c r="A15" t="s">
        <v>452</v>
      </c>
      <c r="C15">
        <v>2501</v>
      </c>
    </row>
    <row r="16" spans="1:3" x14ac:dyDescent="0.25">
      <c r="B16" t="s">
        <v>450</v>
      </c>
      <c r="C16">
        <v>96</v>
      </c>
    </row>
    <row r="17" spans="1:3" x14ac:dyDescent="0.25">
      <c r="B17" t="s">
        <v>114</v>
      </c>
      <c r="C17">
        <v>554</v>
      </c>
    </row>
    <row r="18" spans="1:3" x14ac:dyDescent="0.25">
      <c r="B18" t="s">
        <v>118</v>
      </c>
      <c r="C18">
        <v>80</v>
      </c>
    </row>
    <row r="19" spans="1:3" x14ac:dyDescent="0.25">
      <c r="B19" t="s">
        <v>116</v>
      </c>
      <c r="C19">
        <v>577</v>
      </c>
    </row>
    <row r="20" spans="1:3" x14ac:dyDescent="0.25">
      <c r="B20" t="s">
        <v>10</v>
      </c>
      <c r="C20">
        <v>400</v>
      </c>
    </row>
    <row r="21" spans="1:3" x14ac:dyDescent="0.25">
      <c r="B21" t="s">
        <v>11</v>
      </c>
      <c r="C21">
        <v>145</v>
      </c>
    </row>
    <row r="22" spans="1:3" x14ac:dyDescent="0.25">
      <c r="B22" t="s">
        <v>454</v>
      </c>
      <c r="C22">
        <v>180</v>
      </c>
    </row>
    <row r="23" spans="1:3" x14ac:dyDescent="0.25">
      <c r="B23" t="s">
        <v>453</v>
      </c>
      <c r="C23">
        <v>117</v>
      </c>
    </row>
    <row r="24" spans="1:3" x14ac:dyDescent="0.25">
      <c r="B24" t="s">
        <v>9</v>
      </c>
      <c r="C24">
        <v>180</v>
      </c>
    </row>
    <row r="25" spans="1:3" x14ac:dyDescent="0.25">
      <c r="B25" t="s">
        <v>455</v>
      </c>
      <c r="C25">
        <v>172</v>
      </c>
    </row>
    <row r="26" spans="1:3" x14ac:dyDescent="0.25">
      <c r="A26" t="s">
        <v>448</v>
      </c>
      <c r="C26">
        <v>3742</v>
      </c>
    </row>
    <row r="27" spans="1:3" x14ac:dyDescent="0.25">
      <c r="B27" t="s">
        <v>450</v>
      </c>
      <c r="C27">
        <v>185</v>
      </c>
    </row>
    <row r="28" spans="1:3" x14ac:dyDescent="0.25">
      <c r="B28" t="s">
        <v>114</v>
      </c>
      <c r="C28">
        <v>1079</v>
      </c>
    </row>
    <row r="29" spans="1:3" x14ac:dyDescent="0.25">
      <c r="B29" t="s">
        <v>118</v>
      </c>
      <c r="C29">
        <v>177</v>
      </c>
    </row>
    <row r="30" spans="1:3" x14ac:dyDescent="0.25">
      <c r="B30" t="s">
        <v>116</v>
      </c>
      <c r="C30">
        <v>864</v>
      </c>
    </row>
    <row r="31" spans="1:3" x14ac:dyDescent="0.25">
      <c r="B31" t="s">
        <v>10</v>
      </c>
      <c r="C31">
        <v>320</v>
      </c>
    </row>
    <row r="32" spans="1:3" x14ac:dyDescent="0.25">
      <c r="B32" t="s">
        <v>456</v>
      </c>
      <c r="C32">
        <v>47</v>
      </c>
    </row>
    <row r="33" spans="1:3" x14ac:dyDescent="0.25">
      <c r="B33" t="s">
        <v>11</v>
      </c>
      <c r="C33">
        <v>292</v>
      </c>
    </row>
    <row r="34" spans="1:3" x14ac:dyDescent="0.25">
      <c r="B34" t="s">
        <v>454</v>
      </c>
      <c r="C34">
        <v>162</v>
      </c>
    </row>
    <row r="35" spans="1:3" x14ac:dyDescent="0.25">
      <c r="B35" t="s">
        <v>453</v>
      </c>
      <c r="C35">
        <v>99</v>
      </c>
    </row>
    <row r="36" spans="1:3" x14ac:dyDescent="0.25">
      <c r="B36" t="s">
        <v>9</v>
      </c>
      <c r="C36">
        <v>286</v>
      </c>
    </row>
    <row r="37" spans="1:3" x14ac:dyDescent="0.25">
      <c r="B37" t="s">
        <v>455</v>
      </c>
      <c r="C37">
        <v>231</v>
      </c>
    </row>
    <row r="38" spans="1:3" x14ac:dyDescent="0.25">
      <c r="A38" t="s">
        <v>753</v>
      </c>
      <c r="C38">
        <v>100</v>
      </c>
    </row>
    <row r="39" spans="1:3" x14ac:dyDescent="0.25">
      <c r="B39" t="s">
        <v>456</v>
      </c>
      <c r="C39">
        <v>100</v>
      </c>
    </row>
    <row r="40" spans="1:3" x14ac:dyDescent="0.25">
      <c r="A40" t="s">
        <v>1017</v>
      </c>
      <c r="C40">
        <v>9577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216"/>
  <sheetViews>
    <sheetView zoomScaleNormal="100" workbookViewId="0">
      <selection activeCell="G30" sqref="G30"/>
    </sheetView>
  </sheetViews>
  <sheetFormatPr defaultRowHeight="15" x14ac:dyDescent="0.25"/>
  <cols>
    <col min="1" max="1" width="17.140625" customWidth="1"/>
    <col min="2" max="2" width="23.85546875" customWidth="1"/>
    <col min="3" max="3" width="13.5703125" customWidth="1"/>
    <col min="4" max="4" width="12.42578125" customWidth="1"/>
    <col min="7" max="7" width="10.85546875" bestFit="1" customWidth="1"/>
  </cols>
  <sheetData>
    <row r="1" spans="1:6" ht="23.25" x14ac:dyDescent="0.35">
      <c r="A1" s="257" t="s">
        <v>772</v>
      </c>
      <c r="B1" s="1" t="s">
        <v>441</v>
      </c>
      <c r="C1" s="1"/>
      <c r="D1" s="1"/>
      <c r="E1" s="1"/>
      <c r="F1" s="1"/>
    </row>
    <row r="3" spans="1:6" x14ac:dyDescent="0.25">
      <c r="B3" t="s">
        <v>442</v>
      </c>
    </row>
    <row r="5" spans="1:6" x14ac:dyDescent="0.25">
      <c r="A5" s="48" t="s">
        <v>443</v>
      </c>
      <c r="B5" s="48" t="s">
        <v>444</v>
      </c>
      <c r="C5" s="48" t="s">
        <v>35</v>
      </c>
      <c r="D5" s="48" t="s">
        <v>36</v>
      </c>
      <c r="E5" s="48" t="s">
        <v>411</v>
      </c>
    </row>
    <row r="6" spans="1:6" x14ac:dyDescent="0.25">
      <c r="A6" t="s">
        <v>445</v>
      </c>
      <c r="B6" s="42" t="s">
        <v>446</v>
      </c>
      <c r="C6" t="s">
        <v>3</v>
      </c>
      <c r="D6" s="42">
        <v>43498</v>
      </c>
      <c r="E6">
        <v>800</v>
      </c>
    </row>
    <row r="7" spans="1:6" x14ac:dyDescent="0.25">
      <c r="A7" t="s">
        <v>445</v>
      </c>
      <c r="B7" s="42" t="s">
        <v>447</v>
      </c>
      <c r="C7" t="s">
        <v>8</v>
      </c>
      <c r="D7" s="42">
        <v>43499</v>
      </c>
      <c r="E7">
        <v>15</v>
      </c>
    </row>
    <row r="8" spans="1:6" x14ac:dyDescent="0.25">
      <c r="A8" t="s">
        <v>448</v>
      </c>
      <c r="B8" s="42" t="s">
        <v>449</v>
      </c>
      <c r="C8" t="s">
        <v>450</v>
      </c>
      <c r="D8" s="42">
        <v>43500</v>
      </c>
      <c r="E8">
        <v>22</v>
      </c>
    </row>
    <row r="9" spans="1:6" x14ac:dyDescent="0.25">
      <c r="A9" t="s">
        <v>445</v>
      </c>
      <c r="B9" s="42" t="s">
        <v>447</v>
      </c>
      <c r="C9" t="s">
        <v>451</v>
      </c>
      <c r="D9" s="42">
        <v>43500</v>
      </c>
      <c r="E9">
        <v>35</v>
      </c>
    </row>
    <row r="10" spans="1:6" x14ac:dyDescent="0.25">
      <c r="A10" t="s">
        <v>445</v>
      </c>
      <c r="B10" s="42" t="s">
        <v>446</v>
      </c>
      <c r="C10" t="s">
        <v>7</v>
      </c>
      <c r="D10" s="42">
        <v>43501</v>
      </c>
      <c r="E10">
        <v>45</v>
      </c>
    </row>
    <row r="11" spans="1:6" x14ac:dyDescent="0.25">
      <c r="A11" t="s">
        <v>452</v>
      </c>
      <c r="B11" s="42" t="s">
        <v>449</v>
      </c>
      <c r="C11" t="s">
        <v>116</v>
      </c>
      <c r="D11" s="42">
        <v>43501</v>
      </c>
      <c r="E11">
        <v>85</v>
      </c>
    </row>
    <row r="12" spans="1:6" x14ac:dyDescent="0.25">
      <c r="A12" t="s">
        <v>445</v>
      </c>
      <c r="B12" s="42" t="s">
        <v>446</v>
      </c>
      <c r="C12" t="s">
        <v>3</v>
      </c>
      <c r="D12" s="42">
        <v>43501</v>
      </c>
      <c r="E12">
        <v>7</v>
      </c>
    </row>
    <row r="13" spans="1:6" x14ac:dyDescent="0.25">
      <c r="A13" t="s">
        <v>445</v>
      </c>
      <c r="B13" s="42" t="s">
        <v>446</v>
      </c>
      <c r="C13" t="s">
        <v>6</v>
      </c>
      <c r="D13" s="42">
        <v>43503</v>
      </c>
      <c r="E13">
        <v>5</v>
      </c>
    </row>
    <row r="14" spans="1:6" x14ac:dyDescent="0.25">
      <c r="A14" t="s">
        <v>445</v>
      </c>
      <c r="B14" s="42" t="s">
        <v>446</v>
      </c>
      <c r="C14" t="s">
        <v>4</v>
      </c>
      <c r="D14" s="42">
        <v>43503</v>
      </c>
      <c r="E14">
        <v>8</v>
      </c>
    </row>
    <row r="15" spans="1:6" x14ac:dyDescent="0.25">
      <c r="A15" t="s">
        <v>448</v>
      </c>
      <c r="B15" s="42" t="s">
        <v>446</v>
      </c>
      <c r="C15" t="s">
        <v>10</v>
      </c>
      <c r="D15" s="42">
        <v>43503</v>
      </c>
      <c r="E15">
        <v>100</v>
      </c>
    </row>
    <row r="16" spans="1:6" x14ac:dyDescent="0.25">
      <c r="A16" t="s">
        <v>452</v>
      </c>
      <c r="B16" s="42" t="s">
        <v>449</v>
      </c>
      <c r="C16" t="s">
        <v>453</v>
      </c>
      <c r="D16" s="42">
        <v>43503</v>
      </c>
      <c r="E16">
        <v>12</v>
      </c>
    </row>
    <row r="17" spans="1:5" x14ac:dyDescent="0.25">
      <c r="A17" t="s">
        <v>448</v>
      </c>
      <c r="B17" s="42" t="s">
        <v>449</v>
      </c>
      <c r="C17" t="s">
        <v>114</v>
      </c>
      <c r="D17" s="42">
        <v>43505</v>
      </c>
      <c r="E17">
        <v>120</v>
      </c>
    </row>
    <row r="18" spans="1:5" x14ac:dyDescent="0.25">
      <c r="A18" t="s">
        <v>452</v>
      </c>
      <c r="B18" s="42" t="s">
        <v>449</v>
      </c>
      <c r="C18" t="s">
        <v>454</v>
      </c>
      <c r="D18" s="42">
        <v>43505</v>
      </c>
      <c r="E18">
        <v>20</v>
      </c>
    </row>
    <row r="19" spans="1:5" x14ac:dyDescent="0.25">
      <c r="A19" t="s">
        <v>452</v>
      </c>
      <c r="B19" s="42" t="s">
        <v>449</v>
      </c>
      <c r="C19" t="s">
        <v>453</v>
      </c>
      <c r="D19" s="42">
        <v>43505</v>
      </c>
      <c r="E19">
        <v>15</v>
      </c>
    </row>
    <row r="20" spans="1:5" x14ac:dyDescent="0.25">
      <c r="A20" t="s">
        <v>452</v>
      </c>
      <c r="B20" s="42" t="s">
        <v>449</v>
      </c>
      <c r="C20" t="s">
        <v>118</v>
      </c>
      <c r="D20" s="42">
        <v>43506</v>
      </c>
      <c r="E20">
        <v>25</v>
      </c>
    </row>
    <row r="21" spans="1:5" x14ac:dyDescent="0.25">
      <c r="A21" t="s">
        <v>448</v>
      </c>
      <c r="B21" s="42" t="s">
        <v>447</v>
      </c>
      <c r="C21" t="s">
        <v>9</v>
      </c>
      <c r="D21" s="42">
        <v>43506</v>
      </c>
      <c r="E21">
        <v>35</v>
      </c>
    </row>
    <row r="22" spans="1:5" x14ac:dyDescent="0.25">
      <c r="A22" t="s">
        <v>448</v>
      </c>
      <c r="B22" s="42" t="s">
        <v>447</v>
      </c>
      <c r="C22" t="s">
        <v>9</v>
      </c>
      <c r="D22" s="42">
        <v>43506</v>
      </c>
      <c r="E22">
        <v>40</v>
      </c>
    </row>
    <row r="23" spans="1:5" x14ac:dyDescent="0.25">
      <c r="A23" t="s">
        <v>448</v>
      </c>
      <c r="B23" s="42" t="s">
        <v>446</v>
      </c>
      <c r="C23" t="s">
        <v>11</v>
      </c>
      <c r="D23" s="42">
        <v>43508</v>
      </c>
      <c r="E23">
        <v>40</v>
      </c>
    </row>
    <row r="24" spans="1:5" x14ac:dyDescent="0.25">
      <c r="A24" t="s">
        <v>452</v>
      </c>
      <c r="B24" s="42" t="s">
        <v>449</v>
      </c>
      <c r="C24" t="s">
        <v>454</v>
      </c>
      <c r="D24" s="42">
        <v>43508</v>
      </c>
      <c r="E24">
        <v>23</v>
      </c>
    </row>
    <row r="25" spans="1:5" x14ac:dyDescent="0.25">
      <c r="A25" t="s">
        <v>445</v>
      </c>
      <c r="B25" s="42" t="s">
        <v>447</v>
      </c>
      <c r="C25" t="s">
        <v>8</v>
      </c>
      <c r="D25" s="42">
        <v>43508</v>
      </c>
      <c r="E25">
        <v>10</v>
      </c>
    </row>
    <row r="26" spans="1:5" x14ac:dyDescent="0.25">
      <c r="A26" t="s">
        <v>445</v>
      </c>
      <c r="B26" s="42" t="s">
        <v>446</v>
      </c>
      <c r="C26" t="s">
        <v>3</v>
      </c>
      <c r="D26" s="42">
        <v>43509</v>
      </c>
      <c r="E26">
        <v>10</v>
      </c>
    </row>
    <row r="27" spans="1:5" x14ac:dyDescent="0.25">
      <c r="A27" t="s">
        <v>452</v>
      </c>
      <c r="B27" s="42" t="s">
        <v>449</v>
      </c>
      <c r="C27" t="s">
        <v>450</v>
      </c>
      <c r="D27" s="42">
        <v>43511</v>
      </c>
      <c r="E27">
        <v>21</v>
      </c>
    </row>
    <row r="28" spans="1:5" x14ac:dyDescent="0.25">
      <c r="A28" t="s">
        <v>445</v>
      </c>
      <c r="B28" s="42" t="s">
        <v>446</v>
      </c>
      <c r="C28" t="s">
        <v>4</v>
      </c>
      <c r="D28" s="42">
        <v>43511</v>
      </c>
      <c r="E28">
        <v>7</v>
      </c>
    </row>
    <row r="29" spans="1:5" x14ac:dyDescent="0.25">
      <c r="A29" t="s">
        <v>445</v>
      </c>
      <c r="B29" s="42" t="s">
        <v>446</v>
      </c>
      <c r="C29" t="s">
        <v>7</v>
      </c>
      <c r="D29" s="42">
        <v>43512</v>
      </c>
      <c r="E29">
        <v>55</v>
      </c>
    </row>
    <row r="30" spans="1:5" x14ac:dyDescent="0.25">
      <c r="A30" t="s">
        <v>448</v>
      </c>
      <c r="B30" s="42" t="s">
        <v>449</v>
      </c>
      <c r="C30" t="s">
        <v>453</v>
      </c>
      <c r="D30" s="42">
        <v>43513</v>
      </c>
      <c r="E30">
        <v>12</v>
      </c>
    </row>
    <row r="31" spans="1:5" x14ac:dyDescent="0.25">
      <c r="A31" t="s">
        <v>448</v>
      </c>
      <c r="B31" s="42" t="s">
        <v>449</v>
      </c>
      <c r="C31" t="s">
        <v>118</v>
      </c>
      <c r="D31" s="42">
        <v>43513</v>
      </c>
      <c r="E31">
        <v>25</v>
      </c>
    </row>
    <row r="32" spans="1:5" x14ac:dyDescent="0.25">
      <c r="A32" t="s">
        <v>452</v>
      </c>
      <c r="B32" s="42" t="s">
        <v>447</v>
      </c>
      <c r="C32" t="s">
        <v>9</v>
      </c>
      <c r="D32" s="42">
        <v>43513</v>
      </c>
      <c r="E32">
        <v>45</v>
      </c>
    </row>
    <row r="33" spans="1:5" x14ac:dyDescent="0.25">
      <c r="A33" t="s">
        <v>448</v>
      </c>
      <c r="B33" t="s">
        <v>449</v>
      </c>
      <c r="C33" t="s">
        <v>455</v>
      </c>
      <c r="D33" s="42">
        <v>43514</v>
      </c>
      <c r="E33">
        <v>25</v>
      </c>
    </row>
    <row r="34" spans="1:5" x14ac:dyDescent="0.25">
      <c r="A34" t="s">
        <v>445</v>
      </c>
      <c r="B34" s="42" t="s">
        <v>447</v>
      </c>
      <c r="C34" t="s">
        <v>451</v>
      </c>
      <c r="D34" s="42">
        <v>43515</v>
      </c>
      <c r="E34">
        <v>25</v>
      </c>
    </row>
    <row r="35" spans="1:5" x14ac:dyDescent="0.25">
      <c r="A35" t="s">
        <v>448</v>
      </c>
      <c r="B35" t="s">
        <v>449</v>
      </c>
      <c r="C35" t="s">
        <v>116</v>
      </c>
      <c r="D35" s="42">
        <v>43515</v>
      </c>
      <c r="E35">
        <v>95</v>
      </c>
    </row>
    <row r="36" spans="1:5" x14ac:dyDescent="0.25">
      <c r="A36" t="s">
        <v>448</v>
      </c>
      <c r="B36" s="42" t="s">
        <v>446</v>
      </c>
      <c r="C36" t="s">
        <v>11</v>
      </c>
      <c r="D36" s="42">
        <v>43515</v>
      </c>
      <c r="E36">
        <v>50</v>
      </c>
    </row>
    <row r="37" spans="1:5" ht="21" customHeight="1" x14ac:dyDescent="0.25">
      <c r="A37" t="s">
        <v>448</v>
      </c>
      <c r="B37" t="s">
        <v>449</v>
      </c>
      <c r="C37" t="s">
        <v>454</v>
      </c>
      <c r="D37" s="42">
        <v>43516</v>
      </c>
      <c r="E37">
        <v>25</v>
      </c>
    </row>
    <row r="38" spans="1:5" x14ac:dyDescent="0.25">
      <c r="A38" t="s">
        <v>452</v>
      </c>
      <c r="B38" t="s">
        <v>449</v>
      </c>
      <c r="C38" t="s">
        <v>455</v>
      </c>
      <c r="D38" s="42">
        <v>43516</v>
      </c>
      <c r="E38">
        <v>27</v>
      </c>
    </row>
    <row r="39" spans="1:5" x14ac:dyDescent="0.25">
      <c r="A39" t="s">
        <v>445</v>
      </c>
      <c r="B39" s="42" t="s">
        <v>446</v>
      </c>
      <c r="C39" t="s">
        <v>6</v>
      </c>
      <c r="D39" s="42">
        <v>43517</v>
      </c>
      <c r="E39">
        <v>4</v>
      </c>
    </row>
    <row r="40" spans="1:5" x14ac:dyDescent="0.25">
      <c r="A40" t="s">
        <v>445</v>
      </c>
      <c r="B40" s="42" t="s">
        <v>446</v>
      </c>
      <c r="C40" t="s">
        <v>10</v>
      </c>
      <c r="D40" s="42">
        <v>43518</v>
      </c>
      <c r="E40">
        <v>110</v>
      </c>
    </row>
    <row r="41" spans="1:5" x14ac:dyDescent="0.25">
      <c r="A41" t="s">
        <v>452</v>
      </c>
      <c r="B41" t="s">
        <v>449</v>
      </c>
      <c r="C41" t="s">
        <v>114</v>
      </c>
      <c r="D41" s="42">
        <v>43519</v>
      </c>
      <c r="E41">
        <v>130</v>
      </c>
    </row>
    <row r="42" spans="1:5" x14ac:dyDescent="0.25">
      <c r="A42" t="s">
        <v>448</v>
      </c>
      <c r="B42" t="s">
        <v>449</v>
      </c>
      <c r="C42" t="s">
        <v>455</v>
      </c>
      <c r="D42" s="42">
        <v>43521</v>
      </c>
      <c r="E42">
        <v>28</v>
      </c>
    </row>
    <row r="43" spans="1:5" x14ac:dyDescent="0.25">
      <c r="A43" t="s">
        <v>445</v>
      </c>
      <c r="B43" s="42" t="s">
        <v>446</v>
      </c>
      <c r="C43" t="s">
        <v>3</v>
      </c>
      <c r="D43" s="42">
        <v>43523</v>
      </c>
      <c r="E43">
        <v>8</v>
      </c>
    </row>
    <row r="44" spans="1:5" x14ac:dyDescent="0.25">
      <c r="A44" t="s">
        <v>448</v>
      </c>
      <c r="B44" t="s">
        <v>449</v>
      </c>
      <c r="C44" t="s">
        <v>450</v>
      </c>
      <c r="D44" s="42">
        <v>43524</v>
      </c>
      <c r="E44">
        <v>20</v>
      </c>
    </row>
    <row r="45" spans="1:5" x14ac:dyDescent="0.25">
      <c r="A45" t="s">
        <v>445</v>
      </c>
      <c r="B45" s="42" t="s">
        <v>447</v>
      </c>
      <c r="C45" t="s">
        <v>8</v>
      </c>
      <c r="D45" s="42">
        <v>43524</v>
      </c>
      <c r="E45">
        <v>15</v>
      </c>
    </row>
    <row r="46" spans="1:5" x14ac:dyDescent="0.25">
      <c r="A46" t="s">
        <v>452</v>
      </c>
      <c r="B46" s="42" t="s">
        <v>446</v>
      </c>
      <c r="C46" t="s">
        <v>11</v>
      </c>
      <c r="D46" s="42">
        <v>43525</v>
      </c>
      <c r="E46">
        <v>45</v>
      </c>
    </row>
    <row r="47" spans="1:5" x14ac:dyDescent="0.25">
      <c r="A47" t="s">
        <v>448</v>
      </c>
      <c r="B47" t="s">
        <v>449</v>
      </c>
      <c r="C47" t="s">
        <v>453</v>
      </c>
      <c r="D47" s="42">
        <v>43526</v>
      </c>
      <c r="E47">
        <v>13</v>
      </c>
    </row>
    <row r="48" spans="1:5" x14ac:dyDescent="0.25">
      <c r="A48" t="s">
        <v>448</v>
      </c>
      <c r="B48" s="42" t="s">
        <v>447</v>
      </c>
      <c r="C48" t="s">
        <v>9</v>
      </c>
      <c r="D48" s="42">
        <v>43526</v>
      </c>
      <c r="E48">
        <v>35</v>
      </c>
    </row>
    <row r="49" spans="1:5" x14ac:dyDescent="0.25">
      <c r="A49" t="s">
        <v>445</v>
      </c>
      <c r="B49" s="42" t="s">
        <v>447</v>
      </c>
      <c r="C49" t="s">
        <v>451</v>
      </c>
      <c r="D49" s="42">
        <v>43527</v>
      </c>
      <c r="E49">
        <v>30</v>
      </c>
    </row>
    <row r="50" spans="1:5" x14ac:dyDescent="0.25">
      <c r="A50" t="s">
        <v>445</v>
      </c>
      <c r="B50" s="42" t="s">
        <v>446</v>
      </c>
      <c r="C50" t="s">
        <v>4</v>
      </c>
      <c r="D50" s="42">
        <v>43528</v>
      </c>
      <c r="E50">
        <v>7</v>
      </c>
    </row>
    <row r="51" spans="1:5" x14ac:dyDescent="0.25">
      <c r="A51" t="s">
        <v>448</v>
      </c>
      <c r="B51" t="s">
        <v>449</v>
      </c>
      <c r="C51" t="s">
        <v>116</v>
      </c>
      <c r="D51" s="42">
        <v>43528</v>
      </c>
      <c r="E51">
        <v>90</v>
      </c>
    </row>
    <row r="52" spans="1:5" x14ac:dyDescent="0.25">
      <c r="A52" t="s">
        <v>448</v>
      </c>
      <c r="B52" t="s">
        <v>449</v>
      </c>
      <c r="C52" t="s">
        <v>454</v>
      </c>
      <c r="D52" s="42">
        <v>43528</v>
      </c>
      <c r="E52">
        <v>20</v>
      </c>
    </row>
    <row r="53" spans="1:5" x14ac:dyDescent="0.25">
      <c r="A53" t="s">
        <v>445</v>
      </c>
      <c r="B53" s="42" t="s">
        <v>446</v>
      </c>
      <c r="C53" t="s">
        <v>6</v>
      </c>
      <c r="D53" s="42">
        <v>43530</v>
      </c>
      <c r="E53">
        <v>6</v>
      </c>
    </row>
    <row r="54" spans="1:5" x14ac:dyDescent="0.25">
      <c r="A54" t="s">
        <v>445</v>
      </c>
      <c r="B54" s="42" t="s">
        <v>446</v>
      </c>
      <c r="C54" t="s">
        <v>10</v>
      </c>
      <c r="D54" s="42">
        <v>43530</v>
      </c>
      <c r="E54">
        <v>95</v>
      </c>
    </row>
    <row r="55" spans="1:5" x14ac:dyDescent="0.25">
      <c r="A55" t="s">
        <v>448</v>
      </c>
      <c r="B55" t="s">
        <v>449</v>
      </c>
      <c r="C55" t="s">
        <v>118</v>
      </c>
      <c r="D55" s="42">
        <v>43530</v>
      </c>
      <c r="E55">
        <v>30</v>
      </c>
    </row>
    <row r="56" spans="1:5" x14ac:dyDescent="0.25">
      <c r="A56" t="s">
        <v>448</v>
      </c>
      <c r="B56" t="s">
        <v>449</v>
      </c>
      <c r="C56" t="s">
        <v>114</v>
      </c>
      <c r="D56" s="42">
        <v>43531</v>
      </c>
      <c r="E56">
        <v>135</v>
      </c>
    </row>
    <row r="57" spans="1:5" x14ac:dyDescent="0.25">
      <c r="A57" t="s">
        <v>452</v>
      </c>
      <c r="B57" t="s">
        <v>449</v>
      </c>
      <c r="C57" t="s">
        <v>116</v>
      </c>
      <c r="D57" s="42">
        <v>43534</v>
      </c>
      <c r="E57">
        <v>85</v>
      </c>
    </row>
    <row r="58" spans="1:5" x14ac:dyDescent="0.25">
      <c r="A58" t="s">
        <v>445</v>
      </c>
      <c r="B58" s="42" t="s">
        <v>446</v>
      </c>
      <c r="C58" t="s">
        <v>3</v>
      </c>
      <c r="D58" s="42">
        <v>43534</v>
      </c>
      <c r="E58">
        <v>9</v>
      </c>
    </row>
    <row r="59" spans="1:5" x14ac:dyDescent="0.25">
      <c r="A59" t="s">
        <v>452</v>
      </c>
      <c r="B59" t="s">
        <v>449</v>
      </c>
      <c r="C59" t="s">
        <v>455</v>
      </c>
      <c r="D59" s="42">
        <v>43534</v>
      </c>
      <c r="E59">
        <v>27</v>
      </c>
    </row>
    <row r="60" spans="1:5" x14ac:dyDescent="0.25">
      <c r="A60" t="s">
        <v>445</v>
      </c>
      <c r="B60" s="42" t="s">
        <v>446</v>
      </c>
      <c r="C60" t="s">
        <v>6</v>
      </c>
      <c r="D60" s="42">
        <v>43536</v>
      </c>
      <c r="E60">
        <v>5</v>
      </c>
    </row>
    <row r="61" spans="1:5" x14ac:dyDescent="0.25">
      <c r="A61" t="s">
        <v>448</v>
      </c>
      <c r="B61" s="42" t="s">
        <v>446</v>
      </c>
      <c r="C61" t="s">
        <v>11</v>
      </c>
      <c r="D61" s="42">
        <v>43536</v>
      </c>
      <c r="E61">
        <v>50</v>
      </c>
    </row>
    <row r="62" spans="1:5" x14ac:dyDescent="0.25">
      <c r="A62" t="s">
        <v>445</v>
      </c>
      <c r="B62" s="42" t="s">
        <v>446</v>
      </c>
      <c r="C62" t="s">
        <v>7</v>
      </c>
      <c r="D62" s="42">
        <v>43537</v>
      </c>
      <c r="E62">
        <v>50</v>
      </c>
    </row>
    <row r="63" spans="1:5" x14ac:dyDescent="0.25">
      <c r="A63" t="s">
        <v>452</v>
      </c>
      <c r="B63" s="42" t="s">
        <v>446</v>
      </c>
      <c r="C63" t="s">
        <v>10</v>
      </c>
      <c r="D63" s="42">
        <v>43538</v>
      </c>
      <c r="E63">
        <v>125</v>
      </c>
    </row>
    <row r="64" spans="1:5" x14ac:dyDescent="0.25">
      <c r="A64" t="s">
        <v>452</v>
      </c>
      <c r="B64" t="s">
        <v>449</v>
      </c>
      <c r="C64" t="s">
        <v>453</v>
      </c>
      <c r="D64" s="42">
        <v>43538</v>
      </c>
      <c r="E64">
        <v>15</v>
      </c>
    </row>
    <row r="65" spans="1:5" x14ac:dyDescent="0.25">
      <c r="A65" t="s">
        <v>445</v>
      </c>
      <c r="B65" s="42" t="s">
        <v>447</v>
      </c>
      <c r="C65" t="s">
        <v>9</v>
      </c>
      <c r="D65" s="42">
        <v>43538</v>
      </c>
      <c r="E65">
        <v>45</v>
      </c>
    </row>
    <row r="66" spans="1:5" x14ac:dyDescent="0.25">
      <c r="A66" t="s">
        <v>445</v>
      </c>
      <c r="B66" s="42" t="s">
        <v>447</v>
      </c>
      <c r="C66" t="s">
        <v>8</v>
      </c>
      <c r="D66" s="42">
        <v>43538</v>
      </c>
      <c r="E66">
        <v>10</v>
      </c>
    </row>
    <row r="67" spans="1:5" x14ac:dyDescent="0.25">
      <c r="A67" t="s">
        <v>448</v>
      </c>
      <c r="B67" t="s">
        <v>449</v>
      </c>
      <c r="C67" t="s">
        <v>116</v>
      </c>
      <c r="D67" s="42">
        <v>43540</v>
      </c>
      <c r="E67">
        <v>95</v>
      </c>
    </row>
    <row r="68" spans="1:5" x14ac:dyDescent="0.25">
      <c r="A68" t="s">
        <v>452</v>
      </c>
      <c r="B68" t="s">
        <v>449</v>
      </c>
      <c r="C68" t="s">
        <v>454</v>
      </c>
      <c r="D68" s="42">
        <v>43540</v>
      </c>
      <c r="E68">
        <v>19</v>
      </c>
    </row>
    <row r="69" spans="1:5" x14ac:dyDescent="0.25">
      <c r="A69" t="s">
        <v>445</v>
      </c>
      <c r="B69" s="42" t="s">
        <v>447</v>
      </c>
      <c r="C69" t="s">
        <v>451</v>
      </c>
      <c r="D69" s="42">
        <v>43541</v>
      </c>
      <c r="E69">
        <v>25</v>
      </c>
    </row>
    <row r="70" spans="1:5" x14ac:dyDescent="0.25">
      <c r="A70" t="s">
        <v>448</v>
      </c>
      <c r="B70" t="s">
        <v>449</v>
      </c>
      <c r="C70" t="s">
        <v>114</v>
      </c>
      <c r="D70" s="42">
        <v>43542</v>
      </c>
      <c r="E70">
        <v>125</v>
      </c>
    </row>
    <row r="71" spans="1:5" x14ac:dyDescent="0.25">
      <c r="A71" t="s">
        <v>445</v>
      </c>
      <c r="B71" s="42" t="s">
        <v>446</v>
      </c>
      <c r="C71" t="s">
        <v>6</v>
      </c>
      <c r="D71" s="42">
        <v>43542</v>
      </c>
      <c r="E71">
        <v>4</v>
      </c>
    </row>
    <row r="72" spans="1:5" x14ac:dyDescent="0.25">
      <c r="A72" t="s">
        <v>445</v>
      </c>
      <c r="B72" s="42" t="s">
        <v>446</v>
      </c>
      <c r="C72" t="s">
        <v>11</v>
      </c>
      <c r="D72" s="42">
        <v>43542</v>
      </c>
      <c r="E72">
        <v>45</v>
      </c>
    </row>
    <row r="73" spans="1:5" x14ac:dyDescent="0.25">
      <c r="A73" t="s">
        <v>448</v>
      </c>
      <c r="B73" t="s">
        <v>449</v>
      </c>
      <c r="C73" t="s">
        <v>450</v>
      </c>
      <c r="D73" s="42">
        <v>43545</v>
      </c>
      <c r="E73">
        <v>25</v>
      </c>
    </row>
    <row r="74" spans="1:5" x14ac:dyDescent="0.25">
      <c r="A74" t="s">
        <v>445</v>
      </c>
      <c r="B74" s="42" t="s">
        <v>446</v>
      </c>
      <c r="C74" t="s">
        <v>6</v>
      </c>
      <c r="D74" s="42">
        <v>43545</v>
      </c>
      <c r="E74">
        <v>6</v>
      </c>
    </row>
    <row r="75" spans="1:5" x14ac:dyDescent="0.25">
      <c r="A75" t="s">
        <v>448</v>
      </c>
      <c r="B75" t="s">
        <v>449</v>
      </c>
      <c r="C75" t="s">
        <v>455</v>
      </c>
      <c r="D75" s="42">
        <v>43546</v>
      </c>
      <c r="E75">
        <v>29</v>
      </c>
    </row>
    <row r="76" spans="1:5" x14ac:dyDescent="0.25">
      <c r="A76" t="s">
        <v>445</v>
      </c>
      <c r="B76" s="42" t="s">
        <v>446</v>
      </c>
      <c r="C76" t="s">
        <v>3</v>
      </c>
      <c r="D76" s="42">
        <v>43547</v>
      </c>
      <c r="E76">
        <v>9</v>
      </c>
    </row>
    <row r="77" spans="1:5" x14ac:dyDescent="0.25">
      <c r="A77" t="s">
        <v>445</v>
      </c>
      <c r="B77" s="42" t="s">
        <v>447</v>
      </c>
      <c r="C77" t="s">
        <v>8</v>
      </c>
      <c r="D77" s="42">
        <v>43548</v>
      </c>
      <c r="E77">
        <v>17</v>
      </c>
    </row>
    <row r="78" spans="1:5" x14ac:dyDescent="0.25">
      <c r="A78" t="s">
        <v>452</v>
      </c>
      <c r="B78" t="s">
        <v>449</v>
      </c>
      <c r="C78" t="s">
        <v>450</v>
      </c>
      <c r="D78" s="42">
        <v>43549</v>
      </c>
      <c r="E78">
        <v>25</v>
      </c>
    </row>
    <row r="79" spans="1:5" x14ac:dyDescent="0.25">
      <c r="A79" t="s">
        <v>445</v>
      </c>
      <c r="B79" s="42" t="s">
        <v>447</v>
      </c>
      <c r="C79" t="s">
        <v>451</v>
      </c>
      <c r="D79" s="42">
        <v>43549</v>
      </c>
      <c r="E79">
        <v>40</v>
      </c>
    </row>
    <row r="80" spans="1:5" x14ac:dyDescent="0.25">
      <c r="A80" t="s">
        <v>445</v>
      </c>
      <c r="B80" s="42" t="s">
        <v>446</v>
      </c>
      <c r="C80" t="s">
        <v>7</v>
      </c>
      <c r="D80" s="42">
        <v>43550</v>
      </c>
      <c r="E80">
        <v>52</v>
      </c>
    </row>
    <row r="81" spans="1:5" x14ac:dyDescent="0.25">
      <c r="A81" t="s">
        <v>448</v>
      </c>
      <c r="B81" t="s">
        <v>449</v>
      </c>
      <c r="C81" t="s">
        <v>116</v>
      </c>
      <c r="D81" s="42">
        <v>43550</v>
      </c>
      <c r="E81">
        <v>98</v>
      </c>
    </row>
    <row r="82" spans="1:5" x14ac:dyDescent="0.25">
      <c r="A82" t="s">
        <v>445</v>
      </c>
      <c r="B82" s="42" t="s">
        <v>446</v>
      </c>
      <c r="C82" t="s">
        <v>3</v>
      </c>
      <c r="D82" s="42">
        <v>43550</v>
      </c>
      <c r="E82">
        <v>8</v>
      </c>
    </row>
    <row r="83" spans="1:5" x14ac:dyDescent="0.25">
      <c r="A83" t="s">
        <v>445</v>
      </c>
      <c r="B83" s="42" t="s">
        <v>446</v>
      </c>
      <c r="C83" t="s">
        <v>6</v>
      </c>
      <c r="D83" s="42">
        <v>43552</v>
      </c>
      <c r="E83">
        <v>6</v>
      </c>
    </row>
    <row r="84" spans="1:5" x14ac:dyDescent="0.25">
      <c r="A84" t="s">
        <v>445</v>
      </c>
      <c r="B84" s="42" t="s">
        <v>446</v>
      </c>
      <c r="C84" t="s">
        <v>4</v>
      </c>
      <c r="D84" s="42">
        <v>43552</v>
      </c>
      <c r="E84">
        <v>9</v>
      </c>
    </row>
    <row r="85" spans="1:5" x14ac:dyDescent="0.25">
      <c r="A85" t="s">
        <v>448</v>
      </c>
      <c r="B85" s="42" t="s">
        <v>446</v>
      </c>
      <c r="C85" t="s">
        <v>10</v>
      </c>
      <c r="D85" s="42">
        <v>43552</v>
      </c>
      <c r="E85">
        <v>115</v>
      </c>
    </row>
    <row r="86" spans="1:5" x14ac:dyDescent="0.25">
      <c r="A86" t="s">
        <v>452</v>
      </c>
      <c r="B86" t="s">
        <v>449</v>
      </c>
      <c r="C86" t="s">
        <v>453</v>
      </c>
      <c r="D86" s="42">
        <v>43552</v>
      </c>
      <c r="E86">
        <v>14</v>
      </c>
    </row>
    <row r="87" spans="1:5" x14ac:dyDescent="0.25">
      <c r="A87" t="s">
        <v>452</v>
      </c>
      <c r="B87" t="s">
        <v>449</v>
      </c>
      <c r="C87" t="s">
        <v>114</v>
      </c>
      <c r="D87" s="42">
        <v>43554</v>
      </c>
      <c r="E87">
        <v>138</v>
      </c>
    </row>
    <row r="88" spans="1:5" x14ac:dyDescent="0.25">
      <c r="A88" t="s">
        <v>452</v>
      </c>
      <c r="B88" t="s">
        <v>449</v>
      </c>
      <c r="C88" t="s">
        <v>454</v>
      </c>
      <c r="D88" s="42">
        <v>43554</v>
      </c>
      <c r="E88">
        <v>23</v>
      </c>
    </row>
    <row r="89" spans="1:5" x14ac:dyDescent="0.25">
      <c r="A89" t="s">
        <v>448</v>
      </c>
      <c r="B89" t="s">
        <v>449</v>
      </c>
      <c r="C89" t="s">
        <v>453</v>
      </c>
      <c r="D89" s="42">
        <v>43554</v>
      </c>
      <c r="E89">
        <v>17</v>
      </c>
    </row>
    <row r="90" spans="1:5" x14ac:dyDescent="0.25">
      <c r="A90" t="s">
        <v>452</v>
      </c>
      <c r="B90" t="s">
        <v>449</v>
      </c>
      <c r="C90" t="s">
        <v>118</v>
      </c>
      <c r="D90" s="42">
        <v>43555</v>
      </c>
      <c r="E90">
        <v>29</v>
      </c>
    </row>
    <row r="91" spans="1:5" x14ac:dyDescent="0.25">
      <c r="A91" t="s">
        <v>445</v>
      </c>
      <c r="B91" s="42" t="s">
        <v>447</v>
      </c>
      <c r="C91" t="s">
        <v>9</v>
      </c>
      <c r="D91" s="42">
        <v>43555</v>
      </c>
      <c r="E91">
        <v>40</v>
      </c>
    </row>
    <row r="92" spans="1:5" x14ac:dyDescent="0.25">
      <c r="A92" t="s">
        <v>452</v>
      </c>
      <c r="B92" s="42" t="s">
        <v>447</v>
      </c>
      <c r="C92" t="s">
        <v>9</v>
      </c>
      <c r="D92" s="42">
        <v>43555</v>
      </c>
      <c r="E92">
        <v>46</v>
      </c>
    </row>
    <row r="93" spans="1:5" x14ac:dyDescent="0.25">
      <c r="A93" t="s">
        <v>445</v>
      </c>
      <c r="B93" s="42" t="s">
        <v>446</v>
      </c>
      <c r="C93" t="s">
        <v>11</v>
      </c>
      <c r="D93" s="42">
        <v>43557</v>
      </c>
      <c r="E93">
        <v>46</v>
      </c>
    </row>
    <row r="94" spans="1:5" x14ac:dyDescent="0.25">
      <c r="A94" t="s">
        <v>448</v>
      </c>
      <c r="B94" t="s">
        <v>449</v>
      </c>
      <c r="C94" t="s">
        <v>454</v>
      </c>
      <c r="D94" s="42">
        <v>43557</v>
      </c>
      <c r="E94">
        <v>26</v>
      </c>
    </row>
    <row r="95" spans="1:5" x14ac:dyDescent="0.25">
      <c r="A95" t="s">
        <v>445</v>
      </c>
      <c r="B95" s="42" t="s">
        <v>447</v>
      </c>
      <c r="C95" t="s">
        <v>8</v>
      </c>
      <c r="D95" s="42">
        <v>43557</v>
      </c>
      <c r="E95">
        <v>12</v>
      </c>
    </row>
    <row r="96" spans="1:5" x14ac:dyDescent="0.25">
      <c r="A96" t="s">
        <v>445</v>
      </c>
      <c r="B96" s="42" t="s">
        <v>446</v>
      </c>
      <c r="C96" t="s">
        <v>3</v>
      </c>
      <c r="D96" s="42">
        <v>43558</v>
      </c>
      <c r="E96">
        <v>12</v>
      </c>
    </row>
    <row r="97" spans="1:5" x14ac:dyDescent="0.25">
      <c r="A97" t="s">
        <v>448</v>
      </c>
      <c r="B97" t="s">
        <v>449</v>
      </c>
      <c r="C97" t="s">
        <v>450</v>
      </c>
      <c r="D97" s="42">
        <v>43560</v>
      </c>
      <c r="E97">
        <v>24</v>
      </c>
    </row>
    <row r="98" spans="1:5" x14ac:dyDescent="0.25">
      <c r="A98" t="s">
        <v>445</v>
      </c>
      <c r="B98" s="42" t="s">
        <v>446</v>
      </c>
      <c r="C98" t="s">
        <v>4</v>
      </c>
      <c r="D98" s="42">
        <v>43560</v>
      </c>
      <c r="E98">
        <v>8</v>
      </c>
    </row>
    <row r="99" spans="1:5" x14ac:dyDescent="0.25">
      <c r="A99" t="s">
        <v>445</v>
      </c>
      <c r="B99" s="42" t="s">
        <v>446</v>
      </c>
      <c r="C99" t="s">
        <v>7</v>
      </c>
      <c r="D99" s="42">
        <v>43561</v>
      </c>
      <c r="E99">
        <v>63</v>
      </c>
    </row>
    <row r="100" spans="1:5" x14ac:dyDescent="0.25">
      <c r="A100" t="s">
        <v>448</v>
      </c>
      <c r="B100" t="s">
        <v>449</v>
      </c>
      <c r="C100" t="s">
        <v>453</v>
      </c>
      <c r="D100" s="42">
        <v>43562</v>
      </c>
      <c r="E100">
        <v>14</v>
      </c>
    </row>
    <row r="101" spans="1:5" x14ac:dyDescent="0.25">
      <c r="A101" t="s">
        <v>448</v>
      </c>
      <c r="B101" t="s">
        <v>449</v>
      </c>
      <c r="C101" t="s">
        <v>118</v>
      </c>
      <c r="D101" s="42">
        <v>43562</v>
      </c>
      <c r="E101">
        <v>29</v>
      </c>
    </row>
    <row r="102" spans="1:5" x14ac:dyDescent="0.25">
      <c r="A102" t="s">
        <v>448</v>
      </c>
      <c r="B102" s="42" t="s">
        <v>447</v>
      </c>
      <c r="C102" t="s">
        <v>9</v>
      </c>
      <c r="D102" s="42">
        <v>43562</v>
      </c>
      <c r="E102">
        <v>52</v>
      </c>
    </row>
    <row r="103" spans="1:5" x14ac:dyDescent="0.25">
      <c r="A103" t="s">
        <v>448</v>
      </c>
      <c r="B103" t="s">
        <v>449</v>
      </c>
      <c r="C103" t="s">
        <v>455</v>
      </c>
      <c r="D103" s="42">
        <v>43563</v>
      </c>
      <c r="E103">
        <v>29</v>
      </c>
    </row>
    <row r="104" spans="1:5" x14ac:dyDescent="0.25">
      <c r="A104" t="s">
        <v>445</v>
      </c>
      <c r="B104" s="42" t="s">
        <v>447</v>
      </c>
      <c r="C104" t="s">
        <v>451</v>
      </c>
      <c r="D104" s="42">
        <v>43564</v>
      </c>
      <c r="E104">
        <v>29</v>
      </c>
    </row>
    <row r="105" spans="1:5" x14ac:dyDescent="0.25">
      <c r="A105" t="s">
        <v>452</v>
      </c>
      <c r="B105" t="s">
        <v>449</v>
      </c>
      <c r="C105" t="s">
        <v>116</v>
      </c>
      <c r="D105" s="42">
        <v>43564</v>
      </c>
      <c r="E105">
        <v>109</v>
      </c>
    </row>
    <row r="106" spans="1:5" x14ac:dyDescent="0.25">
      <c r="A106" t="s">
        <v>452</v>
      </c>
      <c r="B106" s="42" t="s">
        <v>446</v>
      </c>
      <c r="C106" t="s">
        <v>11</v>
      </c>
      <c r="D106" s="42">
        <v>43564</v>
      </c>
      <c r="E106">
        <v>58</v>
      </c>
    </row>
    <row r="107" spans="1:5" x14ac:dyDescent="0.25">
      <c r="A107" t="s">
        <v>448</v>
      </c>
      <c r="B107" t="s">
        <v>449</v>
      </c>
      <c r="C107" t="s">
        <v>454</v>
      </c>
      <c r="D107" s="42">
        <v>43565</v>
      </c>
      <c r="E107">
        <v>29</v>
      </c>
    </row>
    <row r="108" spans="1:5" x14ac:dyDescent="0.25">
      <c r="A108" t="s">
        <v>452</v>
      </c>
      <c r="B108" t="s">
        <v>449</v>
      </c>
      <c r="C108" t="s">
        <v>455</v>
      </c>
      <c r="D108" s="42">
        <v>43565</v>
      </c>
      <c r="E108">
        <v>31</v>
      </c>
    </row>
    <row r="109" spans="1:5" x14ac:dyDescent="0.25">
      <c r="A109" t="s">
        <v>445</v>
      </c>
      <c r="B109" s="42" t="s">
        <v>446</v>
      </c>
      <c r="C109" t="s">
        <v>6</v>
      </c>
      <c r="D109" s="42">
        <v>43566</v>
      </c>
      <c r="E109">
        <v>5</v>
      </c>
    </row>
    <row r="110" spans="1:5" x14ac:dyDescent="0.25">
      <c r="A110" t="s">
        <v>445</v>
      </c>
      <c r="B110" s="42" t="s">
        <v>446</v>
      </c>
      <c r="C110" t="s">
        <v>10</v>
      </c>
      <c r="D110" s="42">
        <v>43567</v>
      </c>
      <c r="E110">
        <v>127</v>
      </c>
    </row>
    <row r="111" spans="1:5" x14ac:dyDescent="0.25">
      <c r="A111" t="s">
        <v>448</v>
      </c>
      <c r="B111" t="s">
        <v>449</v>
      </c>
      <c r="C111" t="s">
        <v>114</v>
      </c>
      <c r="D111" s="42">
        <v>43568</v>
      </c>
      <c r="E111">
        <v>150</v>
      </c>
    </row>
    <row r="112" spans="1:5" x14ac:dyDescent="0.25">
      <c r="A112" t="s">
        <v>448</v>
      </c>
      <c r="B112" t="s">
        <v>449</v>
      </c>
      <c r="C112" t="s">
        <v>455</v>
      </c>
      <c r="D112" s="42">
        <v>43570</v>
      </c>
      <c r="E112">
        <v>32</v>
      </c>
    </row>
    <row r="113" spans="1:5" x14ac:dyDescent="0.25">
      <c r="A113" t="s">
        <v>445</v>
      </c>
      <c r="B113" s="42" t="s">
        <v>446</v>
      </c>
      <c r="C113" t="s">
        <v>3</v>
      </c>
      <c r="D113" s="42">
        <v>43572</v>
      </c>
      <c r="E113">
        <v>9</v>
      </c>
    </row>
    <row r="114" spans="1:5" x14ac:dyDescent="0.25">
      <c r="A114" t="s">
        <v>448</v>
      </c>
      <c r="B114" t="s">
        <v>449</v>
      </c>
      <c r="C114" t="s">
        <v>450</v>
      </c>
      <c r="D114" s="42">
        <v>43573</v>
      </c>
      <c r="E114">
        <v>23</v>
      </c>
    </row>
    <row r="115" spans="1:5" x14ac:dyDescent="0.25">
      <c r="A115" t="s">
        <v>445</v>
      </c>
      <c r="B115" s="42" t="s">
        <v>447</v>
      </c>
      <c r="C115" t="s">
        <v>8</v>
      </c>
      <c r="D115" s="42">
        <v>43573</v>
      </c>
      <c r="E115">
        <v>17</v>
      </c>
    </row>
    <row r="116" spans="1:5" x14ac:dyDescent="0.25">
      <c r="A116" t="s">
        <v>448</v>
      </c>
      <c r="B116" s="42" t="s">
        <v>446</v>
      </c>
      <c r="C116" t="s">
        <v>11</v>
      </c>
      <c r="D116" s="42">
        <v>43574</v>
      </c>
      <c r="E116">
        <v>52</v>
      </c>
    </row>
    <row r="117" spans="1:5" x14ac:dyDescent="0.25">
      <c r="A117" t="s">
        <v>452</v>
      </c>
      <c r="B117" t="s">
        <v>449</v>
      </c>
      <c r="C117" t="s">
        <v>453</v>
      </c>
      <c r="D117" s="42">
        <v>43575</v>
      </c>
      <c r="E117">
        <v>15</v>
      </c>
    </row>
    <row r="118" spans="1:5" x14ac:dyDescent="0.25">
      <c r="A118" t="s">
        <v>448</v>
      </c>
      <c r="B118" s="42" t="s">
        <v>447</v>
      </c>
      <c r="C118" t="s">
        <v>9</v>
      </c>
      <c r="D118" s="42">
        <v>43575</v>
      </c>
      <c r="E118">
        <v>40</v>
      </c>
    </row>
    <row r="119" spans="1:5" x14ac:dyDescent="0.25">
      <c r="A119" t="s">
        <v>445</v>
      </c>
      <c r="B119" s="42" t="s">
        <v>447</v>
      </c>
      <c r="C119" t="s">
        <v>451</v>
      </c>
      <c r="D119" s="42">
        <v>43576</v>
      </c>
      <c r="E119">
        <v>35</v>
      </c>
    </row>
    <row r="120" spans="1:5" x14ac:dyDescent="0.25">
      <c r="A120" t="s">
        <v>445</v>
      </c>
      <c r="B120" s="42" t="s">
        <v>446</v>
      </c>
      <c r="C120" t="s">
        <v>4</v>
      </c>
      <c r="D120" s="42">
        <v>43577</v>
      </c>
      <c r="E120">
        <v>8</v>
      </c>
    </row>
    <row r="121" spans="1:5" x14ac:dyDescent="0.25">
      <c r="A121" t="s">
        <v>448</v>
      </c>
      <c r="B121" t="s">
        <v>449</v>
      </c>
      <c r="C121" t="s">
        <v>116</v>
      </c>
      <c r="D121" s="42">
        <v>43577</v>
      </c>
      <c r="E121">
        <v>104</v>
      </c>
    </row>
    <row r="122" spans="1:5" x14ac:dyDescent="0.25">
      <c r="A122" t="s">
        <v>452</v>
      </c>
      <c r="B122" t="s">
        <v>449</v>
      </c>
      <c r="C122" t="s">
        <v>454</v>
      </c>
      <c r="D122" s="42">
        <v>43577</v>
      </c>
      <c r="E122">
        <v>23</v>
      </c>
    </row>
    <row r="123" spans="1:5" x14ac:dyDescent="0.25">
      <c r="A123" t="s">
        <v>445</v>
      </c>
      <c r="B123" s="42" t="s">
        <v>446</v>
      </c>
      <c r="C123" t="s">
        <v>6</v>
      </c>
      <c r="D123" s="42">
        <v>43579</v>
      </c>
      <c r="E123">
        <v>7</v>
      </c>
    </row>
    <row r="124" spans="1:5" x14ac:dyDescent="0.25">
      <c r="A124" t="s">
        <v>445</v>
      </c>
      <c r="B124" s="42" t="s">
        <v>446</v>
      </c>
      <c r="C124" t="s">
        <v>10</v>
      </c>
      <c r="D124" s="42">
        <v>43579</v>
      </c>
      <c r="E124">
        <v>109</v>
      </c>
    </row>
    <row r="125" spans="1:5" x14ac:dyDescent="0.25">
      <c r="A125" t="s">
        <v>448</v>
      </c>
      <c r="B125" t="s">
        <v>449</v>
      </c>
      <c r="C125" t="s">
        <v>118</v>
      </c>
      <c r="D125" s="42">
        <v>43579</v>
      </c>
      <c r="E125">
        <v>35</v>
      </c>
    </row>
    <row r="126" spans="1:5" x14ac:dyDescent="0.25">
      <c r="A126" t="s">
        <v>448</v>
      </c>
      <c r="B126" t="s">
        <v>449</v>
      </c>
      <c r="C126" t="s">
        <v>114</v>
      </c>
      <c r="D126" s="42">
        <v>43580</v>
      </c>
      <c r="E126">
        <v>155</v>
      </c>
    </row>
    <row r="127" spans="1:5" x14ac:dyDescent="0.25">
      <c r="A127" t="s">
        <v>452</v>
      </c>
      <c r="B127" t="s">
        <v>449</v>
      </c>
      <c r="C127" t="s">
        <v>116</v>
      </c>
      <c r="D127" s="42">
        <v>43583</v>
      </c>
      <c r="E127">
        <v>98</v>
      </c>
    </row>
    <row r="128" spans="1:5" x14ac:dyDescent="0.25">
      <c r="A128" t="s">
        <v>445</v>
      </c>
      <c r="B128" s="42" t="s">
        <v>446</v>
      </c>
      <c r="C128" t="s">
        <v>3</v>
      </c>
      <c r="D128" s="42">
        <v>43583</v>
      </c>
      <c r="E128">
        <v>10</v>
      </c>
    </row>
    <row r="129" spans="1:5" x14ac:dyDescent="0.25">
      <c r="A129" t="s">
        <v>452</v>
      </c>
      <c r="B129" t="s">
        <v>449</v>
      </c>
      <c r="C129" t="s">
        <v>455</v>
      </c>
      <c r="D129" s="42">
        <v>43583</v>
      </c>
      <c r="E129">
        <v>31</v>
      </c>
    </row>
    <row r="130" spans="1:5" x14ac:dyDescent="0.25">
      <c r="A130" t="s">
        <v>445</v>
      </c>
      <c r="B130" s="42" t="s">
        <v>446</v>
      </c>
      <c r="C130" t="s">
        <v>6</v>
      </c>
      <c r="D130" s="42">
        <v>43585</v>
      </c>
      <c r="E130">
        <v>6</v>
      </c>
    </row>
    <row r="131" spans="1:5" x14ac:dyDescent="0.25">
      <c r="A131" t="s">
        <v>445</v>
      </c>
      <c r="B131" s="42" t="s">
        <v>446</v>
      </c>
      <c r="C131" t="s">
        <v>11</v>
      </c>
      <c r="D131" s="42">
        <v>43585</v>
      </c>
      <c r="E131">
        <v>58</v>
      </c>
    </row>
    <row r="132" spans="1:5" x14ac:dyDescent="0.25">
      <c r="A132" t="s">
        <v>445</v>
      </c>
      <c r="B132" s="42" t="s">
        <v>446</v>
      </c>
      <c r="C132" t="s">
        <v>7</v>
      </c>
      <c r="D132" s="42">
        <v>43586</v>
      </c>
      <c r="E132">
        <v>58</v>
      </c>
    </row>
    <row r="133" spans="1:5" x14ac:dyDescent="0.25">
      <c r="A133" t="s">
        <v>452</v>
      </c>
      <c r="B133" s="42" t="s">
        <v>446</v>
      </c>
      <c r="C133" t="s">
        <v>10</v>
      </c>
      <c r="D133" s="42">
        <v>43587</v>
      </c>
      <c r="E133">
        <v>144</v>
      </c>
    </row>
    <row r="134" spans="1:5" x14ac:dyDescent="0.25">
      <c r="A134" t="s">
        <v>452</v>
      </c>
      <c r="B134" t="s">
        <v>449</v>
      </c>
      <c r="C134" t="s">
        <v>453</v>
      </c>
      <c r="D134" s="42">
        <v>43587</v>
      </c>
      <c r="E134">
        <v>17</v>
      </c>
    </row>
    <row r="135" spans="1:5" x14ac:dyDescent="0.25">
      <c r="A135" t="s">
        <v>452</v>
      </c>
      <c r="B135" s="42" t="s">
        <v>447</v>
      </c>
      <c r="C135" t="s">
        <v>9</v>
      </c>
      <c r="D135" s="42">
        <v>43587</v>
      </c>
      <c r="E135">
        <v>52</v>
      </c>
    </row>
    <row r="136" spans="1:5" x14ac:dyDescent="0.25">
      <c r="A136" t="s">
        <v>445</v>
      </c>
      <c r="B136" s="42" t="s">
        <v>447</v>
      </c>
      <c r="C136" t="s">
        <v>8</v>
      </c>
      <c r="D136" s="42">
        <v>43587</v>
      </c>
      <c r="E136">
        <v>12</v>
      </c>
    </row>
    <row r="137" spans="1:5" x14ac:dyDescent="0.25">
      <c r="A137" t="s">
        <v>448</v>
      </c>
      <c r="B137" t="s">
        <v>449</v>
      </c>
      <c r="C137" t="s">
        <v>116</v>
      </c>
      <c r="D137" s="42">
        <v>43589</v>
      </c>
      <c r="E137">
        <v>109</v>
      </c>
    </row>
    <row r="138" spans="1:5" x14ac:dyDescent="0.25">
      <c r="A138" t="s">
        <v>452</v>
      </c>
      <c r="B138" t="s">
        <v>449</v>
      </c>
      <c r="C138" t="s">
        <v>454</v>
      </c>
      <c r="D138" s="42">
        <v>43589</v>
      </c>
      <c r="E138">
        <v>22</v>
      </c>
    </row>
    <row r="139" spans="1:5" x14ac:dyDescent="0.25">
      <c r="A139" t="s">
        <v>445</v>
      </c>
      <c r="B139" s="42" t="s">
        <v>447</v>
      </c>
      <c r="C139" t="s">
        <v>451</v>
      </c>
      <c r="D139" s="42">
        <v>43590</v>
      </c>
      <c r="E139">
        <v>29</v>
      </c>
    </row>
    <row r="140" spans="1:5" x14ac:dyDescent="0.25">
      <c r="A140" t="s">
        <v>452</v>
      </c>
      <c r="B140" t="s">
        <v>449</v>
      </c>
      <c r="C140" t="s">
        <v>114</v>
      </c>
      <c r="D140" s="42">
        <v>43591</v>
      </c>
      <c r="E140">
        <v>144</v>
      </c>
    </row>
    <row r="141" spans="1:5" x14ac:dyDescent="0.25">
      <c r="A141" t="s">
        <v>445</v>
      </c>
      <c r="B141" s="42" t="s">
        <v>446</v>
      </c>
      <c r="C141" t="s">
        <v>6</v>
      </c>
      <c r="D141" s="42">
        <v>43591</v>
      </c>
      <c r="E141">
        <v>5</v>
      </c>
    </row>
    <row r="142" spans="1:5" x14ac:dyDescent="0.25">
      <c r="A142" t="s">
        <v>445</v>
      </c>
      <c r="B142" s="42" t="s">
        <v>446</v>
      </c>
      <c r="C142" t="s">
        <v>11</v>
      </c>
      <c r="D142" s="42">
        <v>43591</v>
      </c>
      <c r="E142">
        <v>52</v>
      </c>
    </row>
    <row r="143" spans="1:5" x14ac:dyDescent="0.25">
      <c r="A143" t="s">
        <v>452</v>
      </c>
      <c r="B143" t="s">
        <v>449</v>
      </c>
      <c r="C143" t="s">
        <v>450</v>
      </c>
      <c r="D143" s="42">
        <v>43594</v>
      </c>
      <c r="E143">
        <v>29</v>
      </c>
    </row>
    <row r="144" spans="1:5" x14ac:dyDescent="0.25">
      <c r="A144" t="s">
        <v>445</v>
      </c>
      <c r="B144" s="42" t="s">
        <v>446</v>
      </c>
      <c r="C144" t="s">
        <v>6</v>
      </c>
      <c r="D144" s="42">
        <v>43594</v>
      </c>
      <c r="E144">
        <v>7</v>
      </c>
    </row>
    <row r="145" spans="1:5" x14ac:dyDescent="0.25">
      <c r="A145" t="s">
        <v>448</v>
      </c>
      <c r="B145" t="s">
        <v>449</v>
      </c>
      <c r="C145" t="s">
        <v>455</v>
      </c>
      <c r="D145" s="42">
        <v>43595</v>
      </c>
      <c r="E145">
        <v>33</v>
      </c>
    </row>
    <row r="146" spans="1:5" x14ac:dyDescent="0.25">
      <c r="A146" t="s">
        <v>445</v>
      </c>
      <c r="B146" s="42" t="s">
        <v>446</v>
      </c>
      <c r="C146" t="s">
        <v>3</v>
      </c>
      <c r="D146" s="42">
        <v>43599</v>
      </c>
      <c r="E146">
        <v>8</v>
      </c>
    </row>
    <row r="147" spans="1:5" x14ac:dyDescent="0.25">
      <c r="A147" t="s">
        <v>445</v>
      </c>
      <c r="B147" s="42" t="s">
        <v>447</v>
      </c>
      <c r="C147" t="s">
        <v>8</v>
      </c>
      <c r="D147" s="42">
        <v>43600</v>
      </c>
      <c r="E147">
        <v>16</v>
      </c>
    </row>
    <row r="148" spans="1:5" x14ac:dyDescent="0.25">
      <c r="A148" t="s">
        <v>448</v>
      </c>
      <c r="B148" t="s">
        <v>449</v>
      </c>
      <c r="C148" t="s">
        <v>450</v>
      </c>
      <c r="D148" s="42">
        <v>43601</v>
      </c>
      <c r="E148">
        <v>23</v>
      </c>
    </row>
    <row r="149" spans="1:5" x14ac:dyDescent="0.25">
      <c r="A149" t="s">
        <v>445</v>
      </c>
      <c r="B149" s="42" t="s">
        <v>447</v>
      </c>
      <c r="C149" t="s">
        <v>451</v>
      </c>
      <c r="D149" s="42">
        <v>43601</v>
      </c>
      <c r="E149">
        <v>37</v>
      </c>
    </row>
    <row r="150" spans="1:5" x14ac:dyDescent="0.25">
      <c r="A150" t="s">
        <v>445</v>
      </c>
      <c r="B150" s="42" t="s">
        <v>446</v>
      </c>
      <c r="C150" t="s">
        <v>7</v>
      </c>
      <c r="D150" s="42">
        <v>43602</v>
      </c>
      <c r="E150">
        <v>47</v>
      </c>
    </row>
    <row r="151" spans="1:5" x14ac:dyDescent="0.25">
      <c r="A151" t="s">
        <v>448</v>
      </c>
      <c r="B151" t="s">
        <v>449</v>
      </c>
      <c r="C151" t="s">
        <v>116</v>
      </c>
      <c r="D151" s="42">
        <v>43602</v>
      </c>
      <c r="E151">
        <v>89</v>
      </c>
    </row>
    <row r="152" spans="1:5" x14ac:dyDescent="0.25">
      <c r="A152" t="s">
        <v>445</v>
      </c>
      <c r="B152" s="42" t="s">
        <v>446</v>
      </c>
      <c r="C152" t="s">
        <v>3</v>
      </c>
      <c r="D152" s="42">
        <v>43602</v>
      </c>
      <c r="E152">
        <v>7</v>
      </c>
    </row>
    <row r="153" spans="1:5" x14ac:dyDescent="0.25">
      <c r="A153" t="s">
        <v>445</v>
      </c>
      <c r="B153" s="42" t="s">
        <v>446</v>
      </c>
      <c r="C153" t="s">
        <v>6</v>
      </c>
      <c r="D153" s="42">
        <v>43604</v>
      </c>
      <c r="E153">
        <v>5</v>
      </c>
    </row>
    <row r="154" spans="1:5" x14ac:dyDescent="0.25">
      <c r="A154" t="s">
        <v>445</v>
      </c>
      <c r="B154" s="42" t="s">
        <v>446</v>
      </c>
      <c r="C154" t="s">
        <v>4</v>
      </c>
      <c r="D154" s="42">
        <v>43604</v>
      </c>
      <c r="E154">
        <v>8</v>
      </c>
    </row>
    <row r="155" spans="1:5" x14ac:dyDescent="0.25">
      <c r="A155" t="s">
        <v>448</v>
      </c>
      <c r="B155" s="42" t="s">
        <v>446</v>
      </c>
      <c r="C155" t="s">
        <v>10</v>
      </c>
      <c r="D155" s="42">
        <v>43604</v>
      </c>
      <c r="E155">
        <v>105</v>
      </c>
    </row>
    <row r="156" spans="1:5" x14ac:dyDescent="0.25">
      <c r="A156" t="s">
        <v>448</v>
      </c>
      <c r="B156" t="s">
        <v>449</v>
      </c>
      <c r="C156" t="s">
        <v>453</v>
      </c>
      <c r="D156" s="42">
        <v>43604</v>
      </c>
      <c r="E156">
        <v>13</v>
      </c>
    </row>
    <row r="157" spans="1:5" x14ac:dyDescent="0.25">
      <c r="A157" t="s">
        <v>448</v>
      </c>
      <c r="B157" t="s">
        <v>449</v>
      </c>
      <c r="C157" t="s">
        <v>114</v>
      </c>
      <c r="D157" s="42">
        <v>43606</v>
      </c>
      <c r="E157">
        <v>126</v>
      </c>
    </row>
    <row r="158" spans="1:5" x14ac:dyDescent="0.25">
      <c r="A158" t="s">
        <v>448</v>
      </c>
      <c r="B158" t="s">
        <v>449</v>
      </c>
      <c r="C158" t="s">
        <v>454</v>
      </c>
      <c r="D158" s="42">
        <v>43606</v>
      </c>
      <c r="E158">
        <v>21</v>
      </c>
    </row>
    <row r="159" spans="1:5" x14ac:dyDescent="0.25">
      <c r="A159" t="s">
        <v>452</v>
      </c>
      <c r="B159" t="s">
        <v>449</v>
      </c>
      <c r="C159" t="s">
        <v>453</v>
      </c>
      <c r="D159" s="42">
        <v>43606</v>
      </c>
      <c r="E159">
        <v>16</v>
      </c>
    </row>
    <row r="160" spans="1:5" x14ac:dyDescent="0.25">
      <c r="A160" t="s">
        <v>452</v>
      </c>
      <c r="B160" t="s">
        <v>449</v>
      </c>
      <c r="C160" t="s">
        <v>118</v>
      </c>
      <c r="D160" s="42">
        <v>43607</v>
      </c>
      <c r="E160">
        <v>26</v>
      </c>
    </row>
    <row r="161" spans="1:5" x14ac:dyDescent="0.25">
      <c r="A161" t="s">
        <v>448</v>
      </c>
      <c r="B161" s="42" t="s">
        <v>447</v>
      </c>
      <c r="C161" t="s">
        <v>9</v>
      </c>
      <c r="D161" s="42">
        <v>43607</v>
      </c>
      <c r="E161">
        <v>37</v>
      </c>
    </row>
    <row r="162" spans="1:5" x14ac:dyDescent="0.25">
      <c r="A162" t="s">
        <v>445</v>
      </c>
      <c r="B162" s="42" t="s">
        <v>447</v>
      </c>
      <c r="C162" t="s">
        <v>9</v>
      </c>
      <c r="D162" s="42">
        <v>43607</v>
      </c>
      <c r="E162">
        <v>42</v>
      </c>
    </row>
    <row r="163" spans="1:5" x14ac:dyDescent="0.25">
      <c r="A163" t="s">
        <v>452</v>
      </c>
      <c r="B163" s="42" t="s">
        <v>446</v>
      </c>
      <c r="C163" t="s">
        <v>11</v>
      </c>
      <c r="D163" s="42">
        <v>43609</v>
      </c>
      <c r="E163">
        <v>42</v>
      </c>
    </row>
    <row r="164" spans="1:5" x14ac:dyDescent="0.25">
      <c r="A164" t="s">
        <v>452</v>
      </c>
      <c r="B164" t="s">
        <v>449</v>
      </c>
      <c r="C164" t="s">
        <v>454</v>
      </c>
      <c r="D164" s="42">
        <v>43609</v>
      </c>
      <c r="E164">
        <v>24</v>
      </c>
    </row>
    <row r="165" spans="1:5" x14ac:dyDescent="0.25">
      <c r="A165" t="s">
        <v>445</v>
      </c>
      <c r="B165" s="42" t="s">
        <v>447</v>
      </c>
      <c r="C165" t="s">
        <v>8</v>
      </c>
      <c r="D165" s="42">
        <v>43609</v>
      </c>
      <c r="E165">
        <v>11</v>
      </c>
    </row>
    <row r="166" spans="1:5" x14ac:dyDescent="0.25">
      <c r="A166" t="s">
        <v>445</v>
      </c>
      <c r="B166" s="42" t="s">
        <v>446</v>
      </c>
      <c r="C166" t="s">
        <v>3</v>
      </c>
      <c r="D166" s="42">
        <v>43610</v>
      </c>
      <c r="E166">
        <v>11</v>
      </c>
    </row>
    <row r="167" spans="1:5" x14ac:dyDescent="0.25">
      <c r="A167" t="s">
        <v>448</v>
      </c>
      <c r="B167" t="s">
        <v>449</v>
      </c>
      <c r="C167" t="s">
        <v>450</v>
      </c>
      <c r="D167" s="42">
        <v>43612</v>
      </c>
      <c r="E167">
        <v>22</v>
      </c>
    </row>
    <row r="168" spans="1:5" x14ac:dyDescent="0.25">
      <c r="A168" t="s">
        <v>445</v>
      </c>
      <c r="B168" s="42" t="s">
        <v>446</v>
      </c>
      <c r="C168" t="s">
        <v>4</v>
      </c>
      <c r="D168" s="42">
        <v>43612</v>
      </c>
      <c r="E168">
        <v>7</v>
      </c>
    </row>
    <row r="169" spans="1:5" x14ac:dyDescent="0.25">
      <c r="A169" t="s">
        <v>445</v>
      </c>
      <c r="B169" s="42" t="s">
        <v>446</v>
      </c>
      <c r="C169" t="s">
        <v>7</v>
      </c>
      <c r="D169" s="42">
        <v>43613</v>
      </c>
      <c r="E169">
        <v>58</v>
      </c>
    </row>
    <row r="170" spans="1:5" x14ac:dyDescent="0.25">
      <c r="A170" t="s">
        <v>452</v>
      </c>
      <c r="B170" t="s">
        <v>449</v>
      </c>
      <c r="C170" t="s">
        <v>453</v>
      </c>
      <c r="D170" s="42">
        <v>43614</v>
      </c>
      <c r="E170">
        <v>13</v>
      </c>
    </row>
    <row r="171" spans="1:5" x14ac:dyDescent="0.25">
      <c r="A171" t="s">
        <v>448</v>
      </c>
      <c r="B171" t="s">
        <v>449</v>
      </c>
      <c r="C171" t="s">
        <v>118</v>
      </c>
      <c r="D171" s="42">
        <v>43614</v>
      </c>
      <c r="E171">
        <v>26</v>
      </c>
    </row>
    <row r="172" spans="1:5" x14ac:dyDescent="0.25">
      <c r="A172" t="s">
        <v>445</v>
      </c>
      <c r="B172" s="42" t="s">
        <v>447</v>
      </c>
      <c r="C172" t="s">
        <v>9</v>
      </c>
      <c r="D172" s="42">
        <v>43614</v>
      </c>
      <c r="E172">
        <v>47</v>
      </c>
    </row>
    <row r="173" spans="1:5" x14ac:dyDescent="0.25">
      <c r="A173" t="s">
        <v>448</v>
      </c>
      <c r="B173" t="s">
        <v>449</v>
      </c>
      <c r="C173" t="s">
        <v>455</v>
      </c>
      <c r="D173" s="42">
        <v>43615</v>
      </c>
      <c r="E173">
        <v>26</v>
      </c>
    </row>
    <row r="174" spans="1:5" x14ac:dyDescent="0.25">
      <c r="A174" t="s">
        <v>445</v>
      </c>
      <c r="B174" s="42" t="s">
        <v>447</v>
      </c>
      <c r="C174" t="s">
        <v>451</v>
      </c>
      <c r="D174" s="42">
        <v>43616</v>
      </c>
      <c r="E174">
        <v>26</v>
      </c>
    </row>
    <row r="175" spans="1:5" x14ac:dyDescent="0.25">
      <c r="A175" t="s">
        <v>452</v>
      </c>
      <c r="B175" t="s">
        <v>449</v>
      </c>
      <c r="C175" t="s">
        <v>116</v>
      </c>
      <c r="D175" s="42">
        <v>43616</v>
      </c>
      <c r="E175">
        <v>100</v>
      </c>
    </row>
    <row r="176" spans="1:5" x14ac:dyDescent="0.25">
      <c r="A176" t="s">
        <v>448</v>
      </c>
      <c r="B176" s="42" t="s">
        <v>446</v>
      </c>
      <c r="C176" t="s">
        <v>11</v>
      </c>
      <c r="D176" s="42">
        <v>43616</v>
      </c>
      <c r="E176">
        <v>53</v>
      </c>
    </row>
    <row r="177" spans="1:5" x14ac:dyDescent="0.25">
      <c r="A177" t="s">
        <v>452</v>
      </c>
      <c r="B177" t="s">
        <v>449</v>
      </c>
      <c r="C177" t="s">
        <v>454</v>
      </c>
      <c r="D177" s="42">
        <v>43617</v>
      </c>
      <c r="E177">
        <v>26</v>
      </c>
    </row>
    <row r="178" spans="1:5" x14ac:dyDescent="0.25">
      <c r="A178" t="s">
        <v>452</v>
      </c>
      <c r="B178" t="s">
        <v>449</v>
      </c>
      <c r="C178" t="s">
        <v>455</v>
      </c>
      <c r="D178" s="42">
        <v>43617</v>
      </c>
      <c r="E178">
        <v>28</v>
      </c>
    </row>
    <row r="179" spans="1:5" x14ac:dyDescent="0.25">
      <c r="A179" t="s">
        <v>445</v>
      </c>
      <c r="B179" s="42" t="s">
        <v>446</v>
      </c>
      <c r="C179" t="s">
        <v>6</v>
      </c>
      <c r="D179" s="42">
        <v>43618</v>
      </c>
      <c r="E179">
        <v>4</v>
      </c>
    </row>
    <row r="180" spans="1:5" x14ac:dyDescent="0.25">
      <c r="A180" t="s">
        <v>445</v>
      </c>
      <c r="B180" s="42" t="s">
        <v>446</v>
      </c>
      <c r="C180" t="s">
        <v>10</v>
      </c>
      <c r="D180" s="42">
        <v>43619</v>
      </c>
      <c r="E180">
        <v>116</v>
      </c>
    </row>
    <row r="181" spans="1:5" x14ac:dyDescent="0.25">
      <c r="A181" t="s">
        <v>448</v>
      </c>
      <c r="B181" t="s">
        <v>449</v>
      </c>
      <c r="C181" t="s">
        <v>114</v>
      </c>
      <c r="D181" s="42">
        <v>43620</v>
      </c>
      <c r="E181">
        <v>137</v>
      </c>
    </row>
    <row r="182" spans="1:5" x14ac:dyDescent="0.25">
      <c r="A182" t="s">
        <v>448</v>
      </c>
      <c r="B182" t="s">
        <v>449</v>
      </c>
      <c r="C182" t="s">
        <v>455</v>
      </c>
      <c r="D182" s="42">
        <v>43622</v>
      </c>
      <c r="E182">
        <v>29</v>
      </c>
    </row>
    <row r="183" spans="1:5" x14ac:dyDescent="0.25">
      <c r="A183" t="s">
        <v>445</v>
      </c>
      <c r="B183" s="42" t="s">
        <v>446</v>
      </c>
      <c r="C183" t="s">
        <v>3</v>
      </c>
      <c r="D183" s="42">
        <v>43624</v>
      </c>
      <c r="E183">
        <v>8</v>
      </c>
    </row>
    <row r="184" spans="1:5" x14ac:dyDescent="0.25">
      <c r="A184" t="s">
        <v>452</v>
      </c>
      <c r="B184" t="s">
        <v>449</v>
      </c>
      <c r="C184" t="s">
        <v>450</v>
      </c>
      <c r="D184" s="42">
        <v>43625</v>
      </c>
      <c r="E184">
        <v>21</v>
      </c>
    </row>
    <row r="185" spans="1:5" x14ac:dyDescent="0.25">
      <c r="A185" t="s">
        <v>445</v>
      </c>
      <c r="B185" s="42" t="s">
        <v>447</v>
      </c>
      <c r="C185" t="s">
        <v>8</v>
      </c>
      <c r="D185" s="42">
        <v>43625</v>
      </c>
      <c r="E185">
        <v>16</v>
      </c>
    </row>
    <row r="186" spans="1:5" x14ac:dyDescent="0.25">
      <c r="A186" t="s">
        <v>445</v>
      </c>
      <c r="B186" s="42" t="s">
        <v>446</v>
      </c>
      <c r="C186" t="s">
        <v>11</v>
      </c>
      <c r="D186" s="42">
        <v>43626</v>
      </c>
      <c r="E186">
        <v>47</v>
      </c>
    </row>
    <row r="187" spans="1:5" x14ac:dyDescent="0.25">
      <c r="A187" t="s">
        <v>448</v>
      </c>
      <c r="B187" t="s">
        <v>449</v>
      </c>
      <c r="C187" t="s">
        <v>453</v>
      </c>
      <c r="D187" s="42">
        <v>43627</v>
      </c>
      <c r="E187">
        <v>14</v>
      </c>
    </row>
    <row r="188" spans="1:5" x14ac:dyDescent="0.25">
      <c r="A188" t="s">
        <v>452</v>
      </c>
      <c r="B188" s="42" t="s">
        <v>447</v>
      </c>
      <c r="C188" t="s">
        <v>9</v>
      </c>
      <c r="D188" s="42">
        <v>43627</v>
      </c>
      <c r="E188">
        <v>37</v>
      </c>
    </row>
    <row r="189" spans="1:5" x14ac:dyDescent="0.25">
      <c r="A189" t="s">
        <v>445</v>
      </c>
      <c r="B189" s="42" t="s">
        <v>447</v>
      </c>
      <c r="C189" t="s">
        <v>451</v>
      </c>
      <c r="D189" s="42">
        <v>43628</v>
      </c>
      <c r="E189">
        <v>32</v>
      </c>
    </row>
    <row r="190" spans="1:5" x14ac:dyDescent="0.25">
      <c r="A190" t="s">
        <v>445</v>
      </c>
      <c r="B190" s="42" t="s">
        <v>446</v>
      </c>
      <c r="C190" t="s">
        <v>4</v>
      </c>
      <c r="D190" s="42">
        <v>43629</v>
      </c>
      <c r="E190">
        <v>7</v>
      </c>
    </row>
    <row r="191" spans="1:5" x14ac:dyDescent="0.25">
      <c r="A191" t="s">
        <v>448</v>
      </c>
      <c r="B191" t="s">
        <v>449</v>
      </c>
      <c r="C191" t="s">
        <v>116</v>
      </c>
      <c r="D191" s="42">
        <v>43629</v>
      </c>
      <c r="E191">
        <v>95</v>
      </c>
    </row>
    <row r="192" spans="1:5" x14ac:dyDescent="0.25">
      <c r="A192" t="s">
        <v>448</v>
      </c>
      <c r="B192" t="s">
        <v>449</v>
      </c>
      <c r="C192" t="s">
        <v>454</v>
      </c>
      <c r="D192" s="42">
        <v>43629</v>
      </c>
      <c r="E192">
        <v>21</v>
      </c>
    </row>
    <row r="193" spans="1:5" x14ac:dyDescent="0.25">
      <c r="A193" t="s">
        <v>445</v>
      </c>
      <c r="B193" s="42" t="s">
        <v>446</v>
      </c>
      <c r="C193" t="s">
        <v>6</v>
      </c>
      <c r="D193" s="42">
        <v>43631</v>
      </c>
      <c r="E193">
        <v>6</v>
      </c>
    </row>
    <row r="194" spans="1:5" x14ac:dyDescent="0.25">
      <c r="A194" t="s">
        <v>445</v>
      </c>
      <c r="B194" s="42" t="s">
        <v>446</v>
      </c>
      <c r="C194" t="s">
        <v>10</v>
      </c>
      <c r="D194" s="42">
        <v>43631</v>
      </c>
      <c r="E194">
        <v>100</v>
      </c>
    </row>
    <row r="195" spans="1:5" x14ac:dyDescent="0.25">
      <c r="A195" t="s">
        <v>448</v>
      </c>
      <c r="B195" t="s">
        <v>449</v>
      </c>
      <c r="C195" t="s">
        <v>118</v>
      </c>
      <c r="D195" s="42">
        <v>43631</v>
      </c>
      <c r="E195">
        <v>32</v>
      </c>
    </row>
    <row r="196" spans="1:5" x14ac:dyDescent="0.25">
      <c r="A196" t="s">
        <v>452</v>
      </c>
      <c r="B196" t="s">
        <v>449</v>
      </c>
      <c r="C196" t="s">
        <v>114</v>
      </c>
      <c r="D196" s="42">
        <v>43632</v>
      </c>
      <c r="E196">
        <v>142</v>
      </c>
    </row>
    <row r="197" spans="1:5" x14ac:dyDescent="0.25">
      <c r="A197" t="s">
        <v>448</v>
      </c>
      <c r="B197" t="s">
        <v>449</v>
      </c>
      <c r="C197" t="s">
        <v>116</v>
      </c>
      <c r="D197" s="42">
        <v>43635</v>
      </c>
      <c r="E197">
        <v>89</v>
      </c>
    </row>
    <row r="198" spans="1:5" x14ac:dyDescent="0.25">
      <c r="A198" t="s">
        <v>445</v>
      </c>
      <c r="B198" s="42" t="s">
        <v>446</v>
      </c>
      <c r="C198" t="s">
        <v>3</v>
      </c>
      <c r="D198" s="42">
        <v>43635</v>
      </c>
      <c r="E198">
        <v>9</v>
      </c>
    </row>
    <row r="199" spans="1:5" x14ac:dyDescent="0.25">
      <c r="A199" t="s">
        <v>452</v>
      </c>
      <c r="B199" t="s">
        <v>449</v>
      </c>
      <c r="C199" t="s">
        <v>455</v>
      </c>
      <c r="D199" s="42">
        <v>43635</v>
      </c>
      <c r="E199">
        <v>28</v>
      </c>
    </row>
    <row r="200" spans="1:5" x14ac:dyDescent="0.25">
      <c r="A200" t="s">
        <v>445</v>
      </c>
      <c r="B200" s="42" t="s">
        <v>446</v>
      </c>
      <c r="C200" t="s">
        <v>6</v>
      </c>
      <c r="D200" s="42">
        <v>43637</v>
      </c>
      <c r="E200">
        <v>5</v>
      </c>
    </row>
    <row r="201" spans="1:5" x14ac:dyDescent="0.25">
      <c r="A201" t="s">
        <v>445</v>
      </c>
      <c r="B201" s="42" t="s">
        <v>446</v>
      </c>
      <c r="C201" t="s">
        <v>11</v>
      </c>
      <c r="D201" s="42">
        <v>43637</v>
      </c>
      <c r="E201">
        <v>53</v>
      </c>
    </row>
    <row r="202" spans="1:5" x14ac:dyDescent="0.25">
      <c r="A202" t="s">
        <v>445</v>
      </c>
      <c r="B202" s="42" t="s">
        <v>446</v>
      </c>
      <c r="C202" t="s">
        <v>7</v>
      </c>
      <c r="D202" s="42">
        <v>43638</v>
      </c>
      <c r="E202">
        <v>53</v>
      </c>
    </row>
    <row r="203" spans="1:5" x14ac:dyDescent="0.25">
      <c r="A203" t="s">
        <v>452</v>
      </c>
      <c r="B203" s="42" t="s">
        <v>446</v>
      </c>
      <c r="C203" t="s">
        <v>10</v>
      </c>
      <c r="D203" s="42">
        <v>43639</v>
      </c>
      <c r="E203">
        <v>131</v>
      </c>
    </row>
    <row r="204" spans="1:5" x14ac:dyDescent="0.25">
      <c r="A204" t="s">
        <v>448</v>
      </c>
      <c r="B204" t="s">
        <v>449</v>
      </c>
      <c r="C204" t="s">
        <v>453</v>
      </c>
      <c r="D204" s="42">
        <v>43639</v>
      </c>
      <c r="E204">
        <v>16</v>
      </c>
    </row>
    <row r="205" spans="1:5" x14ac:dyDescent="0.25">
      <c r="A205" t="s">
        <v>448</v>
      </c>
      <c r="B205" s="42" t="s">
        <v>447</v>
      </c>
      <c r="C205" t="s">
        <v>9</v>
      </c>
      <c r="D205" s="42">
        <v>43639</v>
      </c>
      <c r="E205">
        <v>47</v>
      </c>
    </row>
    <row r="206" spans="1:5" x14ac:dyDescent="0.25">
      <c r="A206" t="s">
        <v>445</v>
      </c>
      <c r="B206" s="42" t="s">
        <v>447</v>
      </c>
      <c r="C206" t="s">
        <v>8</v>
      </c>
      <c r="D206" s="42">
        <v>43639</v>
      </c>
      <c r="E206">
        <v>11</v>
      </c>
    </row>
    <row r="207" spans="1:5" x14ac:dyDescent="0.25">
      <c r="A207" t="s">
        <v>452</v>
      </c>
      <c r="B207" t="s">
        <v>449</v>
      </c>
      <c r="C207" t="s">
        <v>116</v>
      </c>
      <c r="D207" s="42">
        <v>43641</v>
      </c>
      <c r="E207">
        <v>100</v>
      </c>
    </row>
    <row r="208" spans="1:5" x14ac:dyDescent="0.25">
      <c r="A208" t="s">
        <v>448</v>
      </c>
      <c r="B208" t="s">
        <v>449</v>
      </c>
      <c r="C208" t="s">
        <v>454</v>
      </c>
      <c r="D208" s="42">
        <v>43641</v>
      </c>
      <c r="E208">
        <v>20</v>
      </c>
    </row>
    <row r="209" spans="1:5" x14ac:dyDescent="0.25">
      <c r="A209" t="s">
        <v>445</v>
      </c>
      <c r="B209" s="42" t="s">
        <v>447</v>
      </c>
      <c r="C209" t="s">
        <v>451</v>
      </c>
      <c r="D209" s="42">
        <v>43642</v>
      </c>
      <c r="E209">
        <v>26</v>
      </c>
    </row>
    <row r="210" spans="1:5" x14ac:dyDescent="0.25">
      <c r="A210" t="s">
        <v>448</v>
      </c>
      <c r="B210" t="s">
        <v>449</v>
      </c>
      <c r="C210" t="s">
        <v>114</v>
      </c>
      <c r="D210" s="42">
        <v>43643</v>
      </c>
      <c r="E210">
        <v>131</v>
      </c>
    </row>
    <row r="211" spans="1:5" x14ac:dyDescent="0.25">
      <c r="A211" t="s">
        <v>445</v>
      </c>
      <c r="B211" s="42" t="s">
        <v>446</v>
      </c>
      <c r="C211" t="s">
        <v>6</v>
      </c>
      <c r="D211" s="42">
        <v>43643</v>
      </c>
      <c r="E211">
        <v>4</v>
      </c>
    </row>
    <row r="212" spans="1:5" x14ac:dyDescent="0.25">
      <c r="A212" t="s">
        <v>448</v>
      </c>
      <c r="B212" s="42" t="s">
        <v>446</v>
      </c>
      <c r="C212" t="s">
        <v>11</v>
      </c>
      <c r="D212" s="42">
        <v>43643</v>
      </c>
      <c r="E212">
        <v>47</v>
      </c>
    </row>
    <row r="213" spans="1:5" x14ac:dyDescent="0.25">
      <c r="A213" t="s">
        <v>448</v>
      </c>
      <c r="B213" t="s">
        <v>449</v>
      </c>
      <c r="C213" t="s">
        <v>450</v>
      </c>
      <c r="D213" s="42">
        <v>43646</v>
      </c>
      <c r="E213">
        <v>26</v>
      </c>
    </row>
    <row r="214" spans="1:5" x14ac:dyDescent="0.25">
      <c r="A214" t="s">
        <v>445</v>
      </c>
      <c r="B214" s="42" t="s">
        <v>446</v>
      </c>
      <c r="C214" t="s">
        <v>6</v>
      </c>
      <c r="D214" s="42">
        <v>43646</v>
      </c>
      <c r="E214">
        <v>6</v>
      </c>
    </row>
    <row r="215" spans="1:5" x14ac:dyDescent="0.25">
      <c r="A215" t="s">
        <v>448</v>
      </c>
      <c r="B215" s="42" t="s">
        <v>446</v>
      </c>
      <c r="C215" t="s">
        <v>456</v>
      </c>
      <c r="D215" s="42">
        <v>43643</v>
      </c>
      <c r="E215">
        <v>47</v>
      </c>
    </row>
    <row r="216" spans="1:5" x14ac:dyDescent="0.25">
      <c r="A216" t="s">
        <v>753</v>
      </c>
      <c r="B216" s="42" t="s">
        <v>446</v>
      </c>
      <c r="C216" t="s">
        <v>456</v>
      </c>
      <c r="D216" s="42">
        <v>43643</v>
      </c>
      <c r="E216">
        <v>100</v>
      </c>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214"/>
  <sheetViews>
    <sheetView zoomScaleNormal="100" workbookViewId="0">
      <selection activeCell="H3" sqref="H3"/>
    </sheetView>
  </sheetViews>
  <sheetFormatPr defaultRowHeight="15" x14ac:dyDescent="0.25"/>
  <cols>
    <col min="1" max="1" width="17.42578125" customWidth="1"/>
    <col min="2" max="2" width="23.85546875" customWidth="1"/>
    <col min="3" max="3" width="13.5703125" customWidth="1"/>
    <col min="4" max="4" width="12.42578125" customWidth="1"/>
    <col min="7" max="7" width="13.140625" bestFit="1" customWidth="1"/>
    <col min="8" max="8" width="9.42578125" bestFit="1" customWidth="1"/>
    <col min="9" max="10" width="11.85546875" bestFit="1" customWidth="1"/>
    <col min="11" max="11" width="13.5703125" customWidth="1"/>
    <col min="12" max="12" width="10.42578125" customWidth="1"/>
    <col min="13" max="13" width="13.42578125" bestFit="1" customWidth="1"/>
    <col min="14" max="14" width="10.85546875" bestFit="1" customWidth="1"/>
    <col min="15" max="15" width="14" bestFit="1" customWidth="1"/>
    <col min="16" max="16" width="10.42578125" bestFit="1" customWidth="1"/>
    <col min="17" max="17" width="13.5703125" bestFit="1" customWidth="1"/>
    <col min="18" max="18" width="12" bestFit="1" customWidth="1"/>
    <col min="19" max="19" width="15.140625" bestFit="1" customWidth="1"/>
    <col min="20" max="20" width="9" customWidth="1"/>
    <col min="21" max="21" width="10.42578125" bestFit="1" customWidth="1"/>
    <col min="22" max="22" width="8.42578125" customWidth="1"/>
    <col min="23" max="23" width="11.42578125" bestFit="1" customWidth="1"/>
    <col min="24" max="24" width="10.85546875" bestFit="1" customWidth="1"/>
    <col min="25" max="25" width="14" bestFit="1" customWidth="1"/>
    <col min="26" max="26" width="10.42578125" bestFit="1" customWidth="1"/>
    <col min="27" max="27" width="13.5703125" bestFit="1" customWidth="1"/>
    <col min="28" max="28" width="11.42578125" bestFit="1" customWidth="1"/>
  </cols>
  <sheetData>
    <row r="1" spans="1:13" ht="23.25" x14ac:dyDescent="0.35">
      <c r="A1" s="257" t="s">
        <v>767</v>
      </c>
      <c r="B1" s="1" t="s">
        <v>441</v>
      </c>
      <c r="C1" s="1"/>
      <c r="D1" s="1"/>
      <c r="E1" s="1"/>
      <c r="F1" s="1"/>
      <c r="G1" s="1"/>
    </row>
    <row r="2" spans="1:13" x14ac:dyDescent="0.25">
      <c r="G2" s="356" t="s">
        <v>444</v>
      </c>
      <c r="H2" t="s">
        <v>1228</v>
      </c>
    </row>
    <row r="3" spans="1:13" x14ac:dyDescent="0.25">
      <c r="B3" t="s">
        <v>754</v>
      </c>
      <c r="G3" s="356" t="s">
        <v>36</v>
      </c>
      <c r="H3" t="s">
        <v>1228</v>
      </c>
    </row>
    <row r="5" spans="1:13" x14ac:dyDescent="0.25">
      <c r="A5" s="48" t="s">
        <v>443</v>
      </c>
      <c r="B5" s="48" t="s">
        <v>444</v>
      </c>
      <c r="C5" s="48" t="s">
        <v>35</v>
      </c>
      <c r="D5" s="48" t="s">
        <v>36</v>
      </c>
      <c r="E5" s="48" t="s">
        <v>411</v>
      </c>
      <c r="G5" s="356" t="s">
        <v>443</v>
      </c>
      <c r="H5" s="356" t="s">
        <v>35</v>
      </c>
      <c r="I5" t="s">
        <v>1227</v>
      </c>
      <c r="M5" t="s">
        <v>1233</v>
      </c>
    </row>
    <row r="6" spans="1:13" x14ac:dyDescent="0.25">
      <c r="A6" t="s">
        <v>445</v>
      </c>
      <c r="B6" s="42" t="s">
        <v>446</v>
      </c>
      <c r="C6" t="s">
        <v>3</v>
      </c>
      <c r="D6" s="42">
        <v>43498</v>
      </c>
      <c r="E6">
        <v>8</v>
      </c>
      <c r="G6" t="s">
        <v>445</v>
      </c>
      <c r="H6" t="s">
        <v>7</v>
      </c>
      <c r="I6">
        <v>481</v>
      </c>
      <c r="M6" t="s">
        <v>1232</v>
      </c>
    </row>
    <row r="7" spans="1:13" x14ac:dyDescent="0.25">
      <c r="A7" t="s">
        <v>445</v>
      </c>
      <c r="B7" s="42" t="s">
        <v>447</v>
      </c>
      <c r="C7" t="s">
        <v>8</v>
      </c>
      <c r="D7" s="42">
        <v>43499</v>
      </c>
      <c r="E7">
        <v>15</v>
      </c>
      <c r="H7" t="s">
        <v>6</v>
      </c>
      <c r="I7">
        <v>96</v>
      </c>
    </row>
    <row r="8" spans="1:13" x14ac:dyDescent="0.25">
      <c r="A8" t="s">
        <v>448</v>
      </c>
      <c r="B8" s="42" t="s">
        <v>449</v>
      </c>
      <c r="C8" t="s">
        <v>450</v>
      </c>
      <c r="D8" s="42">
        <v>43500</v>
      </c>
      <c r="E8">
        <v>22</v>
      </c>
      <c r="H8" t="s">
        <v>4</v>
      </c>
      <c r="I8">
        <v>69</v>
      </c>
    </row>
    <row r="9" spans="1:13" x14ac:dyDescent="0.25">
      <c r="A9" t="s">
        <v>445</v>
      </c>
      <c r="B9" s="42" t="s">
        <v>447</v>
      </c>
      <c r="C9" t="s">
        <v>451</v>
      </c>
      <c r="D9" s="42">
        <v>43500</v>
      </c>
      <c r="E9">
        <v>35</v>
      </c>
      <c r="H9" t="s">
        <v>10</v>
      </c>
      <c r="I9">
        <v>657</v>
      </c>
      <c r="K9" s="88"/>
      <c r="L9" s="88"/>
    </row>
    <row r="10" spans="1:13" x14ac:dyDescent="0.25">
      <c r="A10" t="s">
        <v>445</v>
      </c>
      <c r="B10" s="42" t="s">
        <v>446</v>
      </c>
      <c r="C10" t="s">
        <v>7</v>
      </c>
      <c r="D10" s="42">
        <v>43501</v>
      </c>
      <c r="E10">
        <v>45</v>
      </c>
      <c r="H10" t="s">
        <v>3</v>
      </c>
      <c r="I10">
        <v>133</v>
      </c>
      <c r="K10" s="88"/>
      <c r="L10" s="88"/>
    </row>
    <row r="11" spans="1:13" x14ac:dyDescent="0.25">
      <c r="A11" t="s">
        <v>452</v>
      </c>
      <c r="B11" s="42" t="s">
        <v>449</v>
      </c>
      <c r="C11" t="s">
        <v>116</v>
      </c>
      <c r="D11" s="42">
        <v>43501</v>
      </c>
      <c r="E11">
        <v>85</v>
      </c>
      <c r="H11" t="s">
        <v>11</v>
      </c>
      <c r="I11">
        <v>301</v>
      </c>
      <c r="K11" s="88"/>
      <c r="L11" s="88"/>
    </row>
    <row r="12" spans="1:13" x14ac:dyDescent="0.25">
      <c r="A12" t="s">
        <v>445</v>
      </c>
      <c r="B12" s="42" t="s">
        <v>446</v>
      </c>
      <c r="C12" t="s">
        <v>3</v>
      </c>
      <c r="D12" s="42">
        <v>43501</v>
      </c>
      <c r="E12">
        <v>7</v>
      </c>
      <c r="H12" t="s">
        <v>9</v>
      </c>
      <c r="I12">
        <v>174</v>
      </c>
      <c r="K12" s="88"/>
      <c r="L12" s="88"/>
    </row>
    <row r="13" spans="1:13" x14ac:dyDescent="0.25">
      <c r="A13" t="s">
        <v>445</v>
      </c>
      <c r="B13" s="42" t="s">
        <v>446</v>
      </c>
      <c r="C13" t="s">
        <v>6</v>
      </c>
      <c r="D13" s="42">
        <v>43503</v>
      </c>
      <c r="E13">
        <v>5</v>
      </c>
      <c r="H13" t="s">
        <v>8</v>
      </c>
      <c r="I13">
        <v>162</v>
      </c>
    </row>
    <row r="14" spans="1:13" x14ac:dyDescent="0.25">
      <c r="A14" t="s">
        <v>445</v>
      </c>
      <c r="B14" s="42" t="s">
        <v>446</v>
      </c>
      <c r="C14" t="s">
        <v>4</v>
      </c>
      <c r="D14" s="42">
        <v>43503</v>
      </c>
      <c r="E14">
        <v>8</v>
      </c>
      <c r="H14" t="s">
        <v>451</v>
      </c>
      <c r="I14">
        <v>369</v>
      </c>
    </row>
    <row r="15" spans="1:13" x14ac:dyDescent="0.25">
      <c r="A15" t="s">
        <v>448</v>
      </c>
      <c r="B15" s="42" t="s">
        <v>446</v>
      </c>
      <c r="C15" t="s">
        <v>10</v>
      </c>
      <c r="D15" s="42">
        <v>43503</v>
      </c>
      <c r="E15">
        <v>100</v>
      </c>
      <c r="G15" t="s">
        <v>1229</v>
      </c>
      <c r="I15">
        <v>2442</v>
      </c>
    </row>
    <row r="16" spans="1:13" x14ac:dyDescent="0.25">
      <c r="A16" t="s">
        <v>452</v>
      </c>
      <c r="B16" s="42" t="s">
        <v>449</v>
      </c>
      <c r="C16" t="s">
        <v>453</v>
      </c>
      <c r="D16" s="42">
        <v>43503</v>
      </c>
      <c r="E16">
        <v>12</v>
      </c>
      <c r="G16" t="s">
        <v>452</v>
      </c>
      <c r="H16" t="s">
        <v>450</v>
      </c>
      <c r="I16">
        <v>96</v>
      </c>
    </row>
    <row r="17" spans="1:9" x14ac:dyDescent="0.25">
      <c r="A17" t="s">
        <v>448</v>
      </c>
      <c r="B17" s="42" t="s">
        <v>449</v>
      </c>
      <c r="C17" t="s">
        <v>114</v>
      </c>
      <c r="D17" s="42">
        <v>43505</v>
      </c>
      <c r="E17">
        <v>120</v>
      </c>
      <c r="H17" t="s">
        <v>114</v>
      </c>
      <c r="I17">
        <v>554</v>
      </c>
    </row>
    <row r="18" spans="1:9" x14ac:dyDescent="0.25">
      <c r="A18" t="s">
        <v>452</v>
      </c>
      <c r="B18" s="42" t="s">
        <v>449</v>
      </c>
      <c r="C18" t="s">
        <v>454</v>
      </c>
      <c r="D18" s="42">
        <v>43505</v>
      </c>
      <c r="E18">
        <v>20</v>
      </c>
      <c r="H18" t="s">
        <v>118</v>
      </c>
      <c r="I18">
        <v>80</v>
      </c>
    </row>
    <row r="19" spans="1:9" x14ac:dyDescent="0.25">
      <c r="A19" t="s">
        <v>452</v>
      </c>
      <c r="B19" s="42" t="s">
        <v>449</v>
      </c>
      <c r="C19" t="s">
        <v>453</v>
      </c>
      <c r="D19" s="42">
        <v>43505</v>
      </c>
      <c r="E19">
        <v>15</v>
      </c>
      <c r="H19" t="s">
        <v>116</v>
      </c>
      <c r="I19">
        <v>577</v>
      </c>
    </row>
    <row r="20" spans="1:9" x14ac:dyDescent="0.25">
      <c r="A20" t="s">
        <v>452</v>
      </c>
      <c r="B20" s="42" t="s">
        <v>449</v>
      </c>
      <c r="C20" t="s">
        <v>118</v>
      </c>
      <c r="D20" s="42">
        <v>43506</v>
      </c>
      <c r="E20">
        <v>25</v>
      </c>
      <c r="H20" t="s">
        <v>10</v>
      </c>
      <c r="I20">
        <v>400</v>
      </c>
    </row>
    <row r="21" spans="1:9" x14ac:dyDescent="0.25">
      <c r="A21" t="s">
        <v>448</v>
      </c>
      <c r="B21" s="42" t="s">
        <v>447</v>
      </c>
      <c r="C21" t="s">
        <v>9</v>
      </c>
      <c r="D21" s="42">
        <v>43506</v>
      </c>
      <c r="E21">
        <v>35</v>
      </c>
      <c r="H21" t="s">
        <v>11</v>
      </c>
      <c r="I21">
        <v>145</v>
      </c>
    </row>
    <row r="22" spans="1:9" x14ac:dyDescent="0.25">
      <c r="A22" t="s">
        <v>448</v>
      </c>
      <c r="B22" s="42" t="s">
        <v>447</v>
      </c>
      <c r="C22" t="s">
        <v>9</v>
      </c>
      <c r="D22" s="42">
        <v>43506</v>
      </c>
      <c r="E22">
        <v>40</v>
      </c>
      <c r="H22" t="s">
        <v>454</v>
      </c>
      <c r="I22">
        <v>180</v>
      </c>
    </row>
    <row r="23" spans="1:9" x14ac:dyDescent="0.25">
      <c r="A23" t="s">
        <v>448</v>
      </c>
      <c r="B23" s="42" t="s">
        <v>446</v>
      </c>
      <c r="C23" t="s">
        <v>11</v>
      </c>
      <c r="D23" s="42">
        <v>43508</v>
      </c>
      <c r="E23">
        <v>40</v>
      </c>
      <c r="H23" t="s">
        <v>453</v>
      </c>
      <c r="I23">
        <v>117</v>
      </c>
    </row>
    <row r="24" spans="1:9" x14ac:dyDescent="0.25">
      <c r="A24" t="s">
        <v>452</v>
      </c>
      <c r="B24" s="42" t="s">
        <v>449</v>
      </c>
      <c r="C24" t="s">
        <v>454</v>
      </c>
      <c r="D24" s="42">
        <v>43508</v>
      </c>
      <c r="E24">
        <v>23</v>
      </c>
      <c r="H24" t="s">
        <v>9</v>
      </c>
      <c r="I24">
        <v>180</v>
      </c>
    </row>
    <row r="25" spans="1:9" x14ac:dyDescent="0.25">
      <c r="A25" t="s">
        <v>445</v>
      </c>
      <c r="B25" s="42" t="s">
        <v>447</v>
      </c>
      <c r="C25" t="s">
        <v>8</v>
      </c>
      <c r="D25" s="42">
        <v>43508</v>
      </c>
      <c r="E25">
        <v>10</v>
      </c>
      <c r="H25" t="s">
        <v>455</v>
      </c>
      <c r="I25">
        <v>172</v>
      </c>
    </row>
    <row r="26" spans="1:9" x14ac:dyDescent="0.25">
      <c r="A26" t="s">
        <v>445</v>
      </c>
      <c r="B26" s="42" t="s">
        <v>446</v>
      </c>
      <c r="C26" t="s">
        <v>3</v>
      </c>
      <c r="D26" s="42">
        <v>43509</v>
      </c>
      <c r="E26">
        <v>10</v>
      </c>
      <c r="G26" t="s">
        <v>1230</v>
      </c>
      <c r="I26">
        <v>2501</v>
      </c>
    </row>
    <row r="27" spans="1:9" x14ac:dyDescent="0.25">
      <c r="A27" t="s">
        <v>452</v>
      </c>
      <c r="B27" s="42" t="s">
        <v>449</v>
      </c>
      <c r="C27" t="s">
        <v>450</v>
      </c>
      <c r="D27" s="42">
        <v>43511</v>
      </c>
      <c r="E27">
        <v>21</v>
      </c>
      <c r="G27" t="s">
        <v>448</v>
      </c>
      <c r="H27" t="s">
        <v>450</v>
      </c>
      <c r="I27">
        <v>185</v>
      </c>
    </row>
    <row r="28" spans="1:9" x14ac:dyDescent="0.25">
      <c r="A28" t="s">
        <v>445</v>
      </c>
      <c r="B28" s="42" t="s">
        <v>446</v>
      </c>
      <c r="C28" t="s">
        <v>4</v>
      </c>
      <c r="D28" s="42">
        <v>43511</v>
      </c>
      <c r="E28">
        <v>7</v>
      </c>
      <c r="H28" t="s">
        <v>114</v>
      </c>
      <c r="I28">
        <v>1079</v>
      </c>
    </row>
    <row r="29" spans="1:9" x14ac:dyDescent="0.25">
      <c r="A29" t="s">
        <v>445</v>
      </c>
      <c r="B29" s="42" t="s">
        <v>446</v>
      </c>
      <c r="C29" t="s">
        <v>7</v>
      </c>
      <c r="D29" s="42">
        <v>43512</v>
      </c>
      <c r="E29">
        <v>55</v>
      </c>
      <c r="H29" t="s">
        <v>118</v>
      </c>
      <c r="I29">
        <v>177</v>
      </c>
    </row>
    <row r="30" spans="1:9" x14ac:dyDescent="0.25">
      <c r="A30" t="s">
        <v>448</v>
      </c>
      <c r="B30" s="42" t="s">
        <v>449</v>
      </c>
      <c r="C30" t="s">
        <v>453</v>
      </c>
      <c r="D30" s="42">
        <v>43513</v>
      </c>
      <c r="E30">
        <v>12</v>
      </c>
      <c r="H30" t="s">
        <v>116</v>
      </c>
      <c r="I30">
        <v>864</v>
      </c>
    </row>
    <row r="31" spans="1:9" x14ac:dyDescent="0.25">
      <c r="A31" t="s">
        <v>448</v>
      </c>
      <c r="B31" s="42" t="s">
        <v>449</v>
      </c>
      <c r="C31" t="s">
        <v>118</v>
      </c>
      <c r="D31" s="42">
        <v>43513</v>
      </c>
      <c r="E31">
        <v>25</v>
      </c>
      <c r="H31" t="s">
        <v>10</v>
      </c>
      <c r="I31">
        <v>320</v>
      </c>
    </row>
    <row r="32" spans="1:9" x14ac:dyDescent="0.25">
      <c r="A32" t="s">
        <v>452</v>
      </c>
      <c r="B32" s="42" t="s">
        <v>447</v>
      </c>
      <c r="C32" t="s">
        <v>9</v>
      </c>
      <c r="D32" s="42">
        <v>43513</v>
      </c>
      <c r="E32">
        <v>45</v>
      </c>
      <c r="H32" t="s">
        <v>11</v>
      </c>
      <c r="I32">
        <v>292</v>
      </c>
    </row>
    <row r="33" spans="1:9" x14ac:dyDescent="0.25">
      <c r="A33" t="s">
        <v>448</v>
      </c>
      <c r="B33" t="s">
        <v>449</v>
      </c>
      <c r="C33" t="s">
        <v>455</v>
      </c>
      <c r="D33" s="42">
        <v>43514</v>
      </c>
      <c r="E33">
        <v>25</v>
      </c>
      <c r="H33" t="s">
        <v>454</v>
      </c>
      <c r="I33">
        <v>162</v>
      </c>
    </row>
    <row r="34" spans="1:9" x14ac:dyDescent="0.25">
      <c r="A34" t="s">
        <v>445</v>
      </c>
      <c r="B34" s="42" t="s">
        <v>447</v>
      </c>
      <c r="C34" t="s">
        <v>451</v>
      </c>
      <c r="D34" s="42">
        <v>43515</v>
      </c>
      <c r="E34">
        <v>25</v>
      </c>
      <c r="H34" t="s">
        <v>453</v>
      </c>
      <c r="I34">
        <v>99</v>
      </c>
    </row>
    <row r="35" spans="1:9" x14ac:dyDescent="0.25">
      <c r="A35" t="s">
        <v>448</v>
      </c>
      <c r="B35" t="s">
        <v>449</v>
      </c>
      <c r="C35" t="s">
        <v>116</v>
      </c>
      <c r="D35" s="42">
        <v>43515</v>
      </c>
      <c r="E35">
        <v>95</v>
      </c>
      <c r="H35" t="s">
        <v>9</v>
      </c>
      <c r="I35">
        <v>286</v>
      </c>
    </row>
    <row r="36" spans="1:9" x14ac:dyDescent="0.25">
      <c r="A36" t="s">
        <v>448</v>
      </c>
      <c r="B36" s="42" t="s">
        <v>446</v>
      </c>
      <c r="C36" t="s">
        <v>11</v>
      </c>
      <c r="D36" s="42">
        <v>43515</v>
      </c>
      <c r="E36">
        <v>50</v>
      </c>
      <c r="H36" t="s">
        <v>455</v>
      </c>
      <c r="I36">
        <v>231</v>
      </c>
    </row>
    <row r="37" spans="1:9" x14ac:dyDescent="0.25">
      <c r="A37" t="s">
        <v>448</v>
      </c>
      <c r="B37" t="s">
        <v>449</v>
      </c>
      <c r="C37" t="s">
        <v>454</v>
      </c>
      <c r="D37" s="42">
        <v>43516</v>
      </c>
      <c r="E37">
        <v>25</v>
      </c>
      <c r="G37" t="s">
        <v>1231</v>
      </c>
      <c r="I37">
        <v>3695</v>
      </c>
    </row>
    <row r="38" spans="1:9" x14ac:dyDescent="0.25">
      <c r="A38" t="s">
        <v>452</v>
      </c>
      <c r="B38" t="s">
        <v>449</v>
      </c>
      <c r="C38" t="s">
        <v>455</v>
      </c>
      <c r="D38" s="42">
        <v>43516</v>
      </c>
      <c r="E38">
        <v>27</v>
      </c>
      <c r="G38" t="s">
        <v>1017</v>
      </c>
      <c r="I38">
        <v>8638</v>
      </c>
    </row>
    <row r="39" spans="1:9" x14ac:dyDescent="0.25">
      <c r="A39" t="s">
        <v>445</v>
      </c>
      <c r="B39" s="42" t="s">
        <v>446</v>
      </c>
      <c r="C39" t="s">
        <v>6</v>
      </c>
      <c r="D39" s="42">
        <v>43517</v>
      </c>
      <c r="E39">
        <v>4</v>
      </c>
    </row>
    <row r="40" spans="1:9" x14ac:dyDescent="0.25">
      <c r="A40" t="s">
        <v>445</v>
      </c>
      <c r="B40" s="42" t="s">
        <v>446</v>
      </c>
      <c r="C40" t="s">
        <v>10</v>
      </c>
      <c r="D40" s="42">
        <v>43518</v>
      </c>
      <c r="E40">
        <v>110</v>
      </c>
    </row>
    <row r="41" spans="1:9" x14ac:dyDescent="0.25">
      <c r="A41" t="s">
        <v>452</v>
      </c>
      <c r="B41" t="s">
        <v>449</v>
      </c>
      <c r="C41" t="s">
        <v>114</v>
      </c>
      <c r="D41" s="42">
        <v>43519</v>
      </c>
      <c r="E41">
        <v>130</v>
      </c>
    </row>
    <row r="42" spans="1:9" x14ac:dyDescent="0.25">
      <c r="A42" t="s">
        <v>448</v>
      </c>
      <c r="B42" t="s">
        <v>449</v>
      </c>
      <c r="C42" t="s">
        <v>455</v>
      </c>
      <c r="D42" s="42">
        <v>43521</v>
      </c>
      <c r="E42">
        <v>28</v>
      </c>
    </row>
    <row r="43" spans="1:9" x14ac:dyDescent="0.25">
      <c r="A43" t="s">
        <v>445</v>
      </c>
      <c r="B43" s="42" t="s">
        <v>446</v>
      </c>
      <c r="C43" t="s">
        <v>3</v>
      </c>
      <c r="D43" s="42">
        <v>43523</v>
      </c>
      <c r="E43">
        <v>8</v>
      </c>
    </row>
    <row r="44" spans="1:9" x14ac:dyDescent="0.25">
      <c r="A44" t="s">
        <v>448</v>
      </c>
      <c r="B44" t="s">
        <v>449</v>
      </c>
      <c r="C44" t="s">
        <v>450</v>
      </c>
      <c r="D44" s="42">
        <v>43524</v>
      </c>
      <c r="E44">
        <v>20</v>
      </c>
    </row>
    <row r="45" spans="1:9" x14ac:dyDescent="0.25">
      <c r="A45" t="s">
        <v>445</v>
      </c>
      <c r="B45" s="42" t="s">
        <v>447</v>
      </c>
      <c r="C45" t="s">
        <v>8</v>
      </c>
      <c r="D45" s="42">
        <v>43524</v>
      </c>
      <c r="E45">
        <v>15</v>
      </c>
    </row>
    <row r="46" spans="1:9" x14ac:dyDescent="0.25">
      <c r="A46" t="s">
        <v>452</v>
      </c>
      <c r="B46" s="42" t="s">
        <v>446</v>
      </c>
      <c r="C46" t="s">
        <v>11</v>
      </c>
      <c r="D46" s="42">
        <v>43525</v>
      </c>
      <c r="E46">
        <v>45</v>
      </c>
    </row>
    <row r="47" spans="1:9" x14ac:dyDescent="0.25">
      <c r="A47" t="s">
        <v>448</v>
      </c>
      <c r="B47" t="s">
        <v>449</v>
      </c>
      <c r="C47" t="s">
        <v>453</v>
      </c>
      <c r="D47" s="42">
        <v>43526</v>
      </c>
      <c r="E47">
        <v>13</v>
      </c>
    </row>
    <row r="48" spans="1:9" x14ac:dyDescent="0.25">
      <c r="A48" t="s">
        <v>448</v>
      </c>
      <c r="B48" s="42" t="s">
        <v>447</v>
      </c>
      <c r="C48" t="s">
        <v>9</v>
      </c>
      <c r="D48" s="42">
        <v>43526</v>
      </c>
      <c r="E48">
        <v>35</v>
      </c>
    </row>
    <row r="49" spans="1:5" x14ac:dyDescent="0.25">
      <c r="A49" t="s">
        <v>445</v>
      </c>
      <c r="B49" s="42" t="s">
        <v>447</v>
      </c>
      <c r="C49" t="s">
        <v>451</v>
      </c>
      <c r="D49" s="42">
        <v>43527</v>
      </c>
      <c r="E49">
        <v>30</v>
      </c>
    </row>
    <row r="50" spans="1:5" x14ac:dyDescent="0.25">
      <c r="A50" t="s">
        <v>445</v>
      </c>
      <c r="B50" s="42" t="s">
        <v>446</v>
      </c>
      <c r="C50" t="s">
        <v>4</v>
      </c>
      <c r="D50" s="42">
        <v>43528</v>
      </c>
      <c r="E50">
        <v>7</v>
      </c>
    </row>
    <row r="51" spans="1:5" x14ac:dyDescent="0.25">
      <c r="A51" t="s">
        <v>448</v>
      </c>
      <c r="B51" t="s">
        <v>449</v>
      </c>
      <c r="C51" t="s">
        <v>116</v>
      </c>
      <c r="D51" s="42">
        <v>43528</v>
      </c>
      <c r="E51">
        <v>90</v>
      </c>
    </row>
    <row r="52" spans="1:5" x14ac:dyDescent="0.25">
      <c r="A52" t="s">
        <v>448</v>
      </c>
      <c r="B52" t="s">
        <v>449</v>
      </c>
      <c r="C52" t="s">
        <v>454</v>
      </c>
      <c r="D52" s="42">
        <v>43528</v>
      </c>
      <c r="E52">
        <v>20</v>
      </c>
    </row>
    <row r="53" spans="1:5" x14ac:dyDescent="0.25">
      <c r="A53" t="s">
        <v>445</v>
      </c>
      <c r="B53" s="42" t="s">
        <v>446</v>
      </c>
      <c r="C53" t="s">
        <v>6</v>
      </c>
      <c r="D53" s="42">
        <v>43530</v>
      </c>
      <c r="E53">
        <v>6</v>
      </c>
    </row>
    <row r="54" spans="1:5" x14ac:dyDescent="0.25">
      <c r="A54" t="s">
        <v>445</v>
      </c>
      <c r="B54" s="42" t="s">
        <v>446</v>
      </c>
      <c r="C54" t="s">
        <v>10</v>
      </c>
      <c r="D54" s="42">
        <v>43530</v>
      </c>
      <c r="E54">
        <v>95</v>
      </c>
    </row>
    <row r="55" spans="1:5" x14ac:dyDescent="0.25">
      <c r="A55" t="s">
        <v>448</v>
      </c>
      <c r="B55" t="s">
        <v>449</v>
      </c>
      <c r="C55" t="s">
        <v>118</v>
      </c>
      <c r="D55" s="42">
        <v>43530</v>
      </c>
      <c r="E55">
        <v>30</v>
      </c>
    </row>
    <row r="56" spans="1:5" x14ac:dyDescent="0.25">
      <c r="A56" t="s">
        <v>448</v>
      </c>
      <c r="B56" t="s">
        <v>449</v>
      </c>
      <c r="C56" t="s">
        <v>114</v>
      </c>
      <c r="D56" s="42">
        <v>43531</v>
      </c>
      <c r="E56">
        <v>135</v>
      </c>
    </row>
    <row r="57" spans="1:5" x14ac:dyDescent="0.25">
      <c r="A57" t="s">
        <v>452</v>
      </c>
      <c r="B57" t="s">
        <v>449</v>
      </c>
      <c r="C57" t="s">
        <v>116</v>
      </c>
      <c r="D57" s="42">
        <v>43534</v>
      </c>
      <c r="E57">
        <v>85</v>
      </c>
    </row>
    <row r="58" spans="1:5" x14ac:dyDescent="0.25">
      <c r="A58" t="s">
        <v>445</v>
      </c>
      <c r="B58" s="42" t="s">
        <v>446</v>
      </c>
      <c r="C58" t="s">
        <v>3</v>
      </c>
      <c r="D58" s="42">
        <v>43534</v>
      </c>
      <c r="E58">
        <v>9</v>
      </c>
    </row>
    <row r="59" spans="1:5" x14ac:dyDescent="0.25">
      <c r="A59" t="s">
        <v>452</v>
      </c>
      <c r="B59" t="s">
        <v>449</v>
      </c>
      <c r="C59" t="s">
        <v>455</v>
      </c>
      <c r="D59" s="42">
        <v>43534</v>
      </c>
      <c r="E59">
        <v>27</v>
      </c>
    </row>
    <row r="60" spans="1:5" x14ac:dyDescent="0.25">
      <c r="A60" t="s">
        <v>445</v>
      </c>
      <c r="B60" s="42" t="s">
        <v>446</v>
      </c>
      <c r="C60" t="s">
        <v>6</v>
      </c>
      <c r="D60" s="42">
        <v>43536</v>
      </c>
      <c r="E60">
        <v>5</v>
      </c>
    </row>
    <row r="61" spans="1:5" x14ac:dyDescent="0.25">
      <c r="A61" t="s">
        <v>448</v>
      </c>
      <c r="B61" s="42" t="s">
        <v>446</v>
      </c>
      <c r="C61" t="s">
        <v>11</v>
      </c>
      <c r="D61" s="42">
        <v>43536</v>
      </c>
      <c r="E61">
        <v>50</v>
      </c>
    </row>
    <row r="62" spans="1:5" x14ac:dyDescent="0.25">
      <c r="A62" t="s">
        <v>445</v>
      </c>
      <c r="B62" s="42" t="s">
        <v>446</v>
      </c>
      <c r="C62" t="s">
        <v>7</v>
      </c>
      <c r="D62" s="42">
        <v>43537</v>
      </c>
      <c r="E62">
        <v>50</v>
      </c>
    </row>
    <row r="63" spans="1:5" x14ac:dyDescent="0.25">
      <c r="A63" t="s">
        <v>452</v>
      </c>
      <c r="B63" s="42" t="s">
        <v>446</v>
      </c>
      <c r="C63" t="s">
        <v>10</v>
      </c>
      <c r="D63" s="42">
        <v>43538</v>
      </c>
      <c r="E63">
        <v>125</v>
      </c>
    </row>
    <row r="64" spans="1:5" x14ac:dyDescent="0.25">
      <c r="A64" t="s">
        <v>452</v>
      </c>
      <c r="B64" t="s">
        <v>449</v>
      </c>
      <c r="C64" t="s">
        <v>453</v>
      </c>
      <c r="D64" s="42">
        <v>43538</v>
      </c>
      <c r="E64">
        <v>15</v>
      </c>
    </row>
    <row r="65" spans="1:5" x14ac:dyDescent="0.25">
      <c r="A65" t="s">
        <v>445</v>
      </c>
      <c r="B65" s="42" t="s">
        <v>447</v>
      </c>
      <c r="C65" t="s">
        <v>9</v>
      </c>
      <c r="D65" s="42">
        <v>43538</v>
      </c>
      <c r="E65">
        <v>45</v>
      </c>
    </row>
    <row r="66" spans="1:5" x14ac:dyDescent="0.25">
      <c r="A66" t="s">
        <v>445</v>
      </c>
      <c r="B66" s="42" t="s">
        <v>447</v>
      </c>
      <c r="C66" t="s">
        <v>8</v>
      </c>
      <c r="D66" s="42">
        <v>43538</v>
      </c>
      <c r="E66">
        <v>10</v>
      </c>
    </row>
    <row r="67" spans="1:5" x14ac:dyDescent="0.25">
      <c r="A67" t="s">
        <v>448</v>
      </c>
      <c r="B67" t="s">
        <v>449</v>
      </c>
      <c r="C67" t="s">
        <v>116</v>
      </c>
      <c r="D67" s="42">
        <v>43540</v>
      </c>
      <c r="E67">
        <v>95</v>
      </c>
    </row>
    <row r="68" spans="1:5" x14ac:dyDescent="0.25">
      <c r="A68" t="s">
        <v>452</v>
      </c>
      <c r="B68" t="s">
        <v>449</v>
      </c>
      <c r="C68" t="s">
        <v>454</v>
      </c>
      <c r="D68" s="42">
        <v>43540</v>
      </c>
      <c r="E68">
        <v>19</v>
      </c>
    </row>
    <row r="69" spans="1:5" x14ac:dyDescent="0.25">
      <c r="A69" t="s">
        <v>445</v>
      </c>
      <c r="B69" s="42" t="s">
        <v>447</v>
      </c>
      <c r="C69" t="s">
        <v>451</v>
      </c>
      <c r="D69" s="42">
        <v>43541</v>
      </c>
      <c r="E69">
        <v>25</v>
      </c>
    </row>
    <row r="70" spans="1:5" x14ac:dyDescent="0.25">
      <c r="A70" t="s">
        <v>448</v>
      </c>
      <c r="B70" t="s">
        <v>449</v>
      </c>
      <c r="C70" t="s">
        <v>114</v>
      </c>
      <c r="D70" s="42">
        <v>43542</v>
      </c>
      <c r="E70">
        <v>125</v>
      </c>
    </row>
    <row r="71" spans="1:5" x14ac:dyDescent="0.25">
      <c r="A71" t="s">
        <v>445</v>
      </c>
      <c r="B71" s="42" t="s">
        <v>446</v>
      </c>
      <c r="C71" t="s">
        <v>6</v>
      </c>
      <c r="D71" s="42">
        <v>43542</v>
      </c>
      <c r="E71">
        <v>4</v>
      </c>
    </row>
    <row r="72" spans="1:5" x14ac:dyDescent="0.25">
      <c r="A72" t="s">
        <v>445</v>
      </c>
      <c r="B72" s="42" t="s">
        <v>446</v>
      </c>
      <c r="C72" t="s">
        <v>11</v>
      </c>
      <c r="D72" s="42">
        <v>43542</v>
      </c>
      <c r="E72">
        <v>45</v>
      </c>
    </row>
    <row r="73" spans="1:5" x14ac:dyDescent="0.25">
      <c r="A73" t="s">
        <v>448</v>
      </c>
      <c r="B73" t="s">
        <v>449</v>
      </c>
      <c r="C73" t="s">
        <v>450</v>
      </c>
      <c r="D73" s="42">
        <v>43545</v>
      </c>
      <c r="E73">
        <v>25</v>
      </c>
    </row>
    <row r="74" spans="1:5" x14ac:dyDescent="0.25">
      <c r="A74" t="s">
        <v>445</v>
      </c>
      <c r="B74" s="42" t="s">
        <v>446</v>
      </c>
      <c r="C74" t="s">
        <v>6</v>
      </c>
      <c r="D74" s="42">
        <v>43545</v>
      </c>
      <c r="E74">
        <v>6</v>
      </c>
    </row>
    <row r="75" spans="1:5" x14ac:dyDescent="0.25">
      <c r="A75" t="s">
        <v>448</v>
      </c>
      <c r="B75" t="s">
        <v>449</v>
      </c>
      <c r="C75" t="s">
        <v>455</v>
      </c>
      <c r="D75" s="42">
        <v>43546</v>
      </c>
      <c r="E75">
        <v>29</v>
      </c>
    </row>
    <row r="76" spans="1:5" x14ac:dyDescent="0.25">
      <c r="A76" t="s">
        <v>445</v>
      </c>
      <c r="B76" s="42" t="s">
        <v>446</v>
      </c>
      <c r="C76" t="s">
        <v>3</v>
      </c>
      <c r="D76" s="42">
        <v>43547</v>
      </c>
      <c r="E76">
        <v>9</v>
      </c>
    </row>
    <row r="77" spans="1:5" x14ac:dyDescent="0.25">
      <c r="A77" t="s">
        <v>445</v>
      </c>
      <c r="B77" s="42" t="s">
        <v>447</v>
      </c>
      <c r="C77" t="s">
        <v>8</v>
      </c>
      <c r="D77" s="42">
        <v>43548</v>
      </c>
      <c r="E77">
        <v>17</v>
      </c>
    </row>
    <row r="78" spans="1:5" x14ac:dyDescent="0.25">
      <c r="A78" t="s">
        <v>452</v>
      </c>
      <c r="B78" t="s">
        <v>449</v>
      </c>
      <c r="C78" t="s">
        <v>450</v>
      </c>
      <c r="D78" s="42">
        <v>43549</v>
      </c>
      <c r="E78">
        <v>25</v>
      </c>
    </row>
    <row r="79" spans="1:5" x14ac:dyDescent="0.25">
      <c r="A79" t="s">
        <v>445</v>
      </c>
      <c r="B79" s="42" t="s">
        <v>447</v>
      </c>
      <c r="C79" t="s">
        <v>451</v>
      </c>
      <c r="D79" s="42">
        <v>43549</v>
      </c>
      <c r="E79">
        <v>40</v>
      </c>
    </row>
    <row r="80" spans="1:5" x14ac:dyDescent="0.25">
      <c r="A80" t="s">
        <v>445</v>
      </c>
      <c r="B80" s="42" t="s">
        <v>446</v>
      </c>
      <c r="C80" t="s">
        <v>7</v>
      </c>
      <c r="D80" s="42">
        <v>43550</v>
      </c>
      <c r="E80">
        <v>52</v>
      </c>
    </row>
    <row r="81" spans="1:5" x14ac:dyDescent="0.25">
      <c r="A81" t="s">
        <v>448</v>
      </c>
      <c r="B81" t="s">
        <v>449</v>
      </c>
      <c r="C81" t="s">
        <v>116</v>
      </c>
      <c r="D81" s="42">
        <v>43550</v>
      </c>
      <c r="E81">
        <v>98</v>
      </c>
    </row>
    <row r="82" spans="1:5" x14ac:dyDescent="0.25">
      <c r="A82" t="s">
        <v>445</v>
      </c>
      <c r="B82" s="42" t="s">
        <v>446</v>
      </c>
      <c r="C82" t="s">
        <v>3</v>
      </c>
      <c r="D82" s="42">
        <v>43550</v>
      </c>
      <c r="E82">
        <v>8</v>
      </c>
    </row>
    <row r="83" spans="1:5" x14ac:dyDescent="0.25">
      <c r="A83" t="s">
        <v>445</v>
      </c>
      <c r="B83" s="42" t="s">
        <v>446</v>
      </c>
      <c r="C83" t="s">
        <v>6</v>
      </c>
      <c r="D83" s="42">
        <v>43552</v>
      </c>
      <c r="E83">
        <v>6</v>
      </c>
    </row>
    <row r="84" spans="1:5" x14ac:dyDescent="0.25">
      <c r="A84" t="s">
        <v>445</v>
      </c>
      <c r="B84" s="42" t="s">
        <v>446</v>
      </c>
      <c r="C84" t="s">
        <v>4</v>
      </c>
      <c r="D84" s="42">
        <v>43552</v>
      </c>
      <c r="E84">
        <v>9</v>
      </c>
    </row>
    <row r="85" spans="1:5" x14ac:dyDescent="0.25">
      <c r="A85" t="s">
        <v>448</v>
      </c>
      <c r="B85" s="42" t="s">
        <v>446</v>
      </c>
      <c r="C85" t="s">
        <v>10</v>
      </c>
      <c r="D85" s="42">
        <v>43552</v>
      </c>
      <c r="E85">
        <v>115</v>
      </c>
    </row>
    <row r="86" spans="1:5" x14ac:dyDescent="0.25">
      <c r="A86" t="s">
        <v>452</v>
      </c>
      <c r="B86" t="s">
        <v>449</v>
      </c>
      <c r="C86" t="s">
        <v>453</v>
      </c>
      <c r="D86" s="42">
        <v>43552</v>
      </c>
      <c r="E86">
        <v>14</v>
      </c>
    </row>
    <row r="87" spans="1:5" x14ac:dyDescent="0.25">
      <c r="A87" t="s">
        <v>452</v>
      </c>
      <c r="B87" t="s">
        <v>449</v>
      </c>
      <c r="C87" t="s">
        <v>114</v>
      </c>
      <c r="D87" s="42">
        <v>43554</v>
      </c>
      <c r="E87">
        <v>138</v>
      </c>
    </row>
    <row r="88" spans="1:5" x14ac:dyDescent="0.25">
      <c r="A88" t="s">
        <v>452</v>
      </c>
      <c r="B88" t="s">
        <v>449</v>
      </c>
      <c r="C88" t="s">
        <v>454</v>
      </c>
      <c r="D88" s="42">
        <v>43554</v>
      </c>
      <c r="E88">
        <v>23</v>
      </c>
    </row>
    <row r="89" spans="1:5" x14ac:dyDescent="0.25">
      <c r="A89" t="s">
        <v>448</v>
      </c>
      <c r="B89" t="s">
        <v>449</v>
      </c>
      <c r="C89" t="s">
        <v>453</v>
      </c>
      <c r="D89" s="42">
        <v>43554</v>
      </c>
      <c r="E89">
        <v>17</v>
      </c>
    </row>
    <row r="90" spans="1:5" x14ac:dyDescent="0.25">
      <c r="A90" t="s">
        <v>452</v>
      </c>
      <c r="B90" t="s">
        <v>449</v>
      </c>
      <c r="C90" t="s">
        <v>118</v>
      </c>
      <c r="D90" s="42">
        <v>43555</v>
      </c>
      <c r="E90">
        <v>29</v>
      </c>
    </row>
    <row r="91" spans="1:5" x14ac:dyDescent="0.25">
      <c r="A91" t="s">
        <v>445</v>
      </c>
      <c r="B91" s="42" t="s">
        <v>447</v>
      </c>
      <c r="C91" t="s">
        <v>9</v>
      </c>
      <c r="D91" s="42">
        <v>43555</v>
      </c>
      <c r="E91">
        <v>40</v>
      </c>
    </row>
    <row r="92" spans="1:5" x14ac:dyDescent="0.25">
      <c r="A92" t="s">
        <v>452</v>
      </c>
      <c r="B92" s="42" t="s">
        <v>447</v>
      </c>
      <c r="C92" t="s">
        <v>9</v>
      </c>
      <c r="D92" s="42">
        <v>43555</v>
      </c>
      <c r="E92">
        <v>46</v>
      </c>
    </row>
    <row r="93" spans="1:5" x14ac:dyDescent="0.25">
      <c r="A93" t="s">
        <v>445</v>
      </c>
      <c r="B93" s="42" t="s">
        <v>446</v>
      </c>
      <c r="C93" t="s">
        <v>11</v>
      </c>
      <c r="D93" s="42">
        <v>43557</v>
      </c>
      <c r="E93">
        <v>46</v>
      </c>
    </row>
    <row r="94" spans="1:5" x14ac:dyDescent="0.25">
      <c r="A94" t="s">
        <v>448</v>
      </c>
      <c r="B94" t="s">
        <v>449</v>
      </c>
      <c r="C94" t="s">
        <v>454</v>
      </c>
      <c r="D94" s="42">
        <v>43557</v>
      </c>
      <c r="E94">
        <v>26</v>
      </c>
    </row>
    <row r="95" spans="1:5" x14ac:dyDescent="0.25">
      <c r="A95" t="s">
        <v>445</v>
      </c>
      <c r="B95" s="42" t="s">
        <v>447</v>
      </c>
      <c r="C95" t="s">
        <v>8</v>
      </c>
      <c r="D95" s="42">
        <v>43557</v>
      </c>
      <c r="E95">
        <v>12</v>
      </c>
    </row>
    <row r="96" spans="1:5" x14ac:dyDescent="0.25">
      <c r="A96" t="s">
        <v>445</v>
      </c>
      <c r="B96" s="42" t="s">
        <v>446</v>
      </c>
      <c r="C96" t="s">
        <v>3</v>
      </c>
      <c r="D96" s="42">
        <v>43558</v>
      </c>
      <c r="E96">
        <v>12</v>
      </c>
    </row>
    <row r="97" spans="1:5" x14ac:dyDescent="0.25">
      <c r="A97" t="s">
        <v>448</v>
      </c>
      <c r="B97" t="s">
        <v>449</v>
      </c>
      <c r="C97" t="s">
        <v>450</v>
      </c>
      <c r="D97" s="42">
        <v>43560</v>
      </c>
      <c r="E97">
        <v>24</v>
      </c>
    </row>
    <row r="98" spans="1:5" x14ac:dyDescent="0.25">
      <c r="A98" t="s">
        <v>445</v>
      </c>
      <c r="B98" s="42" t="s">
        <v>446</v>
      </c>
      <c r="C98" t="s">
        <v>4</v>
      </c>
      <c r="D98" s="42">
        <v>43560</v>
      </c>
      <c r="E98">
        <v>8</v>
      </c>
    </row>
    <row r="99" spans="1:5" x14ac:dyDescent="0.25">
      <c r="A99" t="s">
        <v>445</v>
      </c>
      <c r="B99" s="42" t="s">
        <v>446</v>
      </c>
      <c r="C99" t="s">
        <v>7</v>
      </c>
      <c r="D99" s="42">
        <v>43561</v>
      </c>
      <c r="E99">
        <v>63</v>
      </c>
    </row>
    <row r="100" spans="1:5" x14ac:dyDescent="0.25">
      <c r="A100" t="s">
        <v>448</v>
      </c>
      <c r="B100" t="s">
        <v>449</v>
      </c>
      <c r="C100" t="s">
        <v>453</v>
      </c>
      <c r="D100" s="42">
        <v>43562</v>
      </c>
      <c r="E100">
        <v>14</v>
      </c>
    </row>
    <row r="101" spans="1:5" x14ac:dyDescent="0.25">
      <c r="A101" t="s">
        <v>448</v>
      </c>
      <c r="B101" t="s">
        <v>449</v>
      </c>
      <c r="C101" t="s">
        <v>118</v>
      </c>
      <c r="D101" s="42">
        <v>43562</v>
      </c>
      <c r="E101">
        <v>29</v>
      </c>
    </row>
    <row r="102" spans="1:5" x14ac:dyDescent="0.25">
      <c r="A102" t="s">
        <v>448</v>
      </c>
      <c r="B102" s="42" t="s">
        <v>447</v>
      </c>
      <c r="C102" t="s">
        <v>9</v>
      </c>
      <c r="D102" s="42">
        <v>43562</v>
      </c>
      <c r="E102">
        <v>52</v>
      </c>
    </row>
    <row r="103" spans="1:5" x14ac:dyDescent="0.25">
      <c r="A103" t="s">
        <v>448</v>
      </c>
      <c r="B103" t="s">
        <v>449</v>
      </c>
      <c r="C103" t="s">
        <v>455</v>
      </c>
      <c r="D103" s="42">
        <v>43563</v>
      </c>
      <c r="E103">
        <v>29</v>
      </c>
    </row>
    <row r="104" spans="1:5" x14ac:dyDescent="0.25">
      <c r="A104" t="s">
        <v>445</v>
      </c>
      <c r="B104" s="42" t="s">
        <v>447</v>
      </c>
      <c r="C104" t="s">
        <v>451</v>
      </c>
      <c r="D104" s="42">
        <v>43564</v>
      </c>
      <c r="E104">
        <v>29</v>
      </c>
    </row>
    <row r="105" spans="1:5" x14ac:dyDescent="0.25">
      <c r="A105" t="s">
        <v>452</v>
      </c>
      <c r="B105" t="s">
        <v>449</v>
      </c>
      <c r="C105" t="s">
        <v>116</v>
      </c>
      <c r="D105" s="42">
        <v>43564</v>
      </c>
      <c r="E105">
        <v>109</v>
      </c>
    </row>
    <row r="106" spans="1:5" x14ac:dyDescent="0.25">
      <c r="A106" t="s">
        <v>452</v>
      </c>
      <c r="B106" s="42" t="s">
        <v>446</v>
      </c>
      <c r="C106" t="s">
        <v>11</v>
      </c>
      <c r="D106" s="42">
        <v>43564</v>
      </c>
      <c r="E106">
        <v>58</v>
      </c>
    </row>
    <row r="107" spans="1:5" x14ac:dyDescent="0.25">
      <c r="A107" t="s">
        <v>448</v>
      </c>
      <c r="B107" t="s">
        <v>449</v>
      </c>
      <c r="C107" t="s">
        <v>454</v>
      </c>
      <c r="D107" s="42">
        <v>43565</v>
      </c>
      <c r="E107">
        <v>29</v>
      </c>
    </row>
    <row r="108" spans="1:5" x14ac:dyDescent="0.25">
      <c r="A108" t="s">
        <v>452</v>
      </c>
      <c r="B108" t="s">
        <v>449</v>
      </c>
      <c r="C108" t="s">
        <v>455</v>
      </c>
      <c r="D108" s="42">
        <v>43565</v>
      </c>
      <c r="E108">
        <v>31</v>
      </c>
    </row>
    <row r="109" spans="1:5" x14ac:dyDescent="0.25">
      <c r="A109" t="s">
        <v>445</v>
      </c>
      <c r="B109" s="42" t="s">
        <v>446</v>
      </c>
      <c r="C109" t="s">
        <v>6</v>
      </c>
      <c r="D109" s="42">
        <v>43566</v>
      </c>
      <c r="E109">
        <v>5</v>
      </c>
    </row>
    <row r="110" spans="1:5" x14ac:dyDescent="0.25">
      <c r="A110" t="s">
        <v>445</v>
      </c>
      <c r="B110" s="42" t="s">
        <v>446</v>
      </c>
      <c r="C110" t="s">
        <v>10</v>
      </c>
      <c r="D110" s="42">
        <v>43567</v>
      </c>
      <c r="E110">
        <v>127</v>
      </c>
    </row>
    <row r="111" spans="1:5" x14ac:dyDescent="0.25">
      <c r="A111" t="s">
        <v>448</v>
      </c>
      <c r="B111" t="s">
        <v>449</v>
      </c>
      <c r="C111" t="s">
        <v>114</v>
      </c>
      <c r="D111" s="42">
        <v>43568</v>
      </c>
      <c r="E111">
        <v>150</v>
      </c>
    </row>
    <row r="112" spans="1:5" x14ac:dyDescent="0.25">
      <c r="A112" t="s">
        <v>448</v>
      </c>
      <c r="B112" t="s">
        <v>449</v>
      </c>
      <c r="C112" t="s">
        <v>455</v>
      </c>
      <c r="D112" s="42">
        <v>43570</v>
      </c>
      <c r="E112">
        <v>32</v>
      </c>
    </row>
    <row r="113" spans="1:5" x14ac:dyDescent="0.25">
      <c r="A113" t="s">
        <v>445</v>
      </c>
      <c r="B113" s="42" t="s">
        <v>446</v>
      </c>
      <c r="C113" t="s">
        <v>3</v>
      </c>
      <c r="D113" s="42">
        <v>43572</v>
      </c>
      <c r="E113">
        <v>9</v>
      </c>
    </row>
    <row r="114" spans="1:5" x14ac:dyDescent="0.25">
      <c r="A114" t="s">
        <v>448</v>
      </c>
      <c r="B114" t="s">
        <v>449</v>
      </c>
      <c r="C114" t="s">
        <v>450</v>
      </c>
      <c r="D114" s="42">
        <v>43573</v>
      </c>
      <c r="E114">
        <v>23</v>
      </c>
    </row>
    <row r="115" spans="1:5" x14ac:dyDescent="0.25">
      <c r="A115" t="s">
        <v>445</v>
      </c>
      <c r="B115" s="42" t="s">
        <v>447</v>
      </c>
      <c r="C115" t="s">
        <v>8</v>
      </c>
      <c r="D115" s="42">
        <v>43573</v>
      </c>
      <c r="E115">
        <v>17</v>
      </c>
    </row>
    <row r="116" spans="1:5" x14ac:dyDescent="0.25">
      <c r="A116" t="s">
        <v>448</v>
      </c>
      <c r="B116" s="42" t="s">
        <v>446</v>
      </c>
      <c r="C116" t="s">
        <v>11</v>
      </c>
      <c r="D116" s="42">
        <v>43574</v>
      </c>
      <c r="E116">
        <v>52</v>
      </c>
    </row>
    <row r="117" spans="1:5" x14ac:dyDescent="0.25">
      <c r="A117" t="s">
        <v>452</v>
      </c>
      <c r="B117" t="s">
        <v>449</v>
      </c>
      <c r="C117" t="s">
        <v>453</v>
      </c>
      <c r="D117" s="42">
        <v>43575</v>
      </c>
      <c r="E117">
        <v>15</v>
      </c>
    </row>
    <row r="118" spans="1:5" x14ac:dyDescent="0.25">
      <c r="A118" t="s">
        <v>448</v>
      </c>
      <c r="B118" s="42" t="s">
        <v>447</v>
      </c>
      <c r="C118" t="s">
        <v>9</v>
      </c>
      <c r="D118" s="42">
        <v>43575</v>
      </c>
      <c r="E118">
        <v>40</v>
      </c>
    </row>
    <row r="119" spans="1:5" x14ac:dyDescent="0.25">
      <c r="A119" t="s">
        <v>445</v>
      </c>
      <c r="B119" s="42" t="s">
        <v>447</v>
      </c>
      <c r="C119" t="s">
        <v>451</v>
      </c>
      <c r="D119" s="42">
        <v>43576</v>
      </c>
      <c r="E119">
        <v>35</v>
      </c>
    </row>
    <row r="120" spans="1:5" x14ac:dyDescent="0.25">
      <c r="A120" t="s">
        <v>445</v>
      </c>
      <c r="B120" s="42" t="s">
        <v>446</v>
      </c>
      <c r="C120" t="s">
        <v>4</v>
      </c>
      <c r="D120" s="42">
        <v>43577</v>
      </c>
      <c r="E120">
        <v>8</v>
      </c>
    </row>
    <row r="121" spans="1:5" x14ac:dyDescent="0.25">
      <c r="A121" t="s">
        <v>448</v>
      </c>
      <c r="B121" t="s">
        <v>449</v>
      </c>
      <c r="C121" t="s">
        <v>116</v>
      </c>
      <c r="D121" s="42">
        <v>43577</v>
      </c>
      <c r="E121">
        <v>104</v>
      </c>
    </row>
    <row r="122" spans="1:5" x14ac:dyDescent="0.25">
      <c r="A122" t="s">
        <v>452</v>
      </c>
      <c r="B122" t="s">
        <v>449</v>
      </c>
      <c r="C122" t="s">
        <v>454</v>
      </c>
      <c r="D122" s="42">
        <v>43577</v>
      </c>
      <c r="E122">
        <v>23</v>
      </c>
    </row>
    <row r="123" spans="1:5" x14ac:dyDescent="0.25">
      <c r="A123" t="s">
        <v>445</v>
      </c>
      <c r="B123" s="42" t="s">
        <v>446</v>
      </c>
      <c r="C123" t="s">
        <v>6</v>
      </c>
      <c r="D123" s="42">
        <v>43579</v>
      </c>
      <c r="E123">
        <v>7</v>
      </c>
    </row>
    <row r="124" spans="1:5" x14ac:dyDescent="0.25">
      <c r="A124" t="s">
        <v>445</v>
      </c>
      <c r="B124" s="42" t="s">
        <v>446</v>
      </c>
      <c r="C124" t="s">
        <v>10</v>
      </c>
      <c r="D124" s="42">
        <v>43579</v>
      </c>
      <c r="E124">
        <v>109</v>
      </c>
    </row>
    <row r="125" spans="1:5" x14ac:dyDescent="0.25">
      <c r="A125" t="s">
        <v>448</v>
      </c>
      <c r="B125" t="s">
        <v>449</v>
      </c>
      <c r="C125" t="s">
        <v>118</v>
      </c>
      <c r="D125" s="42">
        <v>43579</v>
      </c>
      <c r="E125">
        <v>35</v>
      </c>
    </row>
    <row r="126" spans="1:5" x14ac:dyDescent="0.25">
      <c r="A126" t="s">
        <v>448</v>
      </c>
      <c r="B126" t="s">
        <v>449</v>
      </c>
      <c r="C126" t="s">
        <v>114</v>
      </c>
      <c r="D126" s="42">
        <v>43580</v>
      </c>
      <c r="E126">
        <v>155</v>
      </c>
    </row>
    <row r="127" spans="1:5" x14ac:dyDescent="0.25">
      <c r="A127" t="s">
        <v>452</v>
      </c>
      <c r="B127" t="s">
        <v>449</v>
      </c>
      <c r="C127" t="s">
        <v>116</v>
      </c>
      <c r="D127" s="42">
        <v>43583</v>
      </c>
      <c r="E127">
        <v>98</v>
      </c>
    </row>
    <row r="128" spans="1:5" x14ac:dyDescent="0.25">
      <c r="A128" t="s">
        <v>445</v>
      </c>
      <c r="B128" s="42" t="s">
        <v>446</v>
      </c>
      <c r="C128" t="s">
        <v>3</v>
      </c>
      <c r="D128" s="42">
        <v>43583</v>
      </c>
      <c r="E128">
        <v>10</v>
      </c>
    </row>
    <row r="129" spans="1:5" x14ac:dyDescent="0.25">
      <c r="A129" t="s">
        <v>452</v>
      </c>
      <c r="B129" t="s">
        <v>449</v>
      </c>
      <c r="C129" t="s">
        <v>455</v>
      </c>
      <c r="D129" s="42">
        <v>43583</v>
      </c>
      <c r="E129">
        <v>31</v>
      </c>
    </row>
    <row r="130" spans="1:5" x14ac:dyDescent="0.25">
      <c r="A130" t="s">
        <v>445</v>
      </c>
      <c r="B130" s="42" t="s">
        <v>446</v>
      </c>
      <c r="C130" t="s">
        <v>6</v>
      </c>
      <c r="D130" s="42">
        <v>43585</v>
      </c>
      <c r="E130">
        <v>6</v>
      </c>
    </row>
    <row r="131" spans="1:5" x14ac:dyDescent="0.25">
      <c r="A131" t="s">
        <v>445</v>
      </c>
      <c r="B131" s="42" t="s">
        <v>446</v>
      </c>
      <c r="C131" t="s">
        <v>11</v>
      </c>
      <c r="D131" s="42">
        <v>43585</v>
      </c>
      <c r="E131">
        <v>58</v>
      </c>
    </row>
    <row r="132" spans="1:5" x14ac:dyDescent="0.25">
      <c r="A132" t="s">
        <v>445</v>
      </c>
      <c r="B132" s="42" t="s">
        <v>446</v>
      </c>
      <c r="C132" t="s">
        <v>7</v>
      </c>
      <c r="D132" s="42">
        <v>43586</v>
      </c>
      <c r="E132">
        <v>58</v>
      </c>
    </row>
    <row r="133" spans="1:5" x14ac:dyDescent="0.25">
      <c r="A133" t="s">
        <v>452</v>
      </c>
      <c r="B133" s="42" t="s">
        <v>446</v>
      </c>
      <c r="C133" t="s">
        <v>10</v>
      </c>
      <c r="D133" s="42">
        <v>43587</v>
      </c>
      <c r="E133">
        <v>144</v>
      </c>
    </row>
    <row r="134" spans="1:5" x14ac:dyDescent="0.25">
      <c r="A134" t="s">
        <v>452</v>
      </c>
      <c r="B134" t="s">
        <v>449</v>
      </c>
      <c r="C134" t="s">
        <v>453</v>
      </c>
      <c r="D134" s="42">
        <v>43587</v>
      </c>
      <c r="E134">
        <v>17</v>
      </c>
    </row>
    <row r="135" spans="1:5" x14ac:dyDescent="0.25">
      <c r="A135" t="s">
        <v>452</v>
      </c>
      <c r="B135" s="42" t="s">
        <v>447</v>
      </c>
      <c r="C135" t="s">
        <v>9</v>
      </c>
      <c r="D135" s="42">
        <v>43587</v>
      </c>
      <c r="E135">
        <v>52</v>
      </c>
    </row>
    <row r="136" spans="1:5" x14ac:dyDescent="0.25">
      <c r="A136" t="s">
        <v>445</v>
      </c>
      <c r="B136" s="42" t="s">
        <v>447</v>
      </c>
      <c r="C136" t="s">
        <v>8</v>
      </c>
      <c r="D136" s="42">
        <v>43587</v>
      </c>
      <c r="E136">
        <v>12</v>
      </c>
    </row>
    <row r="137" spans="1:5" x14ac:dyDescent="0.25">
      <c r="A137" t="s">
        <v>448</v>
      </c>
      <c r="B137" t="s">
        <v>449</v>
      </c>
      <c r="C137" t="s">
        <v>116</v>
      </c>
      <c r="D137" s="42">
        <v>43589</v>
      </c>
      <c r="E137">
        <v>109</v>
      </c>
    </row>
    <row r="138" spans="1:5" x14ac:dyDescent="0.25">
      <c r="A138" t="s">
        <v>452</v>
      </c>
      <c r="B138" t="s">
        <v>449</v>
      </c>
      <c r="C138" t="s">
        <v>454</v>
      </c>
      <c r="D138" s="42">
        <v>43589</v>
      </c>
      <c r="E138">
        <v>22</v>
      </c>
    </row>
    <row r="139" spans="1:5" x14ac:dyDescent="0.25">
      <c r="A139" t="s">
        <v>445</v>
      </c>
      <c r="B139" s="42" t="s">
        <v>447</v>
      </c>
      <c r="C139" t="s">
        <v>451</v>
      </c>
      <c r="D139" s="42">
        <v>43590</v>
      </c>
      <c r="E139">
        <v>29</v>
      </c>
    </row>
    <row r="140" spans="1:5" x14ac:dyDescent="0.25">
      <c r="A140" t="s">
        <v>452</v>
      </c>
      <c r="B140" t="s">
        <v>449</v>
      </c>
      <c r="C140" t="s">
        <v>114</v>
      </c>
      <c r="D140" s="42">
        <v>43591</v>
      </c>
      <c r="E140">
        <v>144</v>
      </c>
    </row>
    <row r="141" spans="1:5" x14ac:dyDescent="0.25">
      <c r="A141" t="s">
        <v>445</v>
      </c>
      <c r="B141" s="42" t="s">
        <v>446</v>
      </c>
      <c r="C141" t="s">
        <v>6</v>
      </c>
      <c r="D141" s="42">
        <v>43591</v>
      </c>
      <c r="E141">
        <v>5</v>
      </c>
    </row>
    <row r="142" spans="1:5" x14ac:dyDescent="0.25">
      <c r="A142" t="s">
        <v>445</v>
      </c>
      <c r="B142" s="42" t="s">
        <v>446</v>
      </c>
      <c r="C142" t="s">
        <v>11</v>
      </c>
      <c r="D142" s="42">
        <v>43591</v>
      </c>
      <c r="E142">
        <v>52</v>
      </c>
    </row>
    <row r="143" spans="1:5" x14ac:dyDescent="0.25">
      <c r="A143" t="s">
        <v>452</v>
      </c>
      <c r="B143" t="s">
        <v>449</v>
      </c>
      <c r="C143" t="s">
        <v>450</v>
      </c>
      <c r="D143" s="42">
        <v>43594</v>
      </c>
      <c r="E143">
        <v>29</v>
      </c>
    </row>
    <row r="144" spans="1:5" x14ac:dyDescent="0.25">
      <c r="A144" t="s">
        <v>445</v>
      </c>
      <c r="B144" s="42" t="s">
        <v>446</v>
      </c>
      <c r="C144" t="s">
        <v>6</v>
      </c>
      <c r="D144" s="42">
        <v>43594</v>
      </c>
      <c r="E144">
        <v>7</v>
      </c>
    </row>
    <row r="145" spans="1:5" x14ac:dyDescent="0.25">
      <c r="A145" t="s">
        <v>448</v>
      </c>
      <c r="B145" t="s">
        <v>449</v>
      </c>
      <c r="C145" t="s">
        <v>455</v>
      </c>
      <c r="D145" s="42">
        <v>43595</v>
      </c>
      <c r="E145">
        <v>33</v>
      </c>
    </row>
    <row r="146" spans="1:5" x14ac:dyDescent="0.25">
      <c r="A146" t="s">
        <v>445</v>
      </c>
      <c r="B146" s="42" t="s">
        <v>446</v>
      </c>
      <c r="C146" t="s">
        <v>3</v>
      </c>
      <c r="D146" s="42">
        <v>43599</v>
      </c>
      <c r="E146">
        <v>8</v>
      </c>
    </row>
    <row r="147" spans="1:5" x14ac:dyDescent="0.25">
      <c r="A147" t="s">
        <v>445</v>
      </c>
      <c r="B147" s="42" t="s">
        <v>447</v>
      </c>
      <c r="C147" t="s">
        <v>8</v>
      </c>
      <c r="D147" s="42">
        <v>43600</v>
      </c>
      <c r="E147">
        <v>16</v>
      </c>
    </row>
    <row r="148" spans="1:5" x14ac:dyDescent="0.25">
      <c r="A148" t="s">
        <v>448</v>
      </c>
      <c r="B148" t="s">
        <v>449</v>
      </c>
      <c r="C148" t="s">
        <v>450</v>
      </c>
      <c r="D148" s="42">
        <v>43601</v>
      </c>
      <c r="E148">
        <v>23</v>
      </c>
    </row>
    <row r="149" spans="1:5" x14ac:dyDescent="0.25">
      <c r="A149" t="s">
        <v>445</v>
      </c>
      <c r="B149" s="42" t="s">
        <v>447</v>
      </c>
      <c r="C149" t="s">
        <v>451</v>
      </c>
      <c r="D149" s="42">
        <v>43601</v>
      </c>
      <c r="E149">
        <v>37</v>
      </c>
    </row>
    <row r="150" spans="1:5" x14ac:dyDescent="0.25">
      <c r="A150" t="s">
        <v>445</v>
      </c>
      <c r="B150" s="42" t="s">
        <v>446</v>
      </c>
      <c r="C150" t="s">
        <v>7</v>
      </c>
      <c r="D150" s="42">
        <v>43602</v>
      </c>
      <c r="E150">
        <v>47</v>
      </c>
    </row>
    <row r="151" spans="1:5" x14ac:dyDescent="0.25">
      <c r="A151" t="s">
        <v>448</v>
      </c>
      <c r="B151" t="s">
        <v>449</v>
      </c>
      <c r="C151" t="s">
        <v>116</v>
      </c>
      <c r="D151" s="42">
        <v>43602</v>
      </c>
      <c r="E151">
        <v>89</v>
      </c>
    </row>
    <row r="152" spans="1:5" x14ac:dyDescent="0.25">
      <c r="A152" t="s">
        <v>445</v>
      </c>
      <c r="B152" s="42" t="s">
        <v>446</v>
      </c>
      <c r="C152" t="s">
        <v>3</v>
      </c>
      <c r="D152" s="42">
        <v>43602</v>
      </c>
      <c r="E152">
        <v>7</v>
      </c>
    </row>
    <row r="153" spans="1:5" x14ac:dyDescent="0.25">
      <c r="A153" t="s">
        <v>445</v>
      </c>
      <c r="B153" s="42" t="s">
        <v>446</v>
      </c>
      <c r="C153" t="s">
        <v>6</v>
      </c>
      <c r="D153" s="42">
        <v>43604</v>
      </c>
      <c r="E153">
        <v>5</v>
      </c>
    </row>
    <row r="154" spans="1:5" x14ac:dyDescent="0.25">
      <c r="A154" t="s">
        <v>445</v>
      </c>
      <c r="B154" s="42" t="s">
        <v>446</v>
      </c>
      <c r="C154" t="s">
        <v>4</v>
      </c>
      <c r="D154" s="42">
        <v>43604</v>
      </c>
      <c r="E154">
        <v>8</v>
      </c>
    </row>
    <row r="155" spans="1:5" x14ac:dyDescent="0.25">
      <c r="A155" t="s">
        <v>448</v>
      </c>
      <c r="B155" s="42" t="s">
        <v>446</v>
      </c>
      <c r="C155" t="s">
        <v>10</v>
      </c>
      <c r="D155" s="42">
        <v>43604</v>
      </c>
      <c r="E155">
        <v>105</v>
      </c>
    </row>
    <row r="156" spans="1:5" x14ac:dyDescent="0.25">
      <c r="A156" t="s">
        <v>448</v>
      </c>
      <c r="B156" t="s">
        <v>449</v>
      </c>
      <c r="C156" t="s">
        <v>453</v>
      </c>
      <c r="D156" s="42">
        <v>43604</v>
      </c>
      <c r="E156">
        <v>13</v>
      </c>
    </row>
    <row r="157" spans="1:5" x14ac:dyDescent="0.25">
      <c r="A157" t="s">
        <v>448</v>
      </c>
      <c r="B157" t="s">
        <v>449</v>
      </c>
      <c r="C157" t="s">
        <v>114</v>
      </c>
      <c r="D157" s="42">
        <v>43606</v>
      </c>
      <c r="E157">
        <v>126</v>
      </c>
    </row>
    <row r="158" spans="1:5" x14ac:dyDescent="0.25">
      <c r="A158" t="s">
        <v>448</v>
      </c>
      <c r="B158" t="s">
        <v>449</v>
      </c>
      <c r="C158" t="s">
        <v>454</v>
      </c>
      <c r="D158" s="42">
        <v>43606</v>
      </c>
      <c r="E158">
        <v>21</v>
      </c>
    </row>
    <row r="159" spans="1:5" x14ac:dyDescent="0.25">
      <c r="A159" t="s">
        <v>452</v>
      </c>
      <c r="B159" t="s">
        <v>449</v>
      </c>
      <c r="C159" t="s">
        <v>453</v>
      </c>
      <c r="D159" s="42">
        <v>43606</v>
      </c>
      <c r="E159">
        <v>16</v>
      </c>
    </row>
    <row r="160" spans="1:5" x14ac:dyDescent="0.25">
      <c r="A160" t="s">
        <v>452</v>
      </c>
      <c r="B160" t="s">
        <v>449</v>
      </c>
      <c r="C160" t="s">
        <v>118</v>
      </c>
      <c r="D160" s="42">
        <v>43607</v>
      </c>
      <c r="E160">
        <v>26</v>
      </c>
    </row>
    <row r="161" spans="1:5" x14ac:dyDescent="0.25">
      <c r="A161" t="s">
        <v>448</v>
      </c>
      <c r="B161" s="42" t="s">
        <v>447</v>
      </c>
      <c r="C161" t="s">
        <v>9</v>
      </c>
      <c r="D161" s="42">
        <v>43607</v>
      </c>
      <c r="E161">
        <v>37</v>
      </c>
    </row>
    <row r="162" spans="1:5" x14ac:dyDescent="0.25">
      <c r="A162" t="s">
        <v>445</v>
      </c>
      <c r="B162" s="42" t="s">
        <v>447</v>
      </c>
      <c r="C162" t="s">
        <v>9</v>
      </c>
      <c r="D162" s="42">
        <v>43607</v>
      </c>
      <c r="E162">
        <v>42</v>
      </c>
    </row>
    <row r="163" spans="1:5" x14ac:dyDescent="0.25">
      <c r="A163" t="s">
        <v>452</v>
      </c>
      <c r="B163" s="42" t="s">
        <v>446</v>
      </c>
      <c r="C163" t="s">
        <v>11</v>
      </c>
      <c r="D163" s="42">
        <v>43609</v>
      </c>
      <c r="E163">
        <v>42</v>
      </c>
    </row>
    <row r="164" spans="1:5" x14ac:dyDescent="0.25">
      <c r="A164" t="s">
        <v>452</v>
      </c>
      <c r="B164" t="s">
        <v>449</v>
      </c>
      <c r="C164" t="s">
        <v>454</v>
      </c>
      <c r="D164" s="42">
        <v>43609</v>
      </c>
      <c r="E164">
        <v>24</v>
      </c>
    </row>
    <row r="165" spans="1:5" x14ac:dyDescent="0.25">
      <c r="A165" t="s">
        <v>445</v>
      </c>
      <c r="B165" s="42" t="s">
        <v>447</v>
      </c>
      <c r="C165" t="s">
        <v>8</v>
      </c>
      <c r="D165" s="42">
        <v>43609</v>
      </c>
      <c r="E165">
        <v>11</v>
      </c>
    </row>
    <row r="166" spans="1:5" x14ac:dyDescent="0.25">
      <c r="A166" t="s">
        <v>445</v>
      </c>
      <c r="B166" s="42" t="s">
        <v>446</v>
      </c>
      <c r="C166" t="s">
        <v>3</v>
      </c>
      <c r="D166" s="42">
        <v>43610</v>
      </c>
      <c r="E166">
        <v>11</v>
      </c>
    </row>
    <row r="167" spans="1:5" x14ac:dyDescent="0.25">
      <c r="A167" t="s">
        <v>448</v>
      </c>
      <c r="B167" t="s">
        <v>449</v>
      </c>
      <c r="C167" t="s">
        <v>450</v>
      </c>
      <c r="D167" s="42">
        <v>43612</v>
      </c>
      <c r="E167">
        <v>22</v>
      </c>
    </row>
    <row r="168" spans="1:5" x14ac:dyDescent="0.25">
      <c r="A168" t="s">
        <v>445</v>
      </c>
      <c r="B168" s="42" t="s">
        <v>446</v>
      </c>
      <c r="C168" t="s">
        <v>4</v>
      </c>
      <c r="D168" s="42">
        <v>43612</v>
      </c>
      <c r="E168">
        <v>7</v>
      </c>
    </row>
    <row r="169" spans="1:5" x14ac:dyDescent="0.25">
      <c r="A169" t="s">
        <v>445</v>
      </c>
      <c r="B169" s="42" t="s">
        <v>446</v>
      </c>
      <c r="C169" t="s">
        <v>7</v>
      </c>
      <c r="D169" s="42">
        <v>43613</v>
      </c>
      <c r="E169">
        <v>58</v>
      </c>
    </row>
    <row r="170" spans="1:5" x14ac:dyDescent="0.25">
      <c r="A170" t="s">
        <v>452</v>
      </c>
      <c r="B170" t="s">
        <v>449</v>
      </c>
      <c r="C170" t="s">
        <v>453</v>
      </c>
      <c r="D170" s="42">
        <v>43614</v>
      </c>
      <c r="E170">
        <v>13</v>
      </c>
    </row>
    <row r="171" spans="1:5" x14ac:dyDescent="0.25">
      <c r="A171" t="s">
        <v>448</v>
      </c>
      <c r="B171" t="s">
        <v>449</v>
      </c>
      <c r="C171" t="s">
        <v>118</v>
      </c>
      <c r="D171" s="42">
        <v>43614</v>
      </c>
      <c r="E171">
        <v>26</v>
      </c>
    </row>
    <row r="172" spans="1:5" x14ac:dyDescent="0.25">
      <c r="A172" t="s">
        <v>445</v>
      </c>
      <c r="B172" s="42" t="s">
        <v>447</v>
      </c>
      <c r="C172" t="s">
        <v>9</v>
      </c>
      <c r="D172" s="42">
        <v>43614</v>
      </c>
      <c r="E172">
        <v>47</v>
      </c>
    </row>
    <row r="173" spans="1:5" x14ac:dyDescent="0.25">
      <c r="A173" t="s">
        <v>448</v>
      </c>
      <c r="B173" t="s">
        <v>449</v>
      </c>
      <c r="C173" t="s">
        <v>455</v>
      </c>
      <c r="D173" s="42">
        <v>43615</v>
      </c>
      <c r="E173">
        <v>26</v>
      </c>
    </row>
    <row r="174" spans="1:5" x14ac:dyDescent="0.25">
      <c r="A174" t="s">
        <v>445</v>
      </c>
      <c r="B174" s="42" t="s">
        <v>447</v>
      </c>
      <c r="C174" t="s">
        <v>451</v>
      </c>
      <c r="D174" s="42">
        <v>43616</v>
      </c>
      <c r="E174">
        <v>26</v>
      </c>
    </row>
    <row r="175" spans="1:5" x14ac:dyDescent="0.25">
      <c r="A175" t="s">
        <v>452</v>
      </c>
      <c r="B175" t="s">
        <v>449</v>
      </c>
      <c r="C175" t="s">
        <v>116</v>
      </c>
      <c r="D175" s="42">
        <v>43616</v>
      </c>
      <c r="E175">
        <v>100</v>
      </c>
    </row>
    <row r="176" spans="1:5" x14ac:dyDescent="0.25">
      <c r="A176" t="s">
        <v>448</v>
      </c>
      <c r="B176" s="42" t="s">
        <v>446</v>
      </c>
      <c r="C176" t="s">
        <v>11</v>
      </c>
      <c r="D176" s="42">
        <v>43616</v>
      </c>
      <c r="E176">
        <v>53</v>
      </c>
    </row>
    <row r="177" spans="1:5" x14ac:dyDescent="0.25">
      <c r="A177" t="s">
        <v>452</v>
      </c>
      <c r="B177" t="s">
        <v>449</v>
      </c>
      <c r="C177" t="s">
        <v>454</v>
      </c>
      <c r="D177" s="42">
        <v>43617</v>
      </c>
      <c r="E177">
        <v>26</v>
      </c>
    </row>
    <row r="178" spans="1:5" x14ac:dyDescent="0.25">
      <c r="A178" t="s">
        <v>452</v>
      </c>
      <c r="B178" t="s">
        <v>449</v>
      </c>
      <c r="C178" t="s">
        <v>455</v>
      </c>
      <c r="D178" s="42">
        <v>43617</v>
      </c>
      <c r="E178">
        <v>28</v>
      </c>
    </row>
    <row r="179" spans="1:5" x14ac:dyDescent="0.25">
      <c r="A179" t="s">
        <v>445</v>
      </c>
      <c r="B179" s="42" t="s">
        <v>446</v>
      </c>
      <c r="C179" t="s">
        <v>6</v>
      </c>
      <c r="D179" s="42">
        <v>43618</v>
      </c>
      <c r="E179">
        <v>4</v>
      </c>
    </row>
    <row r="180" spans="1:5" x14ac:dyDescent="0.25">
      <c r="A180" t="s">
        <v>445</v>
      </c>
      <c r="B180" s="42" t="s">
        <v>446</v>
      </c>
      <c r="C180" t="s">
        <v>10</v>
      </c>
      <c r="D180" s="42">
        <v>43619</v>
      </c>
      <c r="E180">
        <v>116</v>
      </c>
    </row>
    <row r="181" spans="1:5" x14ac:dyDescent="0.25">
      <c r="A181" t="s">
        <v>448</v>
      </c>
      <c r="B181" t="s">
        <v>449</v>
      </c>
      <c r="C181" t="s">
        <v>114</v>
      </c>
      <c r="D181" s="42">
        <v>43620</v>
      </c>
      <c r="E181">
        <v>137</v>
      </c>
    </row>
    <row r="182" spans="1:5" x14ac:dyDescent="0.25">
      <c r="A182" t="s">
        <v>448</v>
      </c>
      <c r="B182" t="s">
        <v>449</v>
      </c>
      <c r="C182" t="s">
        <v>455</v>
      </c>
      <c r="D182" s="42">
        <v>43622</v>
      </c>
      <c r="E182">
        <v>29</v>
      </c>
    </row>
    <row r="183" spans="1:5" x14ac:dyDescent="0.25">
      <c r="A183" t="s">
        <v>445</v>
      </c>
      <c r="B183" s="42" t="s">
        <v>446</v>
      </c>
      <c r="C183" t="s">
        <v>3</v>
      </c>
      <c r="D183" s="42">
        <v>43624</v>
      </c>
      <c r="E183">
        <v>8</v>
      </c>
    </row>
    <row r="184" spans="1:5" x14ac:dyDescent="0.25">
      <c r="A184" t="s">
        <v>452</v>
      </c>
      <c r="B184" t="s">
        <v>449</v>
      </c>
      <c r="C184" t="s">
        <v>450</v>
      </c>
      <c r="D184" s="42">
        <v>43625</v>
      </c>
      <c r="E184">
        <v>21</v>
      </c>
    </row>
    <row r="185" spans="1:5" x14ac:dyDescent="0.25">
      <c r="A185" t="s">
        <v>445</v>
      </c>
      <c r="B185" s="42" t="s">
        <v>447</v>
      </c>
      <c r="C185" t="s">
        <v>8</v>
      </c>
      <c r="D185" s="42">
        <v>43625</v>
      </c>
      <c r="E185">
        <v>16</v>
      </c>
    </row>
    <row r="186" spans="1:5" x14ac:dyDescent="0.25">
      <c r="A186" t="s">
        <v>445</v>
      </c>
      <c r="B186" s="42" t="s">
        <v>446</v>
      </c>
      <c r="C186" t="s">
        <v>11</v>
      </c>
      <c r="D186" s="42">
        <v>43626</v>
      </c>
      <c r="E186">
        <v>47</v>
      </c>
    </row>
    <row r="187" spans="1:5" x14ac:dyDescent="0.25">
      <c r="A187" t="s">
        <v>448</v>
      </c>
      <c r="B187" t="s">
        <v>449</v>
      </c>
      <c r="C187" t="s">
        <v>453</v>
      </c>
      <c r="D187" s="42">
        <v>43627</v>
      </c>
      <c r="E187">
        <v>14</v>
      </c>
    </row>
    <row r="188" spans="1:5" x14ac:dyDescent="0.25">
      <c r="A188" t="s">
        <v>452</v>
      </c>
      <c r="B188" s="42" t="s">
        <v>447</v>
      </c>
      <c r="C188" t="s">
        <v>9</v>
      </c>
      <c r="D188" s="42">
        <v>43627</v>
      </c>
      <c r="E188">
        <v>37</v>
      </c>
    </row>
    <row r="189" spans="1:5" x14ac:dyDescent="0.25">
      <c r="A189" t="s">
        <v>445</v>
      </c>
      <c r="B189" s="42" t="s">
        <v>447</v>
      </c>
      <c r="C189" t="s">
        <v>451</v>
      </c>
      <c r="D189" s="42">
        <v>43628</v>
      </c>
      <c r="E189">
        <v>32</v>
      </c>
    </row>
    <row r="190" spans="1:5" x14ac:dyDescent="0.25">
      <c r="A190" t="s">
        <v>445</v>
      </c>
      <c r="B190" s="42" t="s">
        <v>446</v>
      </c>
      <c r="C190" t="s">
        <v>4</v>
      </c>
      <c r="D190" s="42">
        <v>43629</v>
      </c>
      <c r="E190">
        <v>7</v>
      </c>
    </row>
    <row r="191" spans="1:5" x14ac:dyDescent="0.25">
      <c r="A191" t="s">
        <v>448</v>
      </c>
      <c r="B191" t="s">
        <v>449</v>
      </c>
      <c r="C191" t="s">
        <v>116</v>
      </c>
      <c r="D191" s="42">
        <v>43629</v>
      </c>
      <c r="E191">
        <v>95</v>
      </c>
    </row>
    <row r="192" spans="1:5" x14ac:dyDescent="0.25">
      <c r="A192" t="s">
        <v>448</v>
      </c>
      <c r="B192" t="s">
        <v>449</v>
      </c>
      <c r="C192" t="s">
        <v>454</v>
      </c>
      <c r="D192" s="42">
        <v>43629</v>
      </c>
      <c r="E192">
        <v>21</v>
      </c>
    </row>
    <row r="193" spans="1:5" x14ac:dyDescent="0.25">
      <c r="A193" t="s">
        <v>445</v>
      </c>
      <c r="B193" s="42" t="s">
        <v>446</v>
      </c>
      <c r="C193" t="s">
        <v>6</v>
      </c>
      <c r="D193" s="42">
        <v>43631</v>
      </c>
      <c r="E193">
        <v>6</v>
      </c>
    </row>
    <row r="194" spans="1:5" x14ac:dyDescent="0.25">
      <c r="A194" t="s">
        <v>445</v>
      </c>
      <c r="B194" s="42" t="s">
        <v>446</v>
      </c>
      <c r="C194" t="s">
        <v>10</v>
      </c>
      <c r="D194" s="42">
        <v>43631</v>
      </c>
      <c r="E194">
        <v>100</v>
      </c>
    </row>
    <row r="195" spans="1:5" x14ac:dyDescent="0.25">
      <c r="A195" t="s">
        <v>448</v>
      </c>
      <c r="B195" t="s">
        <v>449</v>
      </c>
      <c r="C195" t="s">
        <v>118</v>
      </c>
      <c r="D195" s="42">
        <v>43631</v>
      </c>
      <c r="E195">
        <v>32</v>
      </c>
    </row>
    <row r="196" spans="1:5" x14ac:dyDescent="0.25">
      <c r="A196" t="s">
        <v>452</v>
      </c>
      <c r="B196" t="s">
        <v>449</v>
      </c>
      <c r="C196" t="s">
        <v>114</v>
      </c>
      <c r="D196" s="42">
        <v>43632</v>
      </c>
      <c r="E196">
        <v>142</v>
      </c>
    </row>
    <row r="197" spans="1:5" x14ac:dyDescent="0.25">
      <c r="A197" t="s">
        <v>448</v>
      </c>
      <c r="B197" t="s">
        <v>449</v>
      </c>
      <c r="C197" t="s">
        <v>116</v>
      </c>
      <c r="D197" s="42">
        <v>43635</v>
      </c>
      <c r="E197">
        <v>89</v>
      </c>
    </row>
    <row r="198" spans="1:5" x14ac:dyDescent="0.25">
      <c r="A198" t="s">
        <v>445</v>
      </c>
      <c r="B198" s="42" t="s">
        <v>446</v>
      </c>
      <c r="C198" t="s">
        <v>3</v>
      </c>
      <c r="D198" s="42">
        <v>43635</v>
      </c>
      <c r="E198">
        <v>9</v>
      </c>
    </row>
    <row r="199" spans="1:5" x14ac:dyDescent="0.25">
      <c r="A199" t="s">
        <v>452</v>
      </c>
      <c r="B199" t="s">
        <v>449</v>
      </c>
      <c r="C199" t="s">
        <v>455</v>
      </c>
      <c r="D199" s="42">
        <v>43635</v>
      </c>
      <c r="E199">
        <v>28</v>
      </c>
    </row>
    <row r="200" spans="1:5" x14ac:dyDescent="0.25">
      <c r="A200" t="s">
        <v>445</v>
      </c>
      <c r="B200" s="42" t="s">
        <v>446</v>
      </c>
      <c r="C200" t="s">
        <v>6</v>
      </c>
      <c r="D200" s="42">
        <v>43637</v>
      </c>
      <c r="E200">
        <v>5</v>
      </c>
    </row>
    <row r="201" spans="1:5" x14ac:dyDescent="0.25">
      <c r="A201" t="s">
        <v>445</v>
      </c>
      <c r="B201" s="42" t="s">
        <v>446</v>
      </c>
      <c r="C201" t="s">
        <v>11</v>
      </c>
      <c r="D201" s="42">
        <v>43637</v>
      </c>
      <c r="E201">
        <v>53</v>
      </c>
    </row>
    <row r="202" spans="1:5" x14ac:dyDescent="0.25">
      <c r="A202" t="s">
        <v>445</v>
      </c>
      <c r="B202" s="42" t="s">
        <v>446</v>
      </c>
      <c r="C202" t="s">
        <v>7</v>
      </c>
      <c r="D202" s="42">
        <v>43638</v>
      </c>
      <c r="E202">
        <v>53</v>
      </c>
    </row>
    <row r="203" spans="1:5" x14ac:dyDescent="0.25">
      <c r="A203" t="s">
        <v>452</v>
      </c>
      <c r="B203" s="42" t="s">
        <v>446</v>
      </c>
      <c r="C203" t="s">
        <v>10</v>
      </c>
      <c r="D203" s="42">
        <v>43639</v>
      </c>
      <c r="E203">
        <v>131</v>
      </c>
    </row>
    <row r="204" spans="1:5" x14ac:dyDescent="0.25">
      <c r="A204" t="s">
        <v>448</v>
      </c>
      <c r="B204" t="s">
        <v>449</v>
      </c>
      <c r="C204" t="s">
        <v>453</v>
      </c>
      <c r="D204" s="42">
        <v>43639</v>
      </c>
      <c r="E204">
        <v>16</v>
      </c>
    </row>
    <row r="205" spans="1:5" x14ac:dyDescent="0.25">
      <c r="A205" t="s">
        <v>448</v>
      </c>
      <c r="B205" s="42" t="s">
        <v>447</v>
      </c>
      <c r="C205" t="s">
        <v>9</v>
      </c>
      <c r="D205" s="42">
        <v>43639</v>
      </c>
      <c r="E205">
        <v>47</v>
      </c>
    </row>
    <row r="206" spans="1:5" x14ac:dyDescent="0.25">
      <c r="A206" t="s">
        <v>445</v>
      </c>
      <c r="B206" s="42" t="s">
        <v>447</v>
      </c>
      <c r="C206" t="s">
        <v>8</v>
      </c>
      <c r="D206" s="42">
        <v>43639</v>
      </c>
      <c r="E206">
        <v>11</v>
      </c>
    </row>
    <row r="207" spans="1:5" x14ac:dyDescent="0.25">
      <c r="A207" t="s">
        <v>452</v>
      </c>
      <c r="B207" t="s">
        <v>449</v>
      </c>
      <c r="C207" t="s">
        <v>116</v>
      </c>
      <c r="D207" s="42">
        <v>43641</v>
      </c>
      <c r="E207">
        <v>100</v>
      </c>
    </row>
    <row r="208" spans="1:5" x14ac:dyDescent="0.25">
      <c r="A208" t="s">
        <v>448</v>
      </c>
      <c r="B208" t="s">
        <v>449</v>
      </c>
      <c r="C208" t="s">
        <v>454</v>
      </c>
      <c r="D208" s="42">
        <v>43641</v>
      </c>
      <c r="E208">
        <v>20</v>
      </c>
    </row>
    <row r="209" spans="1:5" x14ac:dyDescent="0.25">
      <c r="A209" t="s">
        <v>445</v>
      </c>
      <c r="B209" s="42" t="s">
        <v>447</v>
      </c>
      <c r="C209" t="s">
        <v>451</v>
      </c>
      <c r="D209" s="42">
        <v>43642</v>
      </c>
      <c r="E209">
        <v>26</v>
      </c>
    </row>
    <row r="210" spans="1:5" x14ac:dyDescent="0.25">
      <c r="A210" t="s">
        <v>448</v>
      </c>
      <c r="B210" t="s">
        <v>449</v>
      </c>
      <c r="C210" t="s">
        <v>114</v>
      </c>
      <c r="D210" s="42">
        <v>43643</v>
      </c>
      <c r="E210">
        <v>131</v>
      </c>
    </row>
    <row r="211" spans="1:5" x14ac:dyDescent="0.25">
      <c r="A211" t="s">
        <v>445</v>
      </c>
      <c r="B211" s="42" t="s">
        <v>446</v>
      </c>
      <c r="C211" t="s">
        <v>6</v>
      </c>
      <c r="D211" s="42">
        <v>43643</v>
      </c>
      <c r="E211">
        <v>4</v>
      </c>
    </row>
    <row r="212" spans="1:5" x14ac:dyDescent="0.25">
      <c r="A212" t="s">
        <v>448</v>
      </c>
      <c r="B212" s="42" t="s">
        <v>446</v>
      </c>
      <c r="C212" t="s">
        <v>11</v>
      </c>
      <c r="D212" s="42">
        <v>43643</v>
      </c>
      <c r="E212">
        <v>47</v>
      </c>
    </row>
    <row r="213" spans="1:5" x14ac:dyDescent="0.25">
      <c r="A213" t="s">
        <v>448</v>
      </c>
      <c r="B213" t="s">
        <v>449</v>
      </c>
      <c r="C213" t="s">
        <v>450</v>
      </c>
      <c r="D213" s="42">
        <v>43646</v>
      </c>
      <c r="E213">
        <v>26</v>
      </c>
    </row>
    <row r="214" spans="1:5" x14ac:dyDescent="0.25">
      <c r="A214" t="s">
        <v>445</v>
      </c>
      <c r="B214" s="42" t="s">
        <v>446</v>
      </c>
      <c r="C214" t="s">
        <v>6</v>
      </c>
      <c r="D214" s="42">
        <v>43646</v>
      </c>
      <c r="E214">
        <v>6</v>
      </c>
    </row>
  </sheetData>
  <pageMargins left="0.7" right="0.7" top="0.75" bottom="0.75" header="0.3" footer="0.3"/>
  <pageSetup paperSize="9" orientation="portrait" verticalDpi="0"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C5EE3-9B96-42DF-8A63-C83AEB4E4A6C}">
  <dimension ref="A1:M214"/>
  <sheetViews>
    <sheetView zoomScaleNormal="100" workbookViewId="0">
      <selection activeCell="J18" sqref="J18"/>
    </sheetView>
  </sheetViews>
  <sheetFormatPr defaultColWidth="8.85546875" defaultRowHeight="15" x14ac:dyDescent="0.25"/>
  <cols>
    <col min="1" max="1" width="17.42578125" customWidth="1"/>
    <col min="2" max="2" width="23.85546875" customWidth="1"/>
    <col min="3" max="3" width="13.5703125" customWidth="1"/>
    <col min="4" max="4" width="12.42578125" customWidth="1"/>
    <col min="7" max="7" width="13.140625" bestFit="1" customWidth="1"/>
    <col min="8" max="8" width="9.42578125" bestFit="1" customWidth="1"/>
    <col min="9" max="10" width="11.85546875" bestFit="1" customWidth="1"/>
    <col min="11" max="11" width="9.140625" bestFit="1" customWidth="1"/>
    <col min="12" max="12" width="7.28515625" bestFit="1" customWidth="1"/>
    <col min="13" max="13" width="5.140625" bestFit="1" customWidth="1"/>
    <col min="14" max="14" width="8.140625" bestFit="1" customWidth="1"/>
    <col min="15" max="15" width="7.85546875" bestFit="1" customWidth="1"/>
    <col min="16" max="16" width="8.140625" bestFit="1" customWidth="1"/>
    <col min="17" max="17" width="7.85546875" bestFit="1" customWidth="1"/>
    <col min="18" max="18" width="9.42578125" bestFit="1" customWidth="1"/>
    <col min="19" max="19" width="5.140625" bestFit="1" customWidth="1"/>
    <col min="20" max="20" width="5.85546875" bestFit="1" customWidth="1"/>
    <col min="21" max="21" width="8.28515625" bestFit="1" customWidth="1"/>
    <col min="22" max="22" width="8.85546875" bestFit="1" customWidth="1"/>
    <col min="23" max="23" width="7.140625" bestFit="1" customWidth="1"/>
    <col min="24" max="24" width="11.85546875" bestFit="1" customWidth="1"/>
    <col min="25" max="25" width="7.5703125" bestFit="1" customWidth="1"/>
    <col min="26" max="26" width="6.140625" bestFit="1" customWidth="1"/>
    <col min="27" max="27" width="9.140625" bestFit="1" customWidth="1"/>
    <col min="28" max="28" width="7.28515625" bestFit="1" customWidth="1"/>
    <col min="29" max="29" width="5.140625" bestFit="1" customWidth="1"/>
    <col min="30" max="30" width="8.140625" bestFit="1" customWidth="1"/>
    <col min="31" max="31" width="7.85546875" bestFit="1" customWidth="1"/>
    <col min="32" max="32" width="8.140625" bestFit="1" customWidth="1"/>
    <col min="33" max="33" width="7.85546875" bestFit="1" customWidth="1"/>
    <col min="34" max="34" width="9.42578125" bestFit="1" customWidth="1"/>
    <col min="35" max="35" width="5.140625" bestFit="1" customWidth="1"/>
    <col min="36" max="36" width="5.85546875" bestFit="1" customWidth="1"/>
    <col min="37" max="37" width="8.28515625" bestFit="1" customWidth="1"/>
    <col min="39" max="39" width="7.140625" bestFit="1" customWidth="1"/>
    <col min="40" max="40" width="17.42578125" bestFit="1" customWidth="1"/>
    <col min="41" max="41" width="16.7109375" bestFit="1" customWidth="1"/>
  </cols>
  <sheetData>
    <row r="1" spans="1:13" ht="23.25" x14ac:dyDescent="0.35">
      <c r="A1" s="257" t="s">
        <v>771</v>
      </c>
      <c r="B1" s="1" t="s">
        <v>441</v>
      </c>
      <c r="C1" s="1"/>
      <c r="D1" s="1"/>
      <c r="E1" s="1"/>
      <c r="F1" s="1"/>
      <c r="G1" s="1"/>
      <c r="H1" s="1"/>
    </row>
    <row r="2" spans="1:13" x14ac:dyDescent="0.25">
      <c r="G2" s="356" t="s">
        <v>36</v>
      </c>
      <c r="H2" t="s">
        <v>1228</v>
      </c>
    </row>
    <row r="3" spans="1:13" x14ac:dyDescent="0.25">
      <c r="B3" t="s">
        <v>768</v>
      </c>
      <c r="G3" s="356" t="s">
        <v>444</v>
      </c>
      <c r="H3" t="s">
        <v>1228</v>
      </c>
    </row>
    <row r="5" spans="1:13" x14ac:dyDescent="0.25">
      <c r="A5" s="48" t="s">
        <v>443</v>
      </c>
      <c r="B5" s="48" t="s">
        <v>444</v>
      </c>
      <c r="C5" s="48" t="s">
        <v>35</v>
      </c>
      <c r="D5" s="48" t="s">
        <v>36</v>
      </c>
      <c r="E5" s="48" t="s">
        <v>411</v>
      </c>
      <c r="G5" s="356" t="s">
        <v>443</v>
      </c>
      <c r="H5" s="356" t="s">
        <v>35</v>
      </c>
      <c r="I5" t="s">
        <v>1227</v>
      </c>
    </row>
    <row r="6" spans="1:13" x14ac:dyDescent="0.25">
      <c r="A6" t="s">
        <v>445</v>
      </c>
      <c r="B6" s="42" t="s">
        <v>446</v>
      </c>
      <c r="C6" t="s">
        <v>3</v>
      </c>
      <c r="D6" s="42">
        <v>43498</v>
      </c>
      <c r="E6">
        <v>8</v>
      </c>
      <c r="G6" t="s">
        <v>445</v>
      </c>
      <c r="H6" t="s">
        <v>7</v>
      </c>
      <c r="I6">
        <v>481</v>
      </c>
    </row>
    <row r="7" spans="1:13" x14ac:dyDescent="0.25">
      <c r="A7" t="s">
        <v>445</v>
      </c>
      <c r="B7" s="42" t="s">
        <v>447</v>
      </c>
      <c r="C7" t="s">
        <v>8</v>
      </c>
      <c r="D7" s="42">
        <v>43499</v>
      </c>
      <c r="E7">
        <v>15</v>
      </c>
      <c r="H7" t="s">
        <v>6</v>
      </c>
      <c r="I7">
        <v>96</v>
      </c>
    </row>
    <row r="8" spans="1:13" x14ac:dyDescent="0.25">
      <c r="A8" t="s">
        <v>448</v>
      </c>
      <c r="B8" s="42" t="s">
        <v>449</v>
      </c>
      <c r="C8" t="s">
        <v>450</v>
      </c>
      <c r="D8" s="42">
        <v>43500</v>
      </c>
      <c r="E8">
        <v>22</v>
      </c>
      <c r="H8" t="s">
        <v>4</v>
      </c>
      <c r="I8">
        <v>69</v>
      </c>
    </row>
    <row r="9" spans="1:13" x14ac:dyDescent="0.25">
      <c r="A9" t="s">
        <v>445</v>
      </c>
      <c r="B9" s="42" t="s">
        <v>447</v>
      </c>
      <c r="C9" t="s">
        <v>451</v>
      </c>
      <c r="D9" s="42">
        <v>43500</v>
      </c>
      <c r="E9">
        <v>35</v>
      </c>
      <c r="H9" t="s">
        <v>10</v>
      </c>
      <c r="I9">
        <v>657</v>
      </c>
    </row>
    <row r="10" spans="1:13" x14ac:dyDescent="0.25">
      <c r="A10" t="s">
        <v>445</v>
      </c>
      <c r="B10" s="42" t="s">
        <v>446</v>
      </c>
      <c r="C10" t="s">
        <v>7</v>
      </c>
      <c r="D10" s="42">
        <v>43501</v>
      </c>
      <c r="E10">
        <v>45</v>
      </c>
      <c r="H10" t="s">
        <v>3</v>
      </c>
      <c r="I10">
        <v>133</v>
      </c>
    </row>
    <row r="11" spans="1:13" x14ac:dyDescent="0.25">
      <c r="A11" t="s">
        <v>452</v>
      </c>
      <c r="B11" s="42" t="s">
        <v>449</v>
      </c>
      <c r="C11" t="s">
        <v>116</v>
      </c>
      <c r="D11" s="42">
        <v>43501</v>
      </c>
      <c r="E11">
        <v>85</v>
      </c>
      <c r="H11" t="s">
        <v>11</v>
      </c>
      <c r="I11">
        <v>301</v>
      </c>
    </row>
    <row r="12" spans="1:13" x14ac:dyDescent="0.25">
      <c r="A12" t="s">
        <v>445</v>
      </c>
      <c r="B12" s="42" t="s">
        <v>446</v>
      </c>
      <c r="C12" t="s">
        <v>3</v>
      </c>
      <c r="D12" s="42">
        <v>43501</v>
      </c>
      <c r="E12">
        <v>7</v>
      </c>
      <c r="H12" t="s">
        <v>9</v>
      </c>
      <c r="I12">
        <v>174</v>
      </c>
      <c r="K12" s="88"/>
      <c r="L12" s="88"/>
      <c r="M12" s="88"/>
    </row>
    <row r="13" spans="1:13" x14ac:dyDescent="0.25">
      <c r="A13" t="s">
        <v>445</v>
      </c>
      <c r="B13" s="42" t="s">
        <v>446</v>
      </c>
      <c r="C13" t="s">
        <v>6</v>
      </c>
      <c r="D13" s="42">
        <v>43503</v>
      </c>
      <c r="E13">
        <v>5</v>
      </c>
      <c r="H13" t="s">
        <v>8</v>
      </c>
      <c r="I13">
        <v>162</v>
      </c>
    </row>
    <row r="14" spans="1:13" x14ac:dyDescent="0.25">
      <c r="A14" t="s">
        <v>445</v>
      </c>
      <c r="B14" s="42" t="s">
        <v>446</v>
      </c>
      <c r="C14" t="s">
        <v>4</v>
      </c>
      <c r="D14" s="42">
        <v>43503</v>
      </c>
      <c r="E14">
        <v>8</v>
      </c>
      <c r="H14" t="s">
        <v>451</v>
      </c>
      <c r="I14">
        <v>369</v>
      </c>
    </row>
    <row r="15" spans="1:13" x14ac:dyDescent="0.25">
      <c r="A15" t="s">
        <v>448</v>
      </c>
      <c r="B15" s="42" t="s">
        <v>446</v>
      </c>
      <c r="C15" t="s">
        <v>10</v>
      </c>
      <c r="D15" s="42">
        <v>43503</v>
      </c>
      <c r="E15">
        <v>100</v>
      </c>
      <c r="G15" t="s">
        <v>1229</v>
      </c>
      <c r="I15">
        <v>2442</v>
      </c>
    </row>
    <row r="16" spans="1:13" x14ac:dyDescent="0.25">
      <c r="A16" t="s">
        <v>452</v>
      </c>
      <c r="B16" s="42" t="s">
        <v>449</v>
      </c>
      <c r="C16" t="s">
        <v>453</v>
      </c>
      <c r="D16" s="42">
        <v>43503</v>
      </c>
      <c r="E16">
        <v>12</v>
      </c>
      <c r="G16" t="s">
        <v>452</v>
      </c>
      <c r="H16" t="s">
        <v>450</v>
      </c>
      <c r="I16">
        <v>96</v>
      </c>
    </row>
    <row r="17" spans="1:9" x14ac:dyDescent="0.25">
      <c r="A17" t="s">
        <v>448</v>
      </c>
      <c r="B17" s="42" t="s">
        <v>449</v>
      </c>
      <c r="C17" t="s">
        <v>114</v>
      </c>
      <c r="D17" s="42">
        <v>43505</v>
      </c>
      <c r="E17">
        <v>120</v>
      </c>
      <c r="H17" t="s">
        <v>114</v>
      </c>
      <c r="I17">
        <v>554</v>
      </c>
    </row>
    <row r="18" spans="1:9" x14ac:dyDescent="0.25">
      <c r="A18" t="s">
        <v>452</v>
      </c>
      <c r="B18" s="42" t="s">
        <v>449</v>
      </c>
      <c r="C18" t="s">
        <v>454</v>
      </c>
      <c r="D18" s="42">
        <v>43505</v>
      </c>
      <c r="E18">
        <v>20</v>
      </c>
      <c r="H18" t="s">
        <v>118</v>
      </c>
      <c r="I18">
        <v>80</v>
      </c>
    </row>
    <row r="19" spans="1:9" x14ac:dyDescent="0.25">
      <c r="A19" t="s">
        <v>452</v>
      </c>
      <c r="B19" s="42" t="s">
        <v>449</v>
      </c>
      <c r="C19" t="s">
        <v>453</v>
      </c>
      <c r="D19" s="42">
        <v>43505</v>
      </c>
      <c r="E19">
        <v>15</v>
      </c>
      <c r="H19" t="s">
        <v>116</v>
      </c>
      <c r="I19">
        <v>577</v>
      </c>
    </row>
    <row r="20" spans="1:9" x14ac:dyDescent="0.25">
      <c r="A20" t="s">
        <v>452</v>
      </c>
      <c r="B20" s="42" t="s">
        <v>449</v>
      </c>
      <c r="C20" t="s">
        <v>118</v>
      </c>
      <c r="D20" s="42">
        <v>43506</v>
      </c>
      <c r="E20">
        <v>25</v>
      </c>
      <c r="H20" t="s">
        <v>10</v>
      </c>
      <c r="I20">
        <v>400</v>
      </c>
    </row>
    <row r="21" spans="1:9" x14ac:dyDescent="0.25">
      <c r="A21" t="s">
        <v>448</v>
      </c>
      <c r="B21" s="42" t="s">
        <v>447</v>
      </c>
      <c r="C21" t="s">
        <v>9</v>
      </c>
      <c r="D21" s="42">
        <v>43506</v>
      </c>
      <c r="E21">
        <v>35</v>
      </c>
      <c r="H21" t="s">
        <v>11</v>
      </c>
      <c r="I21">
        <v>145</v>
      </c>
    </row>
    <row r="22" spans="1:9" x14ac:dyDescent="0.25">
      <c r="A22" t="s">
        <v>448</v>
      </c>
      <c r="B22" s="42" t="s">
        <v>447</v>
      </c>
      <c r="C22" t="s">
        <v>9</v>
      </c>
      <c r="D22" s="42">
        <v>43506</v>
      </c>
      <c r="E22">
        <v>40</v>
      </c>
      <c r="H22" t="s">
        <v>454</v>
      </c>
      <c r="I22">
        <v>180</v>
      </c>
    </row>
    <row r="23" spans="1:9" x14ac:dyDescent="0.25">
      <c r="A23" t="s">
        <v>448</v>
      </c>
      <c r="B23" s="42" t="s">
        <v>446</v>
      </c>
      <c r="C23" t="s">
        <v>11</v>
      </c>
      <c r="D23" s="42">
        <v>43508</v>
      </c>
      <c r="E23">
        <v>40</v>
      </c>
      <c r="H23" t="s">
        <v>453</v>
      </c>
      <c r="I23">
        <v>117</v>
      </c>
    </row>
    <row r="24" spans="1:9" x14ac:dyDescent="0.25">
      <c r="A24" t="s">
        <v>452</v>
      </c>
      <c r="B24" s="42" t="s">
        <v>449</v>
      </c>
      <c r="C24" t="s">
        <v>454</v>
      </c>
      <c r="D24" s="42">
        <v>43508</v>
      </c>
      <c r="E24">
        <v>23</v>
      </c>
      <c r="H24" t="s">
        <v>9</v>
      </c>
      <c r="I24">
        <v>180</v>
      </c>
    </row>
    <row r="25" spans="1:9" x14ac:dyDescent="0.25">
      <c r="A25" t="s">
        <v>445</v>
      </c>
      <c r="B25" s="42" t="s">
        <v>447</v>
      </c>
      <c r="C25" t="s">
        <v>8</v>
      </c>
      <c r="D25" s="42">
        <v>43508</v>
      </c>
      <c r="E25">
        <v>10</v>
      </c>
      <c r="H25" t="s">
        <v>455</v>
      </c>
      <c r="I25">
        <v>172</v>
      </c>
    </row>
    <row r="26" spans="1:9" x14ac:dyDescent="0.25">
      <c r="A26" t="s">
        <v>445</v>
      </c>
      <c r="B26" s="42" t="s">
        <v>446</v>
      </c>
      <c r="C26" t="s">
        <v>3</v>
      </c>
      <c r="D26" s="42">
        <v>43509</v>
      </c>
      <c r="E26">
        <v>10</v>
      </c>
      <c r="G26" t="s">
        <v>1230</v>
      </c>
      <c r="I26">
        <v>2501</v>
      </c>
    </row>
    <row r="27" spans="1:9" x14ac:dyDescent="0.25">
      <c r="A27" t="s">
        <v>452</v>
      </c>
      <c r="B27" s="42" t="s">
        <v>449</v>
      </c>
      <c r="C27" t="s">
        <v>450</v>
      </c>
      <c r="D27" s="42">
        <v>43511</v>
      </c>
      <c r="E27">
        <v>21</v>
      </c>
      <c r="G27" t="s">
        <v>448</v>
      </c>
      <c r="H27" t="s">
        <v>450</v>
      </c>
      <c r="I27">
        <v>185</v>
      </c>
    </row>
    <row r="28" spans="1:9" x14ac:dyDescent="0.25">
      <c r="A28" t="s">
        <v>445</v>
      </c>
      <c r="B28" s="42" t="s">
        <v>446</v>
      </c>
      <c r="C28" t="s">
        <v>4</v>
      </c>
      <c r="D28" s="42">
        <v>43511</v>
      </c>
      <c r="E28">
        <v>7</v>
      </c>
      <c r="H28" t="s">
        <v>114</v>
      </c>
      <c r="I28">
        <v>1079</v>
      </c>
    </row>
    <row r="29" spans="1:9" x14ac:dyDescent="0.25">
      <c r="A29" t="s">
        <v>445</v>
      </c>
      <c r="B29" s="42" t="s">
        <v>446</v>
      </c>
      <c r="C29" t="s">
        <v>7</v>
      </c>
      <c r="D29" s="42">
        <v>43512</v>
      </c>
      <c r="E29">
        <v>55</v>
      </c>
      <c r="H29" t="s">
        <v>118</v>
      </c>
      <c r="I29">
        <v>177</v>
      </c>
    </row>
    <row r="30" spans="1:9" x14ac:dyDescent="0.25">
      <c r="A30" t="s">
        <v>448</v>
      </c>
      <c r="B30" s="42" t="s">
        <v>449</v>
      </c>
      <c r="C30" t="s">
        <v>453</v>
      </c>
      <c r="D30" s="42">
        <v>43513</v>
      </c>
      <c r="E30">
        <v>12</v>
      </c>
      <c r="H30" t="s">
        <v>116</v>
      </c>
      <c r="I30">
        <v>864</v>
      </c>
    </row>
    <row r="31" spans="1:9" x14ac:dyDescent="0.25">
      <c r="A31" t="s">
        <v>448</v>
      </c>
      <c r="B31" s="42" t="s">
        <v>449</v>
      </c>
      <c r="C31" t="s">
        <v>118</v>
      </c>
      <c r="D31" s="42">
        <v>43513</v>
      </c>
      <c r="E31">
        <v>25</v>
      </c>
      <c r="H31" t="s">
        <v>10</v>
      </c>
      <c r="I31">
        <v>320</v>
      </c>
    </row>
    <row r="32" spans="1:9" x14ac:dyDescent="0.25">
      <c r="A32" t="s">
        <v>452</v>
      </c>
      <c r="B32" s="42" t="s">
        <v>447</v>
      </c>
      <c r="C32" t="s">
        <v>9</v>
      </c>
      <c r="D32" s="42">
        <v>43513</v>
      </c>
      <c r="E32">
        <v>45</v>
      </c>
      <c r="H32" t="s">
        <v>11</v>
      </c>
      <c r="I32">
        <v>292</v>
      </c>
    </row>
    <row r="33" spans="1:9" x14ac:dyDescent="0.25">
      <c r="A33" t="s">
        <v>448</v>
      </c>
      <c r="B33" t="s">
        <v>449</v>
      </c>
      <c r="C33" t="s">
        <v>455</v>
      </c>
      <c r="D33" s="42">
        <v>43514</v>
      </c>
      <c r="E33">
        <v>25</v>
      </c>
      <c r="H33" t="s">
        <v>454</v>
      </c>
      <c r="I33">
        <v>162</v>
      </c>
    </row>
    <row r="34" spans="1:9" x14ac:dyDescent="0.25">
      <c r="A34" t="s">
        <v>445</v>
      </c>
      <c r="B34" s="42" t="s">
        <v>447</v>
      </c>
      <c r="C34" t="s">
        <v>451</v>
      </c>
      <c r="D34" s="42">
        <v>43515</v>
      </c>
      <c r="E34">
        <v>25</v>
      </c>
      <c r="H34" t="s">
        <v>453</v>
      </c>
      <c r="I34">
        <v>99</v>
      </c>
    </row>
    <row r="35" spans="1:9" x14ac:dyDescent="0.25">
      <c r="A35" t="s">
        <v>448</v>
      </c>
      <c r="B35" t="s">
        <v>449</v>
      </c>
      <c r="C35" t="s">
        <v>116</v>
      </c>
      <c r="D35" s="42">
        <v>43515</v>
      </c>
      <c r="E35">
        <v>95</v>
      </c>
      <c r="H35" t="s">
        <v>9</v>
      </c>
      <c r="I35">
        <v>286</v>
      </c>
    </row>
    <row r="36" spans="1:9" x14ac:dyDescent="0.25">
      <c r="A36" t="s">
        <v>448</v>
      </c>
      <c r="B36" s="42" t="s">
        <v>446</v>
      </c>
      <c r="C36" t="s">
        <v>11</v>
      </c>
      <c r="D36" s="42">
        <v>43515</v>
      </c>
      <c r="E36">
        <v>50</v>
      </c>
      <c r="H36" t="s">
        <v>455</v>
      </c>
      <c r="I36">
        <v>231</v>
      </c>
    </row>
    <row r="37" spans="1:9" x14ac:dyDescent="0.25">
      <c r="A37" t="s">
        <v>448</v>
      </c>
      <c r="B37" t="s">
        <v>449</v>
      </c>
      <c r="C37" t="s">
        <v>454</v>
      </c>
      <c r="D37" s="42">
        <v>43516</v>
      </c>
      <c r="E37">
        <v>25</v>
      </c>
      <c r="G37" t="s">
        <v>1231</v>
      </c>
      <c r="I37">
        <v>3695</v>
      </c>
    </row>
    <row r="38" spans="1:9" x14ac:dyDescent="0.25">
      <c r="A38" t="s">
        <v>452</v>
      </c>
      <c r="B38" t="s">
        <v>449</v>
      </c>
      <c r="C38" t="s">
        <v>455</v>
      </c>
      <c r="D38" s="42">
        <v>43516</v>
      </c>
      <c r="E38">
        <v>27</v>
      </c>
      <c r="G38" t="s">
        <v>1017</v>
      </c>
      <c r="I38">
        <v>8638</v>
      </c>
    </row>
    <row r="39" spans="1:9" x14ac:dyDescent="0.25">
      <c r="A39" t="s">
        <v>445</v>
      </c>
      <c r="B39" s="42" t="s">
        <v>446</v>
      </c>
      <c r="C39" t="s">
        <v>6</v>
      </c>
      <c r="D39" s="42">
        <v>43517</v>
      </c>
      <c r="E39">
        <v>4</v>
      </c>
    </row>
    <row r="40" spans="1:9" x14ac:dyDescent="0.25">
      <c r="A40" t="s">
        <v>445</v>
      </c>
      <c r="B40" s="42" t="s">
        <v>446</v>
      </c>
      <c r="C40" t="s">
        <v>10</v>
      </c>
      <c r="D40" s="42">
        <v>43518</v>
      </c>
      <c r="E40">
        <v>110</v>
      </c>
    </row>
    <row r="41" spans="1:9" x14ac:dyDescent="0.25">
      <c r="A41" t="s">
        <v>452</v>
      </c>
      <c r="B41" t="s">
        <v>449</v>
      </c>
      <c r="C41" t="s">
        <v>114</v>
      </c>
      <c r="D41" s="42">
        <v>43519</v>
      </c>
      <c r="E41">
        <v>130</v>
      </c>
    </row>
    <row r="42" spans="1:9" x14ac:dyDescent="0.25">
      <c r="A42" t="s">
        <v>448</v>
      </c>
      <c r="B42" t="s">
        <v>449</v>
      </c>
      <c r="C42" t="s">
        <v>455</v>
      </c>
      <c r="D42" s="42">
        <v>43521</v>
      </c>
      <c r="E42">
        <v>28</v>
      </c>
    </row>
    <row r="43" spans="1:9" x14ac:dyDescent="0.25">
      <c r="A43" t="s">
        <v>445</v>
      </c>
      <c r="B43" s="42" t="s">
        <v>446</v>
      </c>
      <c r="C43" t="s">
        <v>3</v>
      </c>
      <c r="D43" s="42">
        <v>43523</v>
      </c>
      <c r="E43">
        <v>8</v>
      </c>
    </row>
    <row r="44" spans="1:9" x14ac:dyDescent="0.25">
      <c r="A44" t="s">
        <v>448</v>
      </c>
      <c r="B44" t="s">
        <v>449</v>
      </c>
      <c r="C44" t="s">
        <v>450</v>
      </c>
      <c r="D44" s="42">
        <v>43524</v>
      </c>
      <c r="E44">
        <v>20</v>
      </c>
    </row>
    <row r="45" spans="1:9" x14ac:dyDescent="0.25">
      <c r="A45" t="s">
        <v>445</v>
      </c>
      <c r="B45" s="42" t="s">
        <v>447</v>
      </c>
      <c r="C45" t="s">
        <v>8</v>
      </c>
      <c r="D45" s="42">
        <v>43524</v>
      </c>
      <c r="E45">
        <v>15</v>
      </c>
    </row>
    <row r="46" spans="1:9" x14ac:dyDescent="0.25">
      <c r="A46" t="s">
        <v>452</v>
      </c>
      <c r="B46" s="42" t="s">
        <v>446</v>
      </c>
      <c r="C46" t="s">
        <v>11</v>
      </c>
      <c r="D46" s="42">
        <v>43525</v>
      </c>
      <c r="E46">
        <v>45</v>
      </c>
    </row>
    <row r="47" spans="1:9" x14ac:dyDescent="0.25">
      <c r="A47" t="s">
        <v>448</v>
      </c>
      <c r="B47" t="s">
        <v>449</v>
      </c>
      <c r="C47" t="s">
        <v>453</v>
      </c>
      <c r="D47" s="42">
        <v>43526</v>
      </c>
      <c r="E47">
        <v>13</v>
      </c>
    </row>
    <row r="48" spans="1:9" x14ac:dyDescent="0.25">
      <c r="A48" t="s">
        <v>448</v>
      </c>
      <c r="B48" s="42" t="s">
        <v>447</v>
      </c>
      <c r="C48" t="s">
        <v>9</v>
      </c>
      <c r="D48" s="42">
        <v>43526</v>
      </c>
      <c r="E48">
        <v>35</v>
      </c>
    </row>
    <row r="49" spans="1:5" x14ac:dyDescent="0.25">
      <c r="A49" t="s">
        <v>445</v>
      </c>
      <c r="B49" s="42" t="s">
        <v>447</v>
      </c>
      <c r="C49" t="s">
        <v>451</v>
      </c>
      <c r="D49" s="42">
        <v>43527</v>
      </c>
      <c r="E49">
        <v>30</v>
      </c>
    </row>
    <row r="50" spans="1:5" x14ac:dyDescent="0.25">
      <c r="A50" t="s">
        <v>445</v>
      </c>
      <c r="B50" s="42" t="s">
        <v>446</v>
      </c>
      <c r="C50" t="s">
        <v>4</v>
      </c>
      <c r="D50" s="42">
        <v>43528</v>
      </c>
      <c r="E50">
        <v>7</v>
      </c>
    </row>
    <row r="51" spans="1:5" x14ac:dyDescent="0.25">
      <c r="A51" t="s">
        <v>448</v>
      </c>
      <c r="B51" t="s">
        <v>449</v>
      </c>
      <c r="C51" t="s">
        <v>116</v>
      </c>
      <c r="D51" s="42">
        <v>43528</v>
      </c>
      <c r="E51">
        <v>90</v>
      </c>
    </row>
    <row r="52" spans="1:5" x14ac:dyDescent="0.25">
      <c r="A52" t="s">
        <v>448</v>
      </c>
      <c r="B52" t="s">
        <v>449</v>
      </c>
      <c r="C52" t="s">
        <v>454</v>
      </c>
      <c r="D52" s="42">
        <v>43528</v>
      </c>
      <c r="E52">
        <v>20</v>
      </c>
    </row>
    <row r="53" spans="1:5" x14ac:dyDescent="0.25">
      <c r="A53" t="s">
        <v>445</v>
      </c>
      <c r="B53" s="42" t="s">
        <v>446</v>
      </c>
      <c r="C53" t="s">
        <v>6</v>
      </c>
      <c r="D53" s="42">
        <v>43530</v>
      </c>
      <c r="E53">
        <v>6</v>
      </c>
    </row>
    <row r="54" spans="1:5" x14ac:dyDescent="0.25">
      <c r="A54" t="s">
        <v>445</v>
      </c>
      <c r="B54" s="42" t="s">
        <v>446</v>
      </c>
      <c r="C54" t="s">
        <v>10</v>
      </c>
      <c r="D54" s="42">
        <v>43530</v>
      </c>
      <c r="E54">
        <v>95</v>
      </c>
    </row>
    <row r="55" spans="1:5" x14ac:dyDescent="0.25">
      <c r="A55" t="s">
        <v>448</v>
      </c>
      <c r="B55" t="s">
        <v>449</v>
      </c>
      <c r="C55" t="s">
        <v>118</v>
      </c>
      <c r="D55" s="42">
        <v>43530</v>
      </c>
      <c r="E55">
        <v>30</v>
      </c>
    </row>
    <row r="56" spans="1:5" x14ac:dyDescent="0.25">
      <c r="A56" t="s">
        <v>448</v>
      </c>
      <c r="B56" t="s">
        <v>449</v>
      </c>
      <c r="C56" t="s">
        <v>114</v>
      </c>
      <c r="D56" s="42">
        <v>43531</v>
      </c>
      <c r="E56">
        <v>135</v>
      </c>
    </row>
    <row r="57" spans="1:5" x14ac:dyDescent="0.25">
      <c r="A57" t="s">
        <v>452</v>
      </c>
      <c r="B57" t="s">
        <v>449</v>
      </c>
      <c r="C57" t="s">
        <v>116</v>
      </c>
      <c r="D57" s="42">
        <v>43534</v>
      </c>
      <c r="E57">
        <v>85</v>
      </c>
    </row>
    <row r="58" spans="1:5" x14ac:dyDescent="0.25">
      <c r="A58" t="s">
        <v>445</v>
      </c>
      <c r="B58" s="42" t="s">
        <v>446</v>
      </c>
      <c r="C58" t="s">
        <v>3</v>
      </c>
      <c r="D58" s="42">
        <v>43534</v>
      </c>
      <c r="E58">
        <v>9</v>
      </c>
    </row>
    <row r="59" spans="1:5" x14ac:dyDescent="0.25">
      <c r="A59" t="s">
        <v>452</v>
      </c>
      <c r="B59" t="s">
        <v>449</v>
      </c>
      <c r="C59" t="s">
        <v>455</v>
      </c>
      <c r="D59" s="42">
        <v>43534</v>
      </c>
      <c r="E59">
        <v>27</v>
      </c>
    </row>
    <row r="60" spans="1:5" x14ac:dyDescent="0.25">
      <c r="A60" t="s">
        <v>445</v>
      </c>
      <c r="B60" s="42" t="s">
        <v>446</v>
      </c>
      <c r="C60" t="s">
        <v>6</v>
      </c>
      <c r="D60" s="42">
        <v>43536</v>
      </c>
      <c r="E60">
        <v>5</v>
      </c>
    </row>
    <row r="61" spans="1:5" x14ac:dyDescent="0.25">
      <c r="A61" t="s">
        <v>448</v>
      </c>
      <c r="B61" s="42" t="s">
        <v>446</v>
      </c>
      <c r="C61" t="s">
        <v>11</v>
      </c>
      <c r="D61" s="42">
        <v>43536</v>
      </c>
      <c r="E61">
        <v>50</v>
      </c>
    </row>
    <row r="62" spans="1:5" x14ac:dyDescent="0.25">
      <c r="A62" t="s">
        <v>445</v>
      </c>
      <c r="B62" s="42" t="s">
        <v>446</v>
      </c>
      <c r="C62" t="s">
        <v>7</v>
      </c>
      <c r="D62" s="42">
        <v>43537</v>
      </c>
      <c r="E62">
        <v>50</v>
      </c>
    </row>
    <row r="63" spans="1:5" x14ac:dyDescent="0.25">
      <c r="A63" t="s">
        <v>452</v>
      </c>
      <c r="B63" s="42" t="s">
        <v>446</v>
      </c>
      <c r="C63" t="s">
        <v>10</v>
      </c>
      <c r="D63" s="42">
        <v>43538</v>
      </c>
      <c r="E63">
        <v>125</v>
      </c>
    </row>
    <row r="64" spans="1:5" x14ac:dyDescent="0.25">
      <c r="A64" t="s">
        <v>452</v>
      </c>
      <c r="B64" t="s">
        <v>449</v>
      </c>
      <c r="C64" t="s">
        <v>453</v>
      </c>
      <c r="D64" s="42">
        <v>43538</v>
      </c>
      <c r="E64">
        <v>15</v>
      </c>
    </row>
    <row r="65" spans="1:5" x14ac:dyDescent="0.25">
      <c r="A65" t="s">
        <v>445</v>
      </c>
      <c r="B65" s="42" t="s">
        <v>447</v>
      </c>
      <c r="C65" t="s">
        <v>9</v>
      </c>
      <c r="D65" s="42">
        <v>43538</v>
      </c>
      <c r="E65">
        <v>45</v>
      </c>
    </row>
    <row r="66" spans="1:5" x14ac:dyDescent="0.25">
      <c r="A66" t="s">
        <v>445</v>
      </c>
      <c r="B66" s="42" t="s">
        <v>447</v>
      </c>
      <c r="C66" t="s">
        <v>8</v>
      </c>
      <c r="D66" s="42">
        <v>43538</v>
      </c>
      <c r="E66">
        <v>10</v>
      </c>
    </row>
    <row r="67" spans="1:5" x14ac:dyDescent="0.25">
      <c r="A67" t="s">
        <v>448</v>
      </c>
      <c r="B67" t="s">
        <v>449</v>
      </c>
      <c r="C67" t="s">
        <v>116</v>
      </c>
      <c r="D67" s="42">
        <v>43540</v>
      </c>
      <c r="E67">
        <v>95</v>
      </c>
    </row>
    <row r="68" spans="1:5" x14ac:dyDescent="0.25">
      <c r="A68" t="s">
        <v>452</v>
      </c>
      <c r="B68" t="s">
        <v>449</v>
      </c>
      <c r="C68" t="s">
        <v>454</v>
      </c>
      <c r="D68" s="42">
        <v>43540</v>
      </c>
      <c r="E68">
        <v>19</v>
      </c>
    </row>
    <row r="69" spans="1:5" x14ac:dyDescent="0.25">
      <c r="A69" t="s">
        <v>445</v>
      </c>
      <c r="B69" s="42" t="s">
        <v>447</v>
      </c>
      <c r="C69" t="s">
        <v>451</v>
      </c>
      <c r="D69" s="42">
        <v>43541</v>
      </c>
      <c r="E69">
        <v>25</v>
      </c>
    </row>
    <row r="70" spans="1:5" x14ac:dyDescent="0.25">
      <c r="A70" t="s">
        <v>448</v>
      </c>
      <c r="B70" t="s">
        <v>449</v>
      </c>
      <c r="C70" t="s">
        <v>114</v>
      </c>
      <c r="D70" s="42">
        <v>43542</v>
      </c>
      <c r="E70">
        <v>125</v>
      </c>
    </row>
    <row r="71" spans="1:5" x14ac:dyDescent="0.25">
      <c r="A71" t="s">
        <v>445</v>
      </c>
      <c r="B71" s="42" t="s">
        <v>446</v>
      </c>
      <c r="C71" t="s">
        <v>6</v>
      </c>
      <c r="D71" s="42">
        <v>43542</v>
      </c>
      <c r="E71">
        <v>4</v>
      </c>
    </row>
    <row r="72" spans="1:5" x14ac:dyDescent="0.25">
      <c r="A72" t="s">
        <v>445</v>
      </c>
      <c r="B72" s="42" t="s">
        <v>446</v>
      </c>
      <c r="C72" t="s">
        <v>11</v>
      </c>
      <c r="D72" s="42">
        <v>43542</v>
      </c>
      <c r="E72">
        <v>45</v>
      </c>
    </row>
    <row r="73" spans="1:5" x14ac:dyDescent="0.25">
      <c r="A73" t="s">
        <v>448</v>
      </c>
      <c r="B73" t="s">
        <v>449</v>
      </c>
      <c r="C73" t="s">
        <v>450</v>
      </c>
      <c r="D73" s="42">
        <v>43545</v>
      </c>
      <c r="E73">
        <v>25</v>
      </c>
    </row>
    <row r="74" spans="1:5" x14ac:dyDescent="0.25">
      <c r="A74" t="s">
        <v>445</v>
      </c>
      <c r="B74" s="42" t="s">
        <v>446</v>
      </c>
      <c r="C74" t="s">
        <v>6</v>
      </c>
      <c r="D74" s="42">
        <v>43545</v>
      </c>
      <c r="E74">
        <v>6</v>
      </c>
    </row>
    <row r="75" spans="1:5" x14ac:dyDescent="0.25">
      <c r="A75" t="s">
        <v>448</v>
      </c>
      <c r="B75" t="s">
        <v>449</v>
      </c>
      <c r="C75" t="s">
        <v>455</v>
      </c>
      <c r="D75" s="42">
        <v>43546</v>
      </c>
      <c r="E75">
        <v>29</v>
      </c>
    </row>
    <row r="76" spans="1:5" x14ac:dyDescent="0.25">
      <c r="A76" t="s">
        <v>445</v>
      </c>
      <c r="B76" s="42" t="s">
        <v>446</v>
      </c>
      <c r="C76" t="s">
        <v>3</v>
      </c>
      <c r="D76" s="42">
        <v>43547</v>
      </c>
      <c r="E76">
        <v>9</v>
      </c>
    </row>
    <row r="77" spans="1:5" x14ac:dyDescent="0.25">
      <c r="A77" t="s">
        <v>445</v>
      </c>
      <c r="B77" s="42" t="s">
        <v>447</v>
      </c>
      <c r="C77" t="s">
        <v>8</v>
      </c>
      <c r="D77" s="42">
        <v>43548</v>
      </c>
      <c r="E77">
        <v>17</v>
      </c>
    </row>
    <row r="78" spans="1:5" x14ac:dyDescent="0.25">
      <c r="A78" t="s">
        <v>452</v>
      </c>
      <c r="B78" t="s">
        <v>449</v>
      </c>
      <c r="C78" t="s">
        <v>450</v>
      </c>
      <c r="D78" s="42">
        <v>43549</v>
      </c>
      <c r="E78">
        <v>25</v>
      </c>
    </row>
    <row r="79" spans="1:5" x14ac:dyDescent="0.25">
      <c r="A79" t="s">
        <v>445</v>
      </c>
      <c r="B79" s="42" t="s">
        <v>447</v>
      </c>
      <c r="C79" t="s">
        <v>451</v>
      </c>
      <c r="D79" s="42">
        <v>43549</v>
      </c>
      <c r="E79">
        <v>40</v>
      </c>
    </row>
    <row r="80" spans="1:5" x14ac:dyDescent="0.25">
      <c r="A80" t="s">
        <v>445</v>
      </c>
      <c r="B80" s="42" t="s">
        <v>446</v>
      </c>
      <c r="C80" t="s">
        <v>7</v>
      </c>
      <c r="D80" s="42">
        <v>43550</v>
      </c>
      <c r="E80">
        <v>52</v>
      </c>
    </row>
    <row r="81" spans="1:5" x14ac:dyDescent="0.25">
      <c r="A81" t="s">
        <v>448</v>
      </c>
      <c r="B81" t="s">
        <v>449</v>
      </c>
      <c r="C81" t="s">
        <v>116</v>
      </c>
      <c r="D81" s="42">
        <v>43550</v>
      </c>
      <c r="E81">
        <v>98</v>
      </c>
    </row>
    <row r="82" spans="1:5" x14ac:dyDescent="0.25">
      <c r="A82" t="s">
        <v>445</v>
      </c>
      <c r="B82" s="42" t="s">
        <v>446</v>
      </c>
      <c r="C82" t="s">
        <v>3</v>
      </c>
      <c r="D82" s="42">
        <v>43550</v>
      </c>
      <c r="E82">
        <v>8</v>
      </c>
    </row>
    <row r="83" spans="1:5" x14ac:dyDescent="0.25">
      <c r="A83" t="s">
        <v>445</v>
      </c>
      <c r="B83" s="42" t="s">
        <v>446</v>
      </c>
      <c r="C83" t="s">
        <v>6</v>
      </c>
      <c r="D83" s="42">
        <v>43552</v>
      </c>
      <c r="E83">
        <v>6</v>
      </c>
    </row>
    <row r="84" spans="1:5" x14ac:dyDescent="0.25">
      <c r="A84" t="s">
        <v>445</v>
      </c>
      <c r="B84" s="42" t="s">
        <v>446</v>
      </c>
      <c r="C84" t="s">
        <v>4</v>
      </c>
      <c r="D84" s="42">
        <v>43552</v>
      </c>
      <c r="E84">
        <v>9</v>
      </c>
    </row>
    <row r="85" spans="1:5" x14ac:dyDescent="0.25">
      <c r="A85" t="s">
        <v>448</v>
      </c>
      <c r="B85" s="42" t="s">
        <v>446</v>
      </c>
      <c r="C85" t="s">
        <v>10</v>
      </c>
      <c r="D85" s="42">
        <v>43552</v>
      </c>
      <c r="E85">
        <v>115</v>
      </c>
    </row>
    <row r="86" spans="1:5" x14ac:dyDescent="0.25">
      <c r="A86" t="s">
        <v>452</v>
      </c>
      <c r="B86" t="s">
        <v>449</v>
      </c>
      <c r="C86" t="s">
        <v>453</v>
      </c>
      <c r="D86" s="42">
        <v>43552</v>
      </c>
      <c r="E86">
        <v>14</v>
      </c>
    </row>
    <row r="87" spans="1:5" x14ac:dyDescent="0.25">
      <c r="A87" t="s">
        <v>452</v>
      </c>
      <c r="B87" t="s">
        <v>449</v>
      </c>
      <c r="C87" t="s">
        <v>114</v>
      </c>
      <c r="D87" s="42">
        <v>43554</v>
      </c>
      <c r="E87">
        <v>138</v>
      </c>
    </row>
    <row r="88" spans="1:5" x14ac:dyDescent="0.25">
      <c r="A88" t="s">
        <v>452</v>
      </c>
      <c r="B88" t="s">
        <v>449</v>
      </c>
      <c r="C88" t="s">
        <v>454</v>
      </c>
      <c r="D88" s="42">
        <v>43554</v>
      </c>
      <c r="E88">
        <v>23</v>
      </c>
    </row>
    <row r="89" spans="1:5" x14ac:dyDescent="0.25">
      <c r="A89" t="s">
        <v>448</v>
      </c>
      <c r="B89" t="s">
        <v>449</v>
      </c>
      <c r="C89" t="s">
        <v>453</v>
      </c>
      <c r="D89" s="42">
        <v>43554</v>
      </c>
      <c r="E89">
        <v>17</v>
      </c>
    </row>
    <row r="90" spans="1:5" x14ac:dyDescent="0.25">
      <c r="A90" t="s">
        <v>452</v>
      </c>
      <c r="B90" t="s">
        <v>449</v>
      </c>
      <c r="C90" t="s">
        <v>118</v>
      </c>
      <c r="D90" s="42">
        <v>43555</v>
      </c>
      <c r="E90">
        <v>29</v>
      </c>
    </row>
    <row r="91" spans="1:5" x14ac:dyDescent="0.25">
      <c r="A91" t="s">
        <v>445</v>
      </c>
      <c r="B91" s="42" t="s">
        <v>447</v>
      </c>
      <c r="C91" t="s">
        <v>9</v>
      </c>
      <c r="D91" s="42">
        <v>43555</v>
      </c>
      <c r="E91">
        <v>40</v>
      </c>
    </row>
    <row r="92" spans="1:5" x14ac:dyDescent="0.25">
      <c r="A92" t="s">
        <v>452</v>
      </c>
      <c r="B92" s="42" t="s">
        <v>447</v>
      </c>
      <c r="C92" t="s">
        <v>9</v>
      </c>
      <c r="D92" s="42">
        <v>43555</v>
      </c>
      <c r="E92">
        <v>46</v>
      </c>
    </row>
    <row r="93" spans="1:5" x14ac:dyDescent="0.25">
      <c r="A93" t="s">
        <v>445</v>
      </c>
      <c r="B93" s="42" t="s">
        <v>446</v>
      </c>
      <c r="C93" t="s">
        <v>11</v>
      </c>
      <c r="D93" s="42">
        <v>43557</v>
      </c>
      <c r="E93">
        <v>46</v>
      </c>
    </row>
    <row r="94" spans="1:5" x14ac:dyDescent="0.25">
      <c r="A94" t="s">
        <v>448</v>
      </c>
      <c r="B94" t="s">
        <v>449</v>
      </c>
      <c r="C94" t="s">
        <v>454</v>
      </c>
      <c r="D94" s="42">
        <v>43557</v>
      </c>
      <c r="E94">
        <v>26</v>
      </c>
    </row>
    <row r="95" spans="1:5" x14ac:dyDescent="0.25">
      <c r="A95" t="s">
        <v>445</v>
      </c>
      <c r="B95" s="42" t="s">
        <v>447</v>
      </c>
      <c r="C95" t="s">
        <v>8</v>
      </c>
      <c r="D95" s="42">
        <v>43557</v>
      </c>
      <c r="E95">
        <v>12</v>
      </c>
    </row>
    <row r="96" spans="1:5" x14ac:dyDescent="0.25">
      <c r="A96" t="s">
        <v>445</v>
      </c>
      <c r="B96" s="42" t="s">
        <v>446</v>
      </c>
      <c r="C96" t="s">
        <v>3</v>
      </c>
      <c r="D96" s="42">
        <v>43558</v>
      </c>
      <c r="E96">
        <v>12</v>
      </c>
    </row>
    <row r="97" spans="1:5" x14ac:dyDescent="0.25">
      <c r="A97" t="s">
        <v>448</v>
      </c>
      <c r="B97" t="s">
        <v>449</v>
      </c>
      <c r="C97" t="s">
        <v>450</v>
      </c>
      <c r="D97" s="42">
        <v>43560</v>
      </c>
      <c r="E97">
        <v>24</v>
      </c>
    </row>
    <row r="98" spans="1:5" x14ac:dyDescent="0.25">
      <c r="A98" t="s">
        <v>445</v>
      </c>
      <c r="B98" s="42" t="s">
        <v>446</v>
      </c>
      <c r="C98" t="s">
        <v>4</v>
      </c>
      <c r="D98" s="42">
        <v>43560</v>
      </c>
      <c r="E98">
        <v>8</v>
      </c>
    </row>
    <row r="99" spans="1:5" x14ac:dyDescent="0.25">
      <c r="A99" t="s">
        <v>445</v>
      </c>
      <c r="B99" s="42" t="s">
        <v>446</v>
      </c>
      <c r="C99" t="s">
        <v>7</v>
      </c>
      <c r="D99" s="42">
        <v>43561</v>
      </c>
      <c r="E99">
        <v>63</v>
      </c>
    </row>
    <row r="100" spans="1:5" x14ac:dyDescent="0.25">
      <c r="A100" t="s">
        <v>448</v>
      </c>
      <c r="B100" t="s">
        <v>449</v>
      </c>
      <c r="C100" t="s">
        <v>453</v>
      </c>
      <c r="D100" s="42">
        <v>43562</v>
      </c>
      <c r="E100">
        <v>14</v>
      </c>
    </row>
    <row r="101" spans="1:5" x14ac:dyDescent="0.25">
      <c r="A101" t="s">
        <v>448</v>
      </c>
      <c r="B101" t="s">
        <v>449</v>
      </c>
      <c r="C101" t="s">
        <v>118</v>
      </c>
      <c r="D101" s="42">
        <v>43562</v>
      </c>
      <c r="E101">
        <v>29</v>
      </c>
    </row>
    <row r="102" spans="1:5" x14ac:dyDescent="0.25">
      <c r="A102" t="s">
        <v>448</v>
      </c>
      <c r="B102" s="42" t="s">
        <v>447</v>
      </c>
      <c r="C102" t="s">
        <v>9</v>
      </c>
      <c r="D102" s="42">
        <v>43562</v>
      </c>
      <c r="E102">
        <v>52</v>
      </c>
    </row>
    <row r="103" spans="1:5" x14ac:dyDescent="0.25">
      <c r="A103" t="s">
        <v>448</v>
      </c>
      <c r="B103" t="s">
        <v>449</v>
      </c>
      <c r="C103" t="s">
        <v>455</v>
      </c>
      <c r="D103" s="42">
        <v>43563</v>
      </c>
      <c r="E103">
        <v>29</v>
      </c>
    </row>
    <row r="104" spans="1:5" x14ac:dyDescent="0.25">
      <c r="A104" t="s">
        <v>445</v>
      </c>
      <c r="B104" s="42" t="s">
        <v>447</v>
      </c>
      <c r="C104" t="s">
        <v>451</v>
      </c>
      <c r="D104" s="42">
        <v>43564</v>
      </c>
      <c r="E104">
        <v>29</v>
      </c>
    </row>
    <row r="105" spans="1:5" x14ac:dyDescent="0.25">
      <c r="A105" t="s">
        <v>452</v>
      </c>
      <c r="B105" t="s">
        <v>449</v>
      </c>
      <c r="C105" t="s">
        <v>116</v>
      </c>
      <c r="D105" s="42">
        <v>43564</v>
      </c>
      <c r="E105">
        <v>109</v>
      </c>
    </row>
    <row r="106" spans="1:5" x14ac:dyDescent="0.25">
      <c r="A106" t="s">
        <v>452</v>
      </c>
      <c r="B106" s="42" t="s">
        <v>446</v>
      </c>
      <c r="C106" t="s">
        <v>11</v>
      </c>
      <c r="D106" s="42">
        <v>43564</v>
      </c>
      <c r="E106">
        <v>58</v>
      </c>
    </row>
    <row r="107" spans="1:5" x14ac:dyDescent="0.25">
      <c r="A107" t="s">
        <v>448</v>
      </c>
      <c r="B107" t="s">
        <v>449</v>
      </c>
      <c r="C107" t="s">
        <v>454</v>
      </c>
      <c r="D107" s="42">
        <v>43565</v>
      </c>
      <c r="E107">
        <v>29</v>
      </c>
    </row>
    <row r="108" spans="1:5" x14ac:dyDescent="0.25">
      <c r="A108" t="s">
        <v>452</v>
      </c>
      <c r="B108" t="s">
        <v>449</v>
      </c>
      <c r="C108" t="s">
        <v>455</v>
      </c>
      <c r="D108" s="42">
        <v>43565</v>
      </c>
      <c r="E108">
        <v>31</v>
      </c>
    </row>
    <row r="109" spans="1:5" x14ac:dyDescent="0.25">
      <c r="A109" t="s">
        <v>445</v>
      </c>
      <c r="B109" s="42" t="s">
        <v>446</v>
      </c>
      <c r="C109" t="s">
        <v>6</v>
      </c>
      <c r="D109" s="42">
        <v>43566</v>
      </c>
      <c r="E109">
        <v>5</v>
      </c>
    </row>
    <row r="110" spans="1:5" x14ac:dyDescent="0.25">
      <c r="A110" t="s">
        <v>445</v>
      </c>
      <c r="B110" s="42" t="s">
        <v>446</v>
      </c>
      <c r="C110" t="s">
        <v>10</v>
      </c>
      <c r="D110" s="42">
        <v>43567</v>
      </c>
      <c r="E110">
        <v>127</v>
      </c>
    </row>
    <row r="111" spans="1:5" x14ac:dyDescent="0.25">
      <c r="A111" t="s">
        <v>448</v>
      </c>
      <c r="B111" t="s">
        <v>449</v>
      </c>
      <c r="C111" t="s">
        <v>114</v>
      </c>
      <c r="D111" s="42">
        <v>43568</v>
      </c>
      <c r="E111">
        <v>150</v>
      </c>
    </row>
    <row r="112" spans="1:5" x14ac:dyDescent="0.25">
      <c r="A112" t="s">
        <v>448</v>
      </c>
      <c r="B112" t="s">
        <v>449</v>
      </c>
      <c r="C112" t="s">
        <v>455</v>
      </c>
      <c r="D112" s="42">
        <v>43570</v>
      </c>
      <c r="E112">
        <v>32</v>
      </c>
    </row>
    <row r="113" spans="1:5" x14ac:dyDescent="0.25">
      <c r="A113" t="s">
        <v>445</v>
      </c>
      <c r="B113" s="42" t="s">
        <v>446</v>
      </c>
      <c r="C113" t="s">
        <v>3</v>
      </c>
      <c r="D113" s="42">
        <v>43572</v>
      </c>
      <c r="E113">
        <v>9</v>
      </c>
    </row>
    <row r="114" spans="1:5" x14ac:dyDescent="0.25">
      <c r="A114" t="s">
        <v>448</v>
      </c>
      <c r="B114" t="s">
        <v>449</v>
      </c>
      <c r="C114" t="s">
        <v>450</v>
      </c>
      <c r="D114" s="42">
        <v>43573</v>
      </c>
      <c r="E114">
        <v>23</v>
      </c>
    </row>
    <row r="115" spans="1:5" x14ac:dyDescent="0.25">
      <c r="A115" t="s">
        <v>445</v>
      </c>
      <c r="B115" s="42" t="s">
        <v>447</v>
      </c>
      <c r="C115" t="s">
        <v>8</v>
      </c>
      <c r="D115" s="42">
        <v>43573</v>
      </c>
      <c r="E115">
        <v>17</v>
      </c>
    </row>
    <row r="116" spans="1:5" x14ac:dyDescent="0.25">
      <c r="A116" t="s">
        <v>448</v>
      </c>
      <c r="B116" s="42" t="s">
        <v>446</v>
      </c>
      <c r="C116" t="s">
        <v>11</v>
      </c>
      <c r="D116" s="42">
        <v>43574</v>
      </c>
      <c r="E116">
        <v>52</v>
      </c>
    </row>
    <row r="117" spans="1:5" x14ac:dyDescent="0.25">
      <c r="A117" t="s">
        <v>452</v>
      </c>
      <c r="B117" t="s">
        <v>449</v>
      </c>
      <c r="C117" t="s">
        <v>453</v>
      </c>
      <c r="D117" s="42">
        <v>43575</v>
      </c>
      <c r="E117">
        <v>15</v>
      </c>
    </row>
    <row r="118" spans="1:5" x14ac:dyDescent="0.25">
      <c r="A118" t="s">
        <v>448</v>
      </c>
      <c r="B118" s="42" t="s">
        <v>447</v>
      </c>
      <c r="C118" t="s">
        <v>9</v>
      </c>
      <c r="D118" s="42">
        <v>43575</v>
      </c>
      <c r="E118">
        <v>40</v>
      </c>
    </row>
    <row r="119" spans="1:5" x14ac:dyDescent="0.25">
      <c r="A119" t="s">
        <v>445</v>
      </c>
      <c r="B119" s="42" t="s">
        <v>447</v>
      </c>
      <c r="C119" t="s">
        <v>451</v>
      </c>
      <c r="D119" s="42">
        <v>43576</v>
      </c>
      <c r="E119">
        <v>35</v>
      </c>
    </row>
    <row r="120" spans="1:5" x14ac:dyDescent="0.25">
      <c r="A120" t="s">
        <v>445</v>
      </c>
      <c r="B120" s="42" t="s">
        <v>446</v>
      </c>
      <c r="C120" t="s">
        <v>4</v>
      </c>
      <c r="D120" s="42">
        <v>43577</v>
      </c>
      <c r="E120">
        <v>8</v>
      </c>
    </row>
    <row r="121" spans="1:5" x14ac:dyDescent="0.25">
      <c r="A121" t="s">
        <v>448</v>
      </c>
      <c r="B121" t="s">
        <v>449</v>
      </c>
      <c r="C121" t="s">
        <v>116</v>
      </c>
      <c r="D121" s="42">
        <v>43577</v>
      </c>
      <c r="E121">
        <v>104</v>
      </c>
    </row>
    <row r="122" spans="1:5" x14ac:dyDescent="0.25">
      <c r="A122" t="s">
        <v>452</v>
      </c>
      <c r="B122" t="s">
        <v>449</v>
      </c>
      <c r="C122" t="s">
        <v>454</v>
      </c>
      <c r="D122" s="42">
        <v>43577</v>
      </c>
      <c r="E122">
        <v>23</v>
      </c>
    </row>
    <row r="123" spans="1:5" x14ac:dyDescent="0.25">
      <c r="A123" t="s">
        <v>445</v>
      </c>
      <c r="B123" s="42" t="s">
        <v>446</v>
      </c>
      <c r="C123" t="s">
        <v>6</v>
      </c>
      <c r="D123" s="42">
        <v>43579</v>
      </c>
      <c r="E123">
        <v>7</v>
      </c>
    </row>
    <row r="124" spans="1:5" x14ac:dyDescent="0.25">
      <c r="A124" t="s">
        <v>445</v>
      </c>
      <c r="B124" s="42" t="s">
        <v>446</v>
      </c>
      <c r="C124" t="s">
        <v>10</v>
      </c>
      <c r="D124" s="42">
        <v>43579</v>
      </c>
      <c r="E124">
        <v>109</v>
      </c>
    </row>
    <row r="125" spans="1:5" x14ac:dyDescent="0.25">
      <c r="A125" t="s">
        <v>448</v>
      </c>
      <c r="B125" t="s">
        <v>449</v>
      </c>
      <c r="C125" t="s">
        <v>118</v>
      </c>
      <c r="D125" s="42">
        <v>43579</v>
      </c>
      <c r="E125">
        <v>35</v>
      </c>
    </row>
    <row r="126" spans="1:5" x14ac:dyDescent="0.25">
      <c r="A126" t="s">
        <v>448</v>
      </c>
      <c r="B126" t="s">
        <v>449</v>
      </c>
      <c r="C126" t="s">
        <v>114</v>
      </c>
      <c r="D126" s="42">
        <v>43580</v>
      </c>
      <c r="E126">
        <v>155</v>
      </c>
    </row>
    <row r="127" spans="1:5" x14ac:dyDescent="0.25">
      <c r="A127" t="s">
        <v>452</v>
      </c>
      <c r="B127" t="s">
        <v>449</v>
      </c>
      <c r="C127" t="s">
        <v>116</v>
      </c>
      <c r="D127" s="42">
        <v>43583</v>
      </c>
      <c r="E127">
        <v>98</v>
      </c>
    </row>
    <row r="128" spans="1:5" x14ac:dyDescent="0.25">
      <c r="A128" t="s">
        <v>445</v>
      </c>
      <c r="B128" s="42" t="s">
        <v>446</v>
      </c>
      <c r="C128" t="s">
        <v>3</v>
      </c>
      <c r="D128" s="42">
        <v>43583</v>
      </c>
      <c r="E128">
        <v>10</v>
      </c>
    </row>
    <row r="129" spans="1:5" x14ac:dyDescent="0.25">
      <c r="A129" t="s">
        <v>452</v>
      </c>
      <c r="B129" t="s">
        <v>449</v>
      </c>
      <c r="C129" t="s">
        <v>455</v>
      </c>
      <c r="D129" s="42">
        <v>43583</v>
      </c>
      <c r="E129">
        <v>31</v>
      </c>
    </row>
    <row r="130" spans="1:5" x14ac:dyDescent="0.25">
      <c r="A130" t="s">
        <v>445</v>
      </c>
      <c r="B130" s="42" t="s">
        <v>446</v>
      </c>
      <c r="C130" t="s">
        <v>6</v>
      </c>
      <c r="D130" s="42">
        <v>43585</v>
      </c>
      <c r="E130">
        <v>6</v>
      </c>
    </row>
    <row r="131" spans="1:5" x14ac:dyDescent="0.25">
      <c r="A131" t="s">
        <v>445</v>
      </c>
      <c r="B131" s="42" t="s">
        <v>446</v>
      </c>
      <c r="C131" t="s">
        <v>11</v>
      </c>
      <c r="D131" s="42">
        <v>43585</v>
      </c>
      <c r="E131">
        <v>58</v>
      </c>
    </row>
    <row r="132" spans="1:5" x14ac:dyDescent="0.25">
      <c r="A132" t="s">
        <v>445</v>
      </c>
      <c r="B132" s="42" t="s">
        <v>446</v>
      </c>
      <c r="C132" t="s">
        <v>7</v>
      </c>
      <c r="D132" s="42">
        <v>43586</v>
      </c>
      <c r="E132">
        <v>58</v>
      </c>
    </row>
    <row r="133" spans="1:5" x14ac:dyDescent="0.25">
      <c r="A133" t="s">
        <v>452</v>
      </c>
      <c r="B133" s="42" t="s">
        <v>446</v>
      </c>
      <c r="C133" t="s">
        <v>10</v>
      </c>
      <c r="D133" s="42">
        <v>43587</v>
      </c>
      <c r="E133">
        <v>144</v>
      </c>
    </row>
    <row r="134" spans="1:5" x14ac:dyDescent="0.25">
      <c r="A134" t="s">
        <v>452</v>
      </c>
      <c r="B134" t="s">
        <v>449</v>
      </c>
      <c r="C134" t="s">
        <v>453</v>
      </c>
      <c r="D134" s="42">
        <v>43587</v>
      </c>
      <c r="E134">
        <v>17</v>
      </c>
    </row>
    <row r="135" spans="1:5" x14ac:dyDescent="0.25">
      <c r="A135" t="s">
        <v>452</v>
      </c>
      <c r="B135" s="42" t="s">
        <v>447</v>
      </c>
      <c r="C135" t="s">
        <v>9</v>
      </c>
      <c r="D135" s="42">
        <v>43587</v>
      </c>
      <c r="E135">
        <v>52</v>
      </c>
    </row>
    <row r="136" spans="1:5" x14ac:dyDescent="0.25">
      <c r="A136" t="s">
        <v>445</v>
      </c>
      <c r="B136" s="42" t="s">
        <v>447</v>
      </c>
      <c r="C136" t="s">
        <v>8</v>
      </c>
      <c r="D136" s="42">
        <v>43587</v>
      </c>
      <c r="E136">
        <v>12</v>
      </c>
    </row>
    <row r="137" spans="1:5" x14ac:dyDescent="0.25">
      <c r="A137" t="s">
        <v>448</v>
      </c>
      <c r="B137" t="s">
        <v>449</v>
      </c>
      <c r="C137" t="s">
        <v>116</v>
      </c>
      <c r="D137" s="42">
        <v>43589</v>
      </c>
      <c r="E137">
        <v>109</v>
      </c>
    </row>
    <row r="138" spans="1:5" x14ac:dyDescent="0.25">
      <c r="A138" t="s">
        <v>452</v>
      </c>
      <c r="B138" t="s">
        <v>449</v>
      </c>
      <c r="C138" t="s">
        <v>454</v>
      </c>
      <c r="D138" s="42">
        <v>43589</v>
      </c>
      <c r="E138">
        <v>22</v>
      </c>
    </row>
    <row r="139" spans="1:5" x14ac:dyDescent="0.25">
      <c r="A139" t="s">
        <v>445</v>
      </c>
      <c r="B139" s="42" t="s">
        <v>447</v>
      </c>
      <c r="C139" t="s">
        <v>451</v>
      </c>
      <c r="D139" s="42">
        <v>43590</v>
      </c>
      <c r="E139">
        <v>29</v>
      </c>
    </row>
    <row r="140" spans="1:5" x14ac:dyDescent="0.25">
      <c r="A140" t="s">
        <v>452</v>
      </c>
      <c r="B140" t="s">
        <v>449</v>
      </c>
      <c r="C140" t="s">
        <v>114</v>
      </c>
      <c r="D140" s="42">
        <v>43591</v>
      </c>
      <c r="E140">
        <v>144</v>
      </c>
    </row>
    <row r="141" spans="1:5" x14ac:dyDescent="0.25">
      <c r="A141" t="s">
        <v>445</v>
      </c>
      <c r="B141" s="42" t="s">
        <v>446</v>
      </c>
      <c r="C141" t="s">
        <v>6</v>
      </c>
      <c r="D141" s="42">
        <v>43591</v>
      </c>
      <c r="E141">
        <v>5</v>
      </c>
    </row>
    <row r="142" spans="1:5" x14ac:dyDescent="0.25">
      <c r="A142" t="s">
        <v>445</v>
      </c>
      <c r="B142" s="42" t="s">
        <v>446</v>
      </c>
      <c r="C142" t="s">
        <v>11</v>
      </c>
      <c r="D142" s="42">
        <v>43591</v>
      </c>
      <c r="E142">
        <v>52</v>
      </c>
    </row>
    <row r="143" spans="1:5" x14ac:dyDescent="0.25">
      <c r="A143" t="s">
        <v>452</v>
      </c>
      <c r="B143" t="s">
        <v>449</v>
      </c>
      <c r="C143" t="s">
        <v>450</v>
      </c>
      <c r="D143" s="42">
        <v>43594</v>
      </c>
      <c r="E143">
        <v>29</v>
      </c>
    </row>
    <row r="144" spans="1:5" x14ac:dyDescent="0.25">
      <c r="A144" t="s">
        <v>445</v>
      </c>
      <c r="B144" s="42" t="s">
        <v>446</v>
      </c>
      <c r="C144" t="s">
        <v>6</v>
      </c>
      <c r="D144" s="42">
        <v>43594</v>
      </c>
      <c r="E144">
        <v>7</v>
      </c>
    </row>
    <row r="145" spans="1:5" x14ac:dyDescent="0.25">
      <c r="A145" t="s">
        <v>448</v>
      </c>
      <c r="B145" t="s">
        <v>449</v>
      </c>
      <c r="C145" t="s">
        <v>455</v>
      </c>
      <c r="D145" s="42">
        <v>43595</v>
      </c>
      <c r="E145">
        <v>33</v>
      </c>
    </row>
    <row r="146" spans="1:5" x14ac:dyDescent="0.25">
      <c r="A146" t="s">
        <v>445</v>
      </c>
      <c r="B146" s="42" t="s">
        <v>446</v>
      </c>
      <c r="C146" t="s">
        <v>3</v>
      </c>
      <c r="D146" s="42">
        <v>43599</v>
      </c>
      <c r="E146">
        <v>8</v>
      </c>
    </row>
    <row r="147" spans="1:5" x14ac:dyDescent="0.25">
      <c r="A147" t="s">
        <v>445</v>
      </c>
      <c r="B147" s="42" t="s">
        <v>447</v>
      </c>
      <c r="C147" t="s">
        <v>8</v>
      </c>
      <c r="D147" s="42">
        <v>43600</v>
      </c>
      <c r="E147">
        <v>16</v>
      </c>
    </row>
    <row r="148" spans="1:5" x14ac:dyDescent="0.25">
      <c r="A148" t="s">
        <v>448</v>
      </c>
      <c r="B148" t="s">
        <v>449</v>
      </c>
      <c r="C148" t="s">
        <v>450</v>
      </c>
      <c r="D148" s="42">
        <v>43601</v>
      </c>
      <c r="E148">
        <v>23</v>
      </c>
    </row>
    <row r="149" spans="1:5" x14ac:dyDescent="0.25">
      <c r="A149" t="s">
        <v>445</v>
      </c>
      <c r="B149" s="42" t="s">
        <v>447</v>
      </c>
      <c r="C149" t="s">
        <v>451</v>
      </c>
      <c r="D149" s="42">
        <v>43601</v>
      </c>
      <c r="E149">
        <v>37</v>
      </c>
    </row>
    <row r="150" spans="1:5" x14ac:dyDescent="0.25">
      <c r="A150" t="s">
        <v>445</v>
      </c>
      <c r="B150" s="42" t="s">
        <v>446</v>
      </c>
      <c r="C150" t="s">
        <v>7</v>
      </c>
      <c r="D150" s="42">
        <v>43602</v>
      </c>
      <c r="E150">
        <v>47</v>
      </c>
    </row>
    <row r="151" spans="1:5" x14ac:dyDescent="0.25">
      <c r="A151" t="s">
        <v>448</v>
      </c>
      <c r="B151" t="s">
        <v>449</v>
      </c>
      <c r="C151" t="s">
        <v>116</v>
      </c>
      <c r="D151" s="42">
        <v>43602</v>
      </c>
      <c r="E151">
        <v>89</v>
      </c>
    </row>
    <row r="152" spans="1:5" x14ac:dyDescent="0.25">
      <c r="A152" t="s">
        <v>445</v>
      </c>
      <c r="B152" s="42" t="s">
        <v>446</v>
      </c>
      <c r="C152" t="s">
        <v>3</v>
      </c>
      <c r="D152" s="42">
        <v>43602</v>
      </c>
      <c r="E152">
        <v>7</v>
      </c>
    </row>
    <row r="153" spans="1:5" x14ac:dyDescent="0.25">
      <c r="A153" t="s">
        <v>445</v>
      </c>
      <c r="B153" s="42" t="s">
        <v>446</v>
      </c>
      <c r="C153" t="s">
        <v>6</v>
      </c>
      <c r="D153" s="42">
        <v>43604</v>
      </c>
      <c r="E153">
        <v>5</v>
      </c>
    </row>
    <row r="154" spans="1:5" x14ac:dyDescent="0.25">
      <c r="A154" t="s">
        <v>445</v>
      </c>
      <c r="B154" s="42" t="s">
        <v>446</v>
      </c>
      <c r="C154" t="s">
        <v>4</v>
      </c>
      <c r="D154" s="42">
        <v>43604</v>
      </c>
      <c r="E154">
        <v>8</v>
      </c>
    </row>
    <row r="155" spans="1:5" x14ac:dyDescent="0.25">
      <c r="A155" t="s">
        <v>448</v>
      </c>
      <c r="B155" s="42" t="s">
        <v>446</v>
      </c>
      <c r="C155" t="s">
        <v>10</v>
      </c>
      <c r="D155" s="42">
        <v>43604</v>
      </c>
      <c r="E155">
        <v>105</v>
      </c>
    </row>
    <row r="156" spans="1:5" x14ac:dyDescent="0.25">
      <c r="A156" t="s">
        <v>448</v>
      </c>
      <c r="B156" t="s">
        <v>449</v>
      </c>
      <c r="C156" t="s">
        <v>453</v>
      </c>
      <c r="D156" s="42">
        <v>43604</v>
      </c>
      <c r="E156">
        <v>13</v>
      </c>
    </row>
    <row r="157" spans="1:5" x14ac:dyDescent="0.25">
      <c r="A157" t="s">
        <v>448</v>
      </c>
      <c r="B157" t="s">
        <v>449</v>
      </c>
      <c r="C157" t="s">
        <v>114</v>
      </c>
      <c r="D157" s="42">
        <v>43606</v>
      </c>
      <c r="E157">
        <v>126</v>
      </c>
    </row>
    <row r="158" spans="1:5" x14ac:dyDescent="0.25">
      <c r="A158" t="s">
        <v>448</v>
      </c>
      <c r="B158" t="s">
        <v>449</v>
      </c>
      <c r="C158" t="s">
        <v>454</v>
      </c>
      <c r="D158" s="42">
        <v>43606</v>
      </c>
      <c r="E158">
        <v>21</v>
      </c>
    </row>
    <row r="159" spans="1:5" x14ac:dyDescent="0.25">
      <c r="A159" t="s">
        <v>452</v>
      </c>
      <c r="B159" t="s">
        <v>449</v>
      </c>
      <c r="C159" t="s">
        <v>453</v>
      </c>
      <c r="D159" s="42">
        <v>43606</v>
      </c>
      <c r="E159">
        <v>16</v>
      </c>
    </row>
    <row r="160" spans="1:5" x14ac:dyDescent="0.25">
      <c r="A160" t="s">
        <v>452</v>
      </c>
      <c r="B160" t="s">
        <v>449</v>
      </c>
      <c r="C160" t="s">
        <v>118</v>
      </c>
      <c r="D160" s="42">
        <v>43607</v>
      </c>
      <c r="E160">
        <v>26</v>
      </c>
    </row>
    <row r="161" spans="1:5" x14ac:dyDescent="0.25">
      <c r="A161" t="s">
        <v>448</v>
      </c>
      <c r="B161" s="42" t="s">
        <v>447</v>
      </c>
      <c r="C161" t="s">
        <v>9</v>
      </c>
      <c r="D161" s="42">
        <v>43607</v>
      </c>
      <c r="E161">
        <v>37</v>
      </c>
    </row>
    <row r="162" spans="1:5" x14ac:dyDescent="0.25">
      <c r="A162" t="s">
        <v>445</v>
      </c>
      <c r="B162" s="42" t="s">
        <v>447</v>
      </c>
      <c r="C162" t="s">
        <v>9</v>
      </c>
      <c r="D162" s="42">
        <v>43607</v>
      </c>
      <c r="E162">
        <v>42</v>
      </c>
    </row>
    <row r="163" spans="1:5" x14ac:dyDescent="0.25">
      <c r="A163" t="s">
        <v>452</v>
      </c>
      <c r="B163" s="42" t="s">
        <v>446</v>
      </c>
      <c r="C163" t="s">
        <v>11</v>
      </c>
      <c r="D163" s="42">
        <v>43609</v>
      </c>
      <c r="E163">
        <v>42</v>
      </c>
    </row>
    <row r="164" spans="1:5" x14ac:dyDescent="0.25">
      <c r="A164" t="s">
        <v>452</v>
      </c>
      <c r="B164" t="s">
        <v>449</v>
      </c>
      <c r="C164" t="s">
        <v>454</v>
      </c>
      <c r="D164" s="42">
        <v>43609</v>
      </c>
      <c r="E164">
        <v>24</v>
      </c>
    </row>
    <row r="165" spans="1:5" x14ac:dyDescent="0.25">
      <c r="A165" t="s">
        <v>445</v>
      </c>
      <c r="B165" s="42" t="s">
        <v>447</v>
      </c>
      <c r="C165" t="s">
        <v>8</v>
      </c>
      <c r="D165" s="42">
        <v>43609</v>
      </c>
      <c r="E165">
        <v>11</v>
      </c>
    </row>
    <row r="166" spans="1:5" x14ac:dyDescent="0.25">
      <c r="A166" t="s">
        <v>445</v>
      </c>
      <c r="B166" s="42" t="s">
        <v>446</v>
      </c>
      <c r="C166" t="s">
        <v>3</v>
      </c>
      <c r="D166" s="42">
        <v>43610</v>
      </c>
      <c r="E166">
        <v>11</v>
      </c>
    </row>
    <row r="167" spans="1:5" x14ac:dyDescent="0.25">
      <c r="A167" t="s">
        <v>448</v>
      </c>
      <c r="B167" t="s">
        <v>449</v>
      </c>
      <c r="C167" t="s">
        <v>450</v>
      </c>
      <c r="D167" s="42">
        <v>43612</v>
      </c>
      <c r="E167">
        <v>22</v>
      </c>
    </row>
    <row r="168" spans="1:5" x14ac:dyDescent="0.25">
      <c r="A168" t="s">
        <v>445</v>
      </c>
      <c r="B168" s="42" t="s">
        <v>446</v>
      </c>
      <c r="C168" t="s">
        <v>4</v>
      </c>
      <c r="D168" s="42">
        <v>43612</v>
      </c>
      <c r="E168">
        <v>7</v>
      </c>
    </row>
    <row r="169" spans="1:5" x14ac:dyDescent="0.25">
      <c r="A169" t="s">
        <v>445</v>
      </c>
      <c r="B169" s="42" t="s">
        <v>446</v>
      </c>
      <c r="C169" t="s">
        <v>7</v>
      </c>
      <c r="D169" s="42">
        <v>43613</v>
      </c>
      <c r="E169">
        <v>58</v>
      </c>
    </row>
    <row r="170" spans="1:5" x14ac:dyDescent="0.25">
      <c r="A170" t="s">
        <v>452</v>
      </c>
      <c r="B170" t="s">
        <v>449</v>
      </c>
      <c r="C170" t="s">
        <v>453</v>
      </c>
      <c r="D170" s="42">
        <v>43614</v>
      </c>
      <c r="E170">
        <v>13</v>
      </c>
    </row>
    <row r="171" spans="1:5" x14ac:dyDescent="0.25">
      <c r="A171" t="s">
        <v>448</v>
      </c>
      <c r="B171" t="s">
        <v>449</v>
      </c>
      <c r="C171" t="s">
        <v>118</v>
      </c>
      <c r="D171" s="42">
        <v>43614</v>
      </c>
      <c r="E171">
        <v>26</v>
      </c>
    </row>
    <row r="172" spans="1:5" x14ac:dyDescent="0.25">
      <c r="A172" t="s">
        <v>445</v>
      </c>
      <c r="B172" s="42" t="s">
        <v>447</v>
      </c>
      <c r="C172" t="s">
        <v>9</v>
      </c>
      <c r="D172" s="42">
        <v>43614</v>
      </c>
      <c r="E172">
        <v>47</v>
      </c>
    </row>
    <row r="173" spans="1:5" x14ac:dyDescent="0.25">
      <c r="A173" t="s">
        <v>448</v>
      </c>
      <c r="B173" t="s">
        <v>449</v>
      </c>
      <c r="C173" t="s">
        <v>455</v>
      </c>
      <c r="D173" s="42">
        <v>43615</v>
      </c>
      <c r="E173">
        <v>26</v>
      </c>
    </row>
    <row r="174" spans="1:5" x14ac:dyDescent="0.25">
      <c r="A174" t="s">
        <v>445</v>
      </c>
      <c r="B174" s="42" t="s">
        <v>447</v>
      </c>
      <c r="C174" t="s">
        <v>451</v>
      </c>
      <c r="D174" s="42">
        <v>43616</v>
      </c>
      <c r="E174">
        <v>26</v>
      </c>
    </row>
    <row r="175" spans="1:5" x14ac:dyDescent="0.25">
      <c r="A175" t="s">
        <v>452</v>
      </c>
      <c r="B175" t="s">
        <v>449</v>
      </c>
      <c r="C175" t="s">
        <v>116</v>
      </c>
      <c r="D175" s="42">
        <v>43616</v>
      </c>
      <c r="E175">
        <v>100</v>
      </c>
    </row>
    <row r="176" spans="1:5" x14ac:dyDescent="0.25">
      <c r="A176" t="s">
        <v>448</v>
      </c>
      <c r="B176" s="42" t="s">
        <v>446</v>
      </c>
      <c r="C176" t="s">
        <v>11</v>
      </c>
      <c r="D176" s="42">
        <v>43616</v>
      </c>
      <c r="E176">
        <v>53</v>
      </c>
    </row>
    <row r="177" spans="1:5" x14ac:dyDescent="0.25">
      <c r="A177" t="s">
        <v>452</v>
      </c>
      <c r="B177" t="s">
        <v>449</v>
      </c>
      <c r="C177" t="s">
        <v>454</v>
      </c>
      <c r="D177" s="42">
        <v>43617</v>
      </c>
      <c r="E177">
        <v>26</v>
      </c>
    </row>
    <row r="178" spans="1:5" x14ac:dyDescent="0.25">
      <c r="A178" t="s">
        <v>452</v>
      </c>
      <c r="B178" t="s">
        <v>449</v>
      </c>
      <c r="C178" t="s">
        <v>455</v>
      </c>
      <c r="D178" s="42">
        <v>43617</v>
      </c>
      <c r="E178">
        <v>28</v>
      </c>
    </row>
    <row r="179" spans="1:5" x14ac:dyDescent="0.25">
      <c r="A179" t="s">
        <v>445</v>
      </c>
      <c r="B179" s="42" t="s">
        <v>446</v>
      </c>
      <c r="C179" t="s">
        <v>6</v>
      </c>
      <c r="D179" s="42">
        <v>43618</v>
      </c>
      <c r="E179">
        <v>4</v>
      </c>
    </row>
    <row r="180" spans="1:5" x14ac:dyDescent="0.25">
      <c r="A180" t="s">
        <v>445</v>
      </c>
      <c r="B180" s="42" t="s">
        <v>446</v>
      </c>
      <c r="C180" t="s">
        <v>10</v>
      </c>
      <c r="D180" s="42">
        <v>43619</v>
      </c>
      <c r="E180">
        <v>116</v>
      </c>
    </row>
    <row r="181" spans="1:5" x14ac:dyDescent="0.25">
      <c r="A181" t="s">
        <v>448</v>
      </c>
      <c r="B181" t="s">
        <v>449</v>
      </c>
      <c r="C181" t="s">
        <v>114</v>
      </c>
      <c r="D181" s="42">
        <v>43620</v>
      </c>
      <c r="E181">
        <v>137</v>
      </c>
    </row>
    <row r="182" spans="1:5" x14ac:dyDescent="0.25">
      <c r="A182" t="s">
        <v>448</v>
      </c>
      <c r="B182" t="s">
        <v>449</v>
      </c>
      <c r="C182" t="s">
        <v>455</v>
      </c>
      <c r="D182" s="42">
        <v>43622</v>
      </c>
      <c r="E182">
        <v>29</v>
      </c>
    </row>
    <row r="183" spans="1:5" x14ac:dyDescent="0.25">
      <c r="A183" t="s">
        <v>445</v>
      </c>
      <c r="B183" s="42" t="s">
        <v>446</v>
      </c>
      <c r="C183" t="s">
        <v>3</v>
      </c>
      <c r="D183" s="42">
        <v>43624</v>
      </c>
      <c r="E183">
        <v>8</v>
      </c>
    </row>
    <row r="184" spans="1:5" x14ac:dyDescent="0.25">
      <c r="A184" t="s">
        <v>452</v>
      </c>
      <c r="B184" t="s">
        <v>449</v>
      </c>
      <c r="C184" t="s">
        <v>450</v>
      </c>
      <c r="D184" s="42">
        <v>43625</v>
      </c>
      <c r="E184">
        <v>21</v>
      </c>
    </row>
    <row r="185" spans="1:5" x14ac:dyDescent="0.25">
      <c r="A185" t="s">
        <v>445</v>
      </c>
      <c r="B185" s="42" t="s">
        <v>447</v>
      </c>
      <c r="C185" t="s">
        <v>8</v>
      </c>
      <c r="D185" s="42">
        <v>43625</v>
      </c>
      <c r="E185">
        <v>16</v>
      </c>
    </row>
    <row r="186" spans="1:5" x14ac:dyDescent="0.25">
      <c r="A186" t="s">
        <v>445</v>
      </c>
      <c r="B186" s="42" t="s">
        <v>446</v>
      </c>
      <c r="C186" t="s">
        <v>11</v>
      </c>
      <c r="D186" s="42">
        <v>43626</v>
      </c>
      <c r="E186">
        <v>47</v>
      </c>
    </row>
    <row r="187" spans="1:5" x14ac:dyDescent="0.25">
      <c r="A187" t="s">
        <v>448</v>
      </c>
      <c r="B187" t="s">
        <v>449</v>
      </c>
      <c r="C187" t="s">
        <v>453</v>
      </c>
      <c r="D187" s="42">
        <v>43627</v>
      </c>
      <c r="E187">
        <v>14</v>
      </c>
    </row>
    <row r="188" spans="1:5" x14ac:dyDescent="0.25">
      <c r="A188" t="s">
        <v>452</v>
      </c>
      <c r="B188" s="42" t="s">
        <v>447</v>
      </c>
      <c r="C188" t="s">
        <v>9</v>
      </c>
      <c r="D188" s="42">
        <v>43627</v>
      </c>
      <c r="E188">
        <v>37</v>
      </c>
    </row>
    <row r="189" spans="1:5" x14ac:dyDescent="0.25">
      <c r="A189" t="s">
        <v>445</v>
      </c>
      <c r="B189" s="42" t="s">
        <v>447</v>
      </c>
      <c r="C189" t="s">
        <v>451</v>
      </c>
      <c r="D189" s="42">
        <v>43628</v>
      </c>
      <c r="E189">
        <v>32</v>
      </c>
    </row>
    <row r="190" spans="1:5" x14ac:dyDescent="0.25">
      <c r="A190" t="s">
        <v>445</v>
      </c>
      <c r="B190" s="42" t="s">
        <v>446</v>
      </c>
      <c r="C190" t="s">
        <v>4</v>
      </c>
      <c r="D190" s="42">
        <v>43629</v>
      </c>
      <c r="E190">
        <v>7</v>
      </c>
    </row>
    <row r="191" spans="1:5" x14ac:dyDescent="0.25">
      <c r="A191" t="s">
        <v>448</v>
      </c>
      <c r="B191" t="s">
        <v>449</v>
      </c>
      <c r="C191" t="s">
        <v>116</v>
      </c>
      <c r="D191" s="42">
        <v>43629</v>
      </c>
      <c r="E191">
        <v>95</v>
      </c>
    </row>
    <row r="192" spans="1:5" x14ac:dyDescent="0.25">
      <c r="A192" t="s">
        <v>448</v>
      </c>
      <c r="B192" t="s">
        <v>449</v>
      </c>
      <c r="C192" t="s">
        <v>454</v>
      </c>
      <c r="D192" s="42">
        <v>43629</v>
      </c>
      <c r="E192">
        <v>21</v>
      </c>
    </row>
    <row r="193" spans="1:5" x14ac:dyDescent="0.25">
      <c r="A193" t="s">
        <v>445</v>
      </c>
      <c r="B193" s="42" t="s">
        <v>446</v>
      </c>
      <c r="C193" t="s">
        <v>6</v>
      </c>
      <c r="D193" s="42">
        <v>43631</v>
      </c>
      <c r="E193">
        <v>6</v>
      </c>
    </row>
    <row r="194" spans="1:5" x14ac:dyDescent="0.25">
      <c r="A194" t="s">
        <v>445</v>
      </c>
      <c r="B194" s="42" t="s">
        <v>446</v>
      </c>
      <c r="C194" t="s">
        <v>10</v>
      </c>
      <c r="D194" s="42">
        <v>43631</v>
      </c>
      <c r="E194">
        <v>100</v>
      </c>
    </row>
    <row r="195" spans="1:5" x14ac:dyDescent="0.25">
      <c r="A195" t="s">
        <v>448</v>
      </c>
      <c r="B195" t="s">
        <v>449</v>
      </c>
      <c r="C195" t="s">
        <v>118</v>
      </c>
      <c r="D195" s="42">
        <v>43631</v>
      </c>
      <c r="E195">
        <v>32</v>
      </c>
    </row>
    <row r="196" spans="1:5" x14ac:dyDescent="0.25">
      <c r="A196" t="s">
        <v>452</v>
      </c>
      <c r="B196" t="s">
        <v>449</v>
      </c>
      <c r="C196" t="s">
        <v>114</v>
      </c>
      <c r="D196" s="42">
        <v>43632</v>
      </c>
      <c r="E196">
        <v>142</v>
      </c>
    </row>
    <row r="197" spans="1:5" x14ac:dyDescent="0.25">
      <c r="A197" t="s">
        <v>448</v>
      </c>
      <c r="B197" t="s">
        <v>449</v>
      </c>
      <c r="C197" t="s">
        <v>116</v>
      </c>
      <c r="D197" s="42">
        <v>43635</v>
      </c>
      <c r="E197">
        <v>89</v>
      </c>
    </row>
    <row r="198" spans="1:5" x14ac:dyDescent="0.25">
      <c r="A198" t="s">
        <v>445</v>
      </c>
      <c r="B198" s="42" t="s">
        <v>446</v>
      </c>
      <c r="C198" t="s">
        <v>3</v>
      </c>
      <c r="D198" s="42">
        <v>43635</v>
      </c>
      <c r="E198">
        <v>9</v>
      </c>
    </row>
    <row r="199" spans="1:5" x14ac:dyDescent="0.25">
      <c r="A199" t="s">
        <v>452</v>
      </c>
      <c r="B199" t="s">
        <v>449</v>
      </c>
      <c r="C199" t="s">
        <v>455</v>
      </c>
      <c r="D199" s="42">
        <v>43635</v>
      </c>
      <c r="E199">
        <v>28</v>
      </c>
    </row>
    <row r="200" spans="1:5" x14ac:dyDescent="0.25">
      <c r="A200" t="s">
        <v>445</v>
      </c>
      <c r="B200" s="42" t="s">
        <v>446</v>
      </c>
      <c r="C200" t="s">
        <v>6</v>
      </c>
      <c r="D200" s="42">
        <v>43637</v>
      </c>
      <c r="E200">
        <v>5</v>
      </c>
    </row>
    <row r="201" spans="1:5" x14ac:dyDescent="0.25">
      <c r="A201" t="s">
        <v>445</v>
      </c>
      <c r="B201" s="42" t="s">
        <v>446</v>
      </c>
      <c r="C201" t="s">
        <v>11</v>
      </c>
      <c r="D201" s="42">
        <v>43637</v>
      </c>
      <c r="E201">
        <v>53</v>
      </c>
    </row>
    <row r="202" spans="1:5" x14ac:dyDescent="0.25">
      <c r="A202" t="s">
        <v>445</v>
      </c>
      <c r="B202" s="42" t="s">
        <v>446</v>
      </c>
      <c r="C202" t="s">
        <v>7</v>
      </c>
      <c r="D202" s="42">
        <v>43638</v>
      </c>
      <c r="E202">
        <v>53</v>
      </c>
    </row>
    <row r="203" spans="1:5" x14ac:dyDescent="0.25">
      <c r="A203" t="s">
        <v>452</v>
      </c>
      <c r="B203" s="42" t="s">
        <v>446</v>
      </c>
      <c r="C203" t="s">
        <v>10</v>
      </c>
      <c r="D203" s="42">
        <v>43639</v>
      </c>
      <c r="E203">
        <v>131</v>
      </c>
    </row>
    <row r="204" spans="1:5" x14ac:dyDescent="0.25">
      <c r="A204" t="s">
        <v>448</v>
      </c>
      <c r="B204" t="s">
        <v>449</v>
      </c>
      <c r="C204" t="s">
        <v>453</v>
      </c>
      <c r="D204" s="42">
        <v>43639</v>
      </c>
      <c r="E204">
        <v>16</v>
      </c>
    </row>
    <row r="205" spans="1:5" x14ac:dyDescent="0.25">
      <c r="A205" t="s">
        <v>448</v>
      </c>
      <c r="B205" s="42" t="s">
        <v>447</v>
      </c>
      <c r="C205" t="s">
        <v>9</v>
      </c>
      <c r="D205" s="42">
        <v>43639</v>
      </c>
      <c r="E205">
        <v>47</v>
      </c>
    </row>
    <row r="206" spans="1:5" x14ac:dyDescent="0.25">
      <c r="A206" t="s">
        <v>445</v>
      </c>
      <c r="B206" s="42" t="s">
        <v>447</v>
      </c>
      <c r="C206" t="s">
        <v>8</v>
      </c>
      <c r="D206" s="42">
        <v>43639</v>
      </c>
      <c r="E206">
        <v>11</v>
      </c>
    </row>
    <row r="207" spans="1:5" x14ac:dyDescent="0.25">
      <c r="A207" t="s">
        <v>452</v>
      </c>
      <c r="B207" t="s">
        <v>449</v>
      </c>
      <c r="C207" t="s">
        <v>116</v>
      </c>
      <c r="D207" s="42">
        <v>43641</v>
      </c>
      <c r="E207">
        <v>100</v>
      </c>
    </row>
    <row r="208" spans="1:5" x14ac:dyDescent="0.25">
      <c r="A208" t="s">
        <v>448</v>
      </c>
      <c r="B208" t="s">
        <v>449</v>
      </c>
      <c r="C208" t="s">
        <v>454</v>
      </c>
      <c r="D208" s="42">
        <v>43641</v>
      </c>
      <c r="E208">
        <v>20</v>
      </c>
    </row>
    <row r="209" spans="1:5" x14ac:dyDescent="0.25">
      <c r="A209" t="s">
        <v>445</v>
      </c>
      <c r="B209" s="42" t="s">
        <v>447</v>
      </c>
      <c r="C209" t="s">
        <v>451</v>
      </c>
      <c r="D209" s="42">
        <v>43642</v>
      </c>
      <c r="E209">
        <v>26</v>
      </c>
    </row>
    <row r="210" spans="1:5" x14ac:dyDescent="0.25">
      <c r="A210" t="s">
        <v>448</v>
      </c>
      <c r="B210" t="s">
        <v>449</v>
      </c>
      <c r="C210" t="s">
        <v>114</v>
      </c>
      <c r="D210" s="42">
        <v>43643</v>
      </c>
      <c r="E210">
        <v>131</v>
      </c>
    </row>
    <row r="211" spans="1:5" x14ac:dyDescent="0.25">
      <c r="A211" t="s">
        <v>445</v>
      </c>
      <c r="B211" s="42" t="s">
        <v>446</v>
      </c>
      <c r="C211" t="s">
        <v>6</v>
      </c>
      <c r="D211" s="42">
        <v>43643</v>
      </c>
      <c r="E211">
        <v>4</v>
      </c>
    </row>
    <row r="212" spans="1:5" x14ac:dyDescent="0.25">
      <c r="A212" t="s">
        <v>448</v>
      </c>
      <c r="B212" s="42" t="s">
        <v>446</v>
      </c>
      <c r="C212" t="s">
        <v>11</v>
      </c>
      <c r="D212" s="42">
        <v>43643</v>
      </c>
      <c r="E212">
        <v>47</v>
      </c>
    </row>
    <row r="213" spans="1:5" x14ac:dyDescent="0.25">
      <c r="A213" t="s">
        <v>448</v>
      </c>
      <c r="B213" t="s">
        <v>449</v>
      </c>
      <c r="C213" t="s">
        <v>450</v>
      </c>
      <c r="D213" s="42">
        <v>43646</v>
      </c>
      <c r="E213">
        <v>26</v>
      </c>
    </row>
    <row r="214" spans="1:5" x14ac:dyDescent="0.25">
      <c r="A214" t="s">
        <v>445</v>
      </c>
      <c r="B214" s="42" t="s">
        <v>446</v>
      </c>
      <c r="C214" t="s">
        <v>6</v>
      </c>
      <c r="D214" s="42">
        <v>43646</v>
      </c>
      <c r="E214">
        <v>6</v>
      </c>
    </row>
  </sheetData>
  <pageMargins left="0.7" right="0.7" top="0.75" bottom="0.75" header="0.3" footer="0.3"/>
  <pageSetup paperSize="9" orientation="portrait" verticalDpi="0"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5090D-F07B-4F62-AA20-9B0FAE81FB5D}">
  <dimension ref="A1:R521"/>
  <sheetViews>
    <sheetView zoomScaleNormal="100" workbookViewId="0">
      <selection activeCell="M26" sqref="M26"/>
    </sheetView>
  </sheetViews>
  <sheetFormatPr defaultColWidth="8.85546875" defaultRowHeight="15" x14ac:dyDescent="0.25"/>
  <cols>
    <col min="1" max="1" width="10.140625" bestFit="1" customWidth="1"/>
    <col min="2" max="2" width="16" customWidth="1"/>
    <col min="3" max="3" width="14.140625" customWidth="1"/>
    <col min="4" max="4" width="17.140625" customWidth="1"/>
    <col min="5" max="5" width="14.140625" customWidth="1"/>
    <col min="6" max="6" width="14.140625" hidden="1" customWidth="1"/>
    <col min="7" max="7" width="11.85546875" customWidth="1"/>
    <col min="8" max="8" width="11.28515625" customWidth="1"/>
    <col min="10" max="10" width="15.5703125" bestFit="1" customWidth="1"/>
    <col min="11" max="11" width="12.28515625" customWidth="1"/>
    <col min="12" max="12" width="14.140625" bestFit="1" customWidth="1"/>
    <col min="13" max="13" width="19.7109375" bestFit="1" customWidth="1"/>
    <col min="14" max="14" width="15.28515625" bestFit="1" customWidth="1"/>
    <col min="15" max="17" width="11.42578125" bestFit="1" customWidth="1"/>
    <col min="18" max="18" width="10.7109375" bestFit="1" customWidth="1"/>
  </cols>
  <sheetData>
    <row r="1" spans="1:18" ht="23.25" x14ac:dyDescent="0.35">
      <c r="A1" s="1" t="s">
        <v>770</v>
      </c>
      <c r="B1" s="1" t="s">
        <v>441</v>
      </c>
      <c r="C1" s="1"/>
      <c r="D1" s="1"/>
      <c r="E1" s="1"/>
      <c r="F1" s="1"/>
      <c r="G1" s="1"/>
      <c r="H1" s="1"/>
      <c r="I1" s="1"/>
      <c r="J1" s="1"/>
      <c r="K1" s="1"/>
      <c r="L1" s="1"/>
      <c r="M1" t="s">
        <v>1244</v>
      </c>
      <c r="N1" t="s">
        <v>1239</v>
      </c>
    </row>
    <row r="2" spans="1:18" x14ac:dyDescent="0.25">
      <c r="F2" s="87" t="s">
        <v>1237</v>
      </c>
      <c r="G2" s="87"/>
      <c r="H2" s="87"/>
      <c r="I2" s="87"/>
      <c r="J2" s="87"/>
      <c r="K2" s="87"/>
      <c r="M2" t="s">
        <v>1245</v>
      </c>
    </row>
    <row r="3" spans="1:18" x14ac:dyDescent="0.25">
      <c r="B3" t="s">
        <v>793</v>
      </c>
      <c r="M3" t="s">
        <v>1246</v>
      </c>
    </row>
    <row r="4" spans="1:18" x14ac:dyDescent="0.25">
      <c r="M4" t="s">
        <v>1247</v>
      </c>
    </row>
    <row r="5" spans="1:18" x14ac:dyDescent="0.25">
      <c r="J5" s="48" t="s">
        <v>970</v>
      </c>
      <c r="K5" s="48" t="s">
        <v>773</v>
      </c>
      <c r="M5" t="s">
        <v>1248</v>
      </c>
    </row>
    <row r="6" spans="1:18" x14ac:dyDescent="0.25">
      <c r="A6" s="48" t="s">
        <v>36</v>
      </c>
      <c r="B6" s="48" t="s">
        <v>774</v>
      </c>
      <c r="C6" s="48" t="s">
        <v>1234</v>
      </c>
      <c r="D6" s="48" t="s">
        <v>1235</v>
      </c>
      <c r="E6" s="48" t="s">
        <v>1236</v>
      </c>
      <c r="F6" s="48" t="s">
        <v>1238</v>
      </c>
      <c r="G6" s="48" t="s">
        <v>140</v>
      </c>
      <c r="H6" s="48" t="s">
        <v>141</v>
      </c>
      <c r="J6" s="170" t="s">
        <v>775</v>
      </c>
      <c r="K6" s="171">
        <v>10001</v>
      </c>
    </row>
    <row r="7" spans="1:18" x14ac:dyDescent="0.25">
      <c r="A7" s="172">
        <v>42738</v>
      </c>
      <c r="B7" s="358">
        <v>4772222100021</v>
      </c>
      <c r="C7" s="173">
        <v>477</v>
      </c>
      <c r="D7" s="173">
        <v>2222</v>
      </c>
      <c r="E7" s="173">
        <v>10002</v>
      </c>
      <c r="F7" s="173">
        <v>1</v>
      </c>
      <c r="G7" s="174">
        <v>20</v>
      </c>
      <c r="H7" s="175">
        <v>160</v>
      </c>
      <c r="J7" s="170" t="s">
        <v>776</v>
      </c>
      <c r="K7" s="171">
        <v>10002</v>
      </c>
      <c r="M7" s="356" t="s">
        <v>1240</v>
      </c>
      <c r="N7" s="356" t="s">
        <v>1241</v>
      </c>
    </row>
    <row r="8" spans="1:18" x14ac:dyDescent="0.25">
      <c r="A8" s="172">
        <v>42739</v>
      </c>
      <c r="B8" s="358">
        <v>5013333100031</v>
      </c>
      <c r="C8" s="173">
        <v>501</v>
      </c>
      <c r="D8" s="173">
        <v>3333</v>
      </c>
      <c r="E8" s="173">
        <v>10003</v>
      </c>
      <c r="F8" s="173">
        <v>1</v>
      </c>
      <c r="G8" s="174">
        <v>20</v>
      </c>
      <c r="H8" s="175">
        <v>210</v>
      </c>
      <c r="J8" s="170" t="s">
        <v>777</v>
      </c>
      <c r="K8" s="171">
        <v>10003</v>
      </c>
      <c r="M8" s="356" t="s">
        <v>1242</v>
      </c>
      <c r="N8" t="s">
        <v>789</v>
      </c>
      <c r="O8" t="s">
        <v>790</v>
      </c>
      <c r="P8" t="s">
        <v>791</v>
      </c>
      <c r="Q8" t="s">
        <v>792</v>
      </c>
      <c r="R8" t="s">
        <v>1017</v>
      </c>
    </row>
    <row r="9" spans="1:18" x14ac:dyDescent="0.25">
      <c r="A9" s="172">
        <v>42740</v>
      </c>
      <c r="B9" s="358">
        <v>5023333100041</v>
      </c>
      <c r="C9" s="173">
        <v>502</v>
      </c>
      <c r="D9" s="173">
        <v>3333</v>
      </c>
      <c r="E9" s="173">
        <v>10004</v>
      </c>
      <c r="F9" s="173">
        <v>1</v>
      </c>
      <c r="G9" s="174">
        <v>9</v>
      </c>
      <c r="H9" s="175">
        <v>200</v>
      </c>
      <c r="J9" s="170" t="s">
        <v>778</v>
      </c>
      <c r="K9" s="171">
        <v>10004</v>
      </c>
      <c r="M9" s="41" t="s">
        <v>775</v>
      </c>
    </row>
    <row r="10" spans="1:18" x14ac:dyDescent="0.25">
      <c r="A10" s="172">
        <v>42741</v>
      </c>
      <c r="B10" s="358">
        <v>4772222100021</v>
      </c>
      <c r="C10" s="173">
        <v>477</v>
      </c>
      <c r="D10" s="173">
        <v>2222</v>
      </c>
      <c r="E10" s="173">
        <v>10002</v>
      </c>
      <c r="F10" s="173">
        <v>1</v>
      </c>
      <c r="G10" s="174">
        <v>24</v>
      </c>
      <c r="H10" s="175">
        <v>160</v>
      </c>
      <c r="J10" s="170" t="s">
        <v>779</v>
      </c>
      <c r="K10" s="171">
        <v>10005</v>
      </c>
      <c r="M10" s="122" t="s">
        <v>1243</v>
      </c>
      <c r="N10">
        <v>391</v>
      </c>
      <c r="R10">
        <v>391</v>
      </c>
    </row>
    <row r="11" spans="1:18" x14ac:dyDescent="0.25">
      <c r="A11" s="172">
        <v>42744</v>
      </c>
      <c r="B11" s="358">
        <v>5013333100031</v>
      </c>
      <c r="C11" s="173">
        <v>501</v>
      </c>
      <c r="D11" s="173">
        <v>3333</v>
      </c>
      <c r="E11" s="173">
        <v>10003</v>
      </c>
      <c r="F11" s="173">
        <v>1</v>
      </c>
      <c r="G11" s="174">
        <v>15</v>
      </c>
      <c r="H11" s="175">
        <v>210</v>
      </c>
      <c r="J11" s="170" t="s">
        <v>780</v>
      </c>
      <c r="K11" s="171">
        <v>10006</v>
      </c>
      <c r="M11" s="41" t="s">
        <v>776</v>
      </c>
    </row>
    <row r="12" spans="1:18" x14ac:dyDescent="0.25">
      <c r="A12" s="172">
        <v>42745</v>
      </c>
      <c r="B12" s="358">
        <v>3011111100011</v>
      </c>
      <c r="C12" s="173">
        <v>301</v>
      </c>
      <c r="D12" s="173">
        <v>1111</v>
      </c>
      <c r="E12" s="173">
        <v>10001</v>
      </c>
      <c r="F12" s="173">
        <v>1</v>
      </c>
      <c r="G12" s="174">
        <v>21</v>
      </c>
      <c r="H12" s="175">
        <v>210</v>
      </c>
      <c r="J12" s="170" t="s">
        <v>781</v>
      </c>
      <c r="K12" s="171">
        <v>10007</v>
      </c>
      <c r="M12" s="122" t="s">
        <v>448</v>
      </c>
      <c r="O12">
        <v>2927</v>
      </c>
      <c r="R12">
        <v>2927</v>
      </c>
    </row>
    <row r="13" spans="1:18" x14ac:dyDescent="0.25">
      <c r="A13" s="172">
        <v>42746</v>
      </c>
      <c r="B13" s="358">
        <v>5013333100031</v>
      </c>
      <c r="C13" s="173">
        <v>501</v>
      </c>
      <c r="D13" s="173">
        <v>3333</v>
      </c>
      <c r="E13" s="173">
        <v>10003</v>
      </c>
      <c r="F13" s="173">
        <v>1</v>
      </c>
      <c r="G13" s="174">
        <v>8</v>
      </c>
      <c r="H13" s="175">
        <v>210</v>
      </c>
      <c r="M13" s="41" t="s">
        <v>777</v>
      </c>
    </row>
    <row r="14" spans="1:18" x14ac:dyDescent="0.25">
      <c r="A14" s="172">
        <v>42747</v>
      </c>
      <c r="B14" s="358">
        <v>3011111100011</v>
      </c>
      <c r="C14" s="173">
        <v>301</v>
      </c>
      <c r="D14" s="173">
        <v>1111</v>
      </c>
      <c r="E14" s="173">
        <v>10001</v>
      </c>
      <c r="F14" s="173">
        <v>1</v>
      </c>
      <c r="G14" s="174">
        <v>10</v>
      </c>
      <c r="H14" s="175">
        <v>210</v>
      </c>
      <c r="M14" s="122" t="s">
        <v>786</v>
      </c>
      <c r="P14">
        <v>1410</v>
      </c>
      <c r="R14">
        <v>1410</v>
      </c>
    </row>
    <row r="15" spans="1:18" x14ac:dyDescent="0.25">
      <c r="A15" s="172">
        <v>42748</v>
      </c>
      <c r="B15" s="358">
        <v>4772222100051</v>
      </c>
      <c r="C15" s="173">
        <v>477</v>
      </c>
      <c r="D15" s="173">
        <v>2222</v>
      </c>
      <c r="E15" s="173">
        <v>10005</v>
      </c>
      <c r="F15" s="173">
        <v>1</v>
      </c>
      <c r="G15" s="174">
        <v>15</v>
      </c>
      <c r="H15" s="175">
        <v>140</v>
      </c>
      <c r="M15" s="41" t="s">
        <v>778</v>
      </c>
    </row>
    <row r="16" spans="1:18" x14ac:dyDescent="0.25">
      <c r="A16" s="172">
        <v>42751</v>
      </c>
      <c r="B16" s="358">
        <v>4772222100061</v>
      </c>
      <c r="C16" s="173">
        <v>477</v>
      </c>
      <c r="D16" s="173">
        <v>2222</v>
      </c>
      <c r="E16" s="173">
        <v>10006</v>
      </c>
      <c r="F16" s="173">
        <v>1</v>
      </c>
      <c r="G16" s="174">
        <v>9</v>
      </c>
      <c r="H16" s="175">
        <v>110.00000000000001</v>
      </c>
      <c r="M16" s="122" t="s">
        <v>786</v>
      </c>
      <c r="P16">
        <v>860</v>
      </c>
      <c r="R16">
        <v>860</v>
      </c>
    </row>
    <row r="17" spans="1:18" x14ac:dyDescent="0.25">
      <c r="A17" s="172">
        <v>42752</v>
      </c>
      <c r="B17" s="358">
        <v>4772222100021</v>
      </c>
      <c r="C17" s="173">
        <v>477</v>
      </c>
      <c r="D17" s="173">
        <v>2222</v>
      </c>
      <c r="E17" s="173">
        <v>10002</v>
      </c>
      <c r="F17" s="173">
        <v>1</v>
      </c>
      <c r="G17" s="174">
        <v>23</v>
      </c>
      <c r="H17" s="175">
        <v>160</v>
      </c>
      <c r="M17" s="41" t="s">
        <v>779</v>
      </c>
    </row>
    <row r="18" spans="1:18" x14ac:dyDescent="0.25">
      <c r="A18" s="172">
        <v>42753</v>
      </c>
      <c r="B18" s="358">
        <v>5023333100041</v>
      </c>
      <c r="C18" s="173">
        <v>502</v>
      </c>
      <c r="D18" s="173">
        <v>3333</v>
      </c>
      <c r="E18" s="173">
        <v>10004</v>
      </c>
      <c r="F18" s="173">
        <v>1</v>
      </c>
      <c r="G18" s="174">
        <v>15</v>
      </c>
      <c r="H18" s="175">
        <v>200</v>
      </c>
      <c r="J18" s="48" t="s">
        <v>971</v>
      </c>
      <c r="K18" s="48" t="s">
        <v>972</v>
      </c>
      <c r="M18" s="122" t="s">
        <v>448</v>
      </c>
      <c r="O18">
        <v>761</v>
      </c>
      <c r="R18">
        <v>761</v>
      </c>
    </row>
    <row r="19" spans="1:18" x14ac:dyDescent="0.25">
      <c r="A19" s="172">
        <v>42754</v>
      </c>
      <c r="B19" s="358">
        <v>4772222100021</v>
      </c>
      <c r="C19" s="173">
        <v>477</v>
      </c>
      <c r="D19" s="173">
        <v>2222</v>
      </c>
      <c r="E19" s="173">
        <v>10002</v>
      </c>
      <c r="F19" s="173">
        <v>1</v>
      </c>
      <c r="G19" s="174">
        <v>19</v>
      </c>
      <c r="H19" s="175">
        <v>160</v>
      </c>
      <c r="J19" s="170" t="s">
        <v>782</v>
      </c>
      <c r="K19" s="176" t="s">
        <v>783</v>
      </c>
      <c r="M19" s="41" t="s">
        <v>780</v>
      </c>
    </row>
    <row r="20" spans="1:18" x14ac:dyDescent="0.25">
      <c r="A20" s="172">
        <v>42755</v>
      </c>
      <c r="B20" s="358">
        <v>4772222100021</v>
      </c>
      <c r="C20" s="173">
        <v>477</v>
      </c>
      <c r="D20" s="173">
        <v>2222</v>
      </c>
      <c r="E20" s="173">
        <v>10002</v>
      </c>
      <c r="F20" s="173">
        <v>1</v>
      </c>
      <c r="G20" s="174">
        <v>24</v>
      </c>
      <c r="H20" s="175">
        <v>160</v>
      </c>
      <c r="J20" s="170" t="s">
        <v>782</v>
      </c>
      <c r="K20" s="176" t="s">
        <v>784</v>
      </c>
      <c r="M20" s="122" t="s">
        <v>448</v>
      </c>
      <c r="O20">
        <v>1508</v>
      </c>
      <c r="R20">
        <v>1508</v>
      </c>
    </row>
    <row r="21" spans="1:18" x14ac:dyDescent="0.25">
      <c r="A21" s="172">
        <v>42758</v>
      </c>
      <c r="B21" s="358">
        <v>5023333100041</v>
      </c>
      <c r="C21" s="173">
        <v>502</v>
      </c>
      <c r="D21" s="173">
        <v>3333</v>
      </c>
      <c r="E21" s="173">
        <v>10004</v>
      </c>
      <c r="F21" s="173">
        <v>1</v>
      </c>
      <c r="G21" s="174">
        <v>6</v>
      </c>
      <c r="H21" s="175">
        <v>200</v>
      </c>
      <c r="J21" s="170" t="s">
        <v>782</v>
      </c>
      <c r="K21" s="176" t="s">
        <v>785</v>
      </c>
      <c r="M21" s="41" t="s">
        <v>781</v>
      </c>
    </row>
    <row r="22" spans="1:18" x14ac:dyDescent="0.25">
      <c r="A22" s="172">
        <v>42759</v>
      </c>
      <c r="B22" s="358">
        <v>4772222100061</v>
      </c>
      <c r="C22" s="173">
        <v>477</v>
      </c>
      <c r="D22" s="173">
        <v>2222</v>
      </c>
      <c r="E22" s="173">
        <v>10006</v>
      </c>
      <c r="F22" s="173">
        <v>1</v>
      </c>
      <c r="G22" s="174">
        <v>14</v>
      </c>
      <c r="H22" s="175">
        <v>110.00000000000001</v>
      </c>
      <c r="J22" s="170" t="s">
        <v>786</v>
      </c>
      <c r="K22" s="171">
        <v>501</v>
      </c>
      <c r="M22" s="122" t="s">
        <v>448</v>
      </c>
      <c r="Q22">
        <v>569</v>
      </c>
      <c r="R22">
        <v>569</v>
      </c>
    </row>
    <row r="23" spans="1:18" x14ac:dyDescent="0.25">
      <c r="A23" s="172">
        <v>42760</v>
      </c>
      <c r="B23" s="358">
        <v>4772222100021</v>
      </c>
      <c r="C23" s="173">
        <v>477</v>
      </c>
      <c r="D23" s="173">
        <v>2222</v>
      </c>
      <c r="E23" s="173">
        <v>10002</v>
      </c>
      <c r="F23" s="173">
        <v>1</v>
      </c>
      <c r="G23" s="174">
        <v>22</v>
      </c>
      <c r="H23" s="175">
        <v>160</v>
      </c>
      <c r="J23" s="170" t="s">
        <v>786</v>
      </c>
      <c r="K23" s="171">
        <v>502</v>
      </c>
      <c r="M23" s="41" t="s">
        <v>1017</v>
      </c>
      <c r="N23">
        <v>391</v>
      </c>
      <c r="O23">
        <v>5196</v>
      </c>
      <c r="P23">
        <v>2270</v>
      </c>
      <c r="Q23">
        <v>569</v>
      </c>
      <c r="R23">
        <v>8426</v>
      </c>
    </row>
    <row r="24" spans="1:18" x14ac:dyDescent="0.25">
      <c r="A24" s="172">
        <v>42761</v>
      </c>
      <c r="B24" s="358">
        <v>4772222100021</v>
      </c>
      <c r="C24" s="173">
        <v>477</v>
      </c>
      <c r="D24" s="173">
        <v>2222</v>
      </c>
      <c r="E24" s="173">
        <v>10002</v>
      </c>
      <c r="F24" s="173">
        <v>1</v>
      </c>
      <c r="G24" s="174">
        <v>11</v>
      </c>
      <c r="H24" s="175">
        <v>160</v>
      </c>
      <c r="J24" s="170" t="s">
        <v>448</v>
      </c>
      <c r="K24" s="171">
        <v>477</v>
      </c>
    </row>
    <row r="25" spans="1:18" x14ac:dyDescent="0.25">
      <c r="A25" s="172">
        <v>42762</v>
      </c>
      <c r="B25" s="358">
        <v>4772222100021</v>
      </c>
      <c r="C25" s="173">
        <v>477</v>
      </c>
      <c r="D25" s="173">
        <v>2222</v>
      </c>
      <c r="E25" s="173">
        <v>10002</v>
      </c>
      <c r="F25" s="173">
        <v>1</v>
      </c>
      <c r="G25" s="174">
        <v>12</v>
      </c>
      <c r="H25" s="175">
        <v>160</v>
      </c>
    </row>
    <row r="26" spans="1:18" x14ac:dyDescent="0.25">
      <c r="A26" s="172">
        <v>42765</v>
      </c>
      <c r="B26" s="358">
        <v>4772222100021</v>
      </c>
      <c r="C26" s="173">
        <v>477</v>
      </c>
      <c r="D26" s="173">
        <v>2222</v>
      </c>
      <c r="E26" s="173">
        <v>10002</v>
      </c>
      <c r="F26" s="173">
        <v>1</v>
      </c>
      <c r="G26" s="174">
        <v>20</v>
      </c>
      <c r="H26" s="175">
        <v>160</v>
      </c>
    </row>
    <row r="27" spans="1:18" x14ac:dyDescent="0.25">
      <c r="A27" s="172">
        <v>42766</v>
      </c>
      <c r="B27" s="358">
        <v>3021111100011</v>
      </c>
      <c r="C27" s="173">
        <v>302</v>
      </c>
      <c r="D27" s="173">
        <v>1111</v>
      </c>
      <c r="E27" s="173">
        <v>10001</v>
      </c>
      <c r="F27" s="173">
        <v>1</v>
      </c>
      <c r="G27" s="174">
        <v>8</v>
      </c>
      <c r="H27" s="175">
        <v>210</v>
      </c>
      <c r="J27" s="48" t="s">
        <v>787</v>
      </c>
      <c r="K27" s="48" t="s">
        <v>788</v>
      </c>
    </row>
    <row r="28" spans="1:18" x14ac:dyDescent="0.25">
      <c r="A28" s="172">
        <v>42767</v>
      </c>
      <c r="B28" s="358">
        <v>4772222100061</v>
      </c>
      <c r="C28" s="173">
        <v>477</v>
      </c>
      <c r="D28" s="173">
        <v>2222</v>
      </c>
      <c r="E28" s="173">
        <v>10006</v>
      </c>
      <c r="F28" s="173">
        <v>1</v>
      </c>
      <c r="G28" s="174">
        <v>17</v>
      </c>
      <c r="H28" s="175">
        <v>110.00000000000001</v>
      </c>
      <c r="J28" s="170" t="s">
        <v>789</v>
      </c>
      <c r="K28" s="177">
        <v>1111</v>
      </c>
    </row>
    <row r="29" spans="1:18" x14ac:dyDescent="0.25">
      <c r="A29" s="172">
        <v>42768</v>
      </c>
      <c r="B29" s="358">
        <v>4772222100021</v>
      </c>
      <c r="C29" s="173">
        <v>477</v>
      </c>
      <c r="D29" s="173">
        <v>2222</v>
      </c>
      <c r="E29" s="173">
        <v>10002</v>
      </c>
      <c r="F29" s="173">
        <v>1</v>
      </c>
      <c r="G29" s="174">
        <v>7</v>
      </c>
      <c r="H29" s="175">
        <v>160</v>
      </c>
      <c r="J29" s="170" t="s">
        <v>790</v>
      </c>
      <c r="K29" s="177">
        <v>2222</v>
      </c>
    </row>
    <row r="30" spans="1:18" x14ac:dyDescent="0.25">
      <c r="A30" s="172">
        <v>42769</v>
      </c>
      <c r="B30" s="358">
        <v>5013333100031</v>
      </c>
      <c r="C30" s="173">
        <v>501</v>
      </c>
      <c r="D30" s="173">
        <v>3333</v>
      </c>
      <c r="E30" s="173">
        <v>10003</v>
      </c>
      <c r="F30" s="173">
        <v>1</v>
      </c>
      <c r="G30" s="174">
        <v>22</v>
      </c>
      <c r="H30" s="175">
        <v>210</v>
      </c>
      <c r="J30" s="170" t="s">
        <v>791</v>
      </c>
      <c r="K30" s="177">
        <v>3333</v>
      </c>
    </row>
    <row r="31" spans="1:18" x14ac:dyDescent="0.25">
      <c r="A31" s="172">
        <v>42772</v>
      </c>
      <c r="B31" s="358">
        <v>4772222100021</v>
      </c>
      <c r="C31" s="173">
        <v>477</v>
      </c>
      <c r="D31" s="173">
        <v>2222</v>
      </c>
      <c r="E31" s="173">
        <v>10002</v>
      </c>
      <c r="F31" s="173">
        <v>1</v>
      </c>
      <c r="G31" s="174">
        <v>26</v>
      </c>
      <c r="H31" s="175">
        <v>160</v>
      </c>
      <c r="J31" s="170" t="s">
        <v>792</v>
      </c>
      <c r="K31" s="177">
        <v>4444</v>
      </c>
    </row>
    <row r="32" spans="1:18" x14ac:dyDescent="0.25">
      <c r="A32" s="172">
        <v>42773</v>
      </c>
      <c r="B32" s="358">
        <v>5013333100031</v>
      </c>
      <c r="C32" s="173">
        <v>501</v>
      </c>
      <c r="D32" s="173">
        <v>3333</v>
      </c>
      <c r="E32" s="173">
        <v>10003</v>
      </c>
      <c r="F32" s="173">
        <v>1</v>
      </c>
      <c r="G32" s="174">
        <v>20</v>
      </c>
      <c r="H32" s="175">
        <v>210</v>
      </c>
    </row>
    <row r="33" spans="1:8" x14ac:dyDescent="0.25">
      <c r="A33" s="172">
        <v>42774</v>
      </c>
      <c r="B33" s="358">
        <v>4772222100021</v>
      </c>
      <c r="C33" s="173">
        <v>477</v>
      </c>
      <c r="D33" s="173">
        <v>2222</v>
      </c>
      <c r="E33" s="173">
        <v>10002</v>
      </c>
      <c r="F33" s="173">
        <v>1</v>
      </c>
      <c r="G33" s="174">
        <v>8</v>
      </c>
      <c r="H33" s="175">
        <v>160</v>
      </c>
    </row>
    <row r="34" spans="1:8" x14ac:dyDescent="0.25">
      <c r="A34" s="172">
        <v>42775</v>
      </c>
      <c r="B34" s="358">
        <v>4772222100021</v>
      </c>
      <c r="C34" s="173">
        <v>477</v>
      </c>
      <c r="D34" s="173">
        <v>2222</v>
      </c>
      <c r="E34" s="173">
        <v>10002</v>
      </c>
      <c r="F34" s="173">
        <v>1</v>
      </c>
      <c r="G34" s="174">
        <v>12</v>
      </c>
      <c r="H34" s="175">
        <v>160</v>
      </c>
    </row>
    <row r="35" spans="1:8" x14ac:dyDescent="0.25">
      <c r="A35" s="172">
        <v>42776</v>
      </c>
      <c r="B35" s="358">
        <v>4772222100061</v>
      </c>
      <c r="C35" s="173">
        <v>477</v>
      </c>
      <c r="D35" s="173">
        <v>2222</v>
      </c>
      <c r="E35" s="173">
        <v>10006</v>
      </c>
      <c r="F35" s="173">
        <v>1</v>
      </c>
      <c r="G35" s="174">
        <v>9</v>
      </c>
      <c r="H35" s="175">
        <v>110.00000000000001</v>
      </c>
    </row>
    <row r="36" spans="1:8" x14ac:dyDescent="0.25">
      <c r="A36" s="172">
        <v>42779</v>
      </c>
      <c r="B36" s="358">
        <v>4774444100071</v>
      </c>
      <c r="C36" s="173">
        <v>477</v>
      </c>
      <c r="D36" s="173">
        <v>4444</v>
      </c>
      <c r="E36" s="173">
        <v>10007</v>
      </c>
      <c r="F36" s="173">
        <v>1</v>
      </c>
      <c r="G36" s="174">
        <v>23</v>
      </c>
      <c r="H36" s="175">
        <v>140</v>
      </c>
    </row>
    <row r="37" spans="1:8" x14ac:dyDescent="0.25">
      <c r="A37" s="172">
        <v>42780</v>
      </c>
      <c r="B37" s="358">
        <v>4772222100051</v>
      </c>
      <c r="C37" s="173">
        <v>477</v>
      </c>
      <c r="D37" s="173">
        <v>2222</v>
      </c>
      <c r="E37" s="173">
        <v>10005</v>
      </c>
      <c r="F37" s="173">
        <v>1</v>
      </c>
      <c r="G37" s="174">
        <v>23</v>
      </c>
      <c r="H37" s="175">
        <v>140</v>
      </c>
    </row>
    <row r="38" spans="1:8" x14ac:dyDescent="0.25">
      <c r="A38" s="172">
        <v>42781</v>
      </c>
      <c r="B38" s="358">
        <v>5023333100041</v>
      </c>
      <c r="C38" s="173">
        <v>502</v>
      </c>
      <c r="D38" s="173">
        <v>3333</v>
      </c>
      <c r="E38" s="173">
        <v>10004</v>
      </c>
      <c r="F38" s="173">
        <v>1</v>
      </c>
      <c r="G38" s="174">
        <v>12</v>
      </c>
      <c r="H38" s="175">
        <v>200</v>
      </c>
    </row>
    <row r="39" spans="1:8" x14ac:dyDescent="0.25">
      <c r="A39" s="172">
        <v>42782</v>
      </c>
      <c r="B39" s="358">
        <v>4772222100021</v>
      </c>
      <c r="C39" s="173">
        <v>477</v>
      </c>
      <c r="D39" s="173">
        <v>2222</v>
      </c>
      <c r="E39" s="173">
        <v>10002</v>
      </c>
      <c r="F39" s="173">
        <v>1</v>
      </c>
      <c r="G39" s="174">
        <v>24</v>
      </c>
      <c r="H39" s="175">
        <v>160</v>
      </c>
    </row>
    <row r="40" spans="1:8" x14ac:dyDescent="0.25">
      <c r="A40" s="172">
        <v>42783</v>
      </c>
      <c r="B40" s="358">
        <v>5023333100041</v>
      </c>
      <c r="C40" s="173">
        <v>502</v>
      </c>
      <c r="D40" s="173">
        <v>3333</v>
      </c>
      <c r="E40" s="173">
        <v>10004</v>
      </c>
      <c r="F40" s="173">
        <v>1</v>
      </c>
      <c r="G40" s="174">
        <v>23</v>
      </c>
      <c r="H40" s="175">
        <v>200</v>
      </c>
    </row>
    <row r="41" spans="1:8" x14ac:dyDescent="0.25">
      <c r="A41" s="172">
        <v>42786</v>
      </c>
      <c r="B41" s="358">
        <v>4772222100021</v>
      </c>
      <c r="C41" s="173">
        <v>477</v>
      </c>
      <c r="D41" s="173">
        <v>2222</v>
      </c>
      <c r="E41" s="173">
        <v>10002</v>
      </c>
      <c r="F41" s="173">
        <v>1</v>
      </c>
      <c r="G41" s="174">
        <v>17</v>
      </c>
      <c r="H41" s="175">
        <v>160</v>
      </c>
    </row>
    <row r="42" spans="1:8" x14ac:dyDescent="0.25">
      <c r="A42" s="172">
        <v>42787</v>
      </c>
      <c r="B42" s="358">
        <v>4772222100021</v>
      </c>
      <c r="C42" s="173">
        <v>477</v>
      </c>
      <c r="D42" s="173">
        <v>2222</v>
      </c>
      <c r="E42" s="173">
        <v>10002</v>
      </c>
      <c r="F42" s="173">
        <v>1</v>
      </c>
      <c r="G42" s="174">
        <v>8</v>
      </c>
      <c r="H42" s="175">
        <v>160</v>
      </c>
    </row>
    <row r="43" spans="1:8" x14ac:dyDescent="0.25">
      <c r="A43" s="172">
        <v>42788</v>
      </c>
      <c r="B43" s="358">
        <v>5023333100041</v>
      </c>
      <c r="C43" s="173">
        <v>502</v>
      </c>
      <c r="D43" s="173">
        <v>3333</v>
      </c>
      <c r="E43" s="173">
        <v>10004</v>
      </c>
      <c r="F43" s="173">
        <v>1</v>
      </c>
      <c r="G43" s="174">
        <v>19</v>
      </c>
      <c r="H43" s="175">
        <v>200</v>
      </c>
    </row>
    <row r="44" spans="1:8" x14ac:dyDescent="0.25">
      <c r="A44" s="172">
        <v>42789</v>
      </c>
      <c r="B44" s="358">
        <v>4772222100061</v>
      </c>
      <c r="C44" s="173">
        <v>477</v>
      </c>
      <c r="D44" s="173">
        <v>2222</v>
      </c>
      <c r="E44" s="173">
        <v>10006</v>
      </c>
      <c r="F44" s="173">
        <v>1</v>
      </c>
      <c r="G44" s="174">
        <v>10</v>
      </c>
      <c r="H44" s="175">
        <v>110.00000000000001</v>
      </c>
    </row>
    <row r="45" spans="1:8" x14ac:dyDescent="0.25">
      <c r="A45" s="172">
        <v>42790</v>
      </c>
      <c r="B45" s="358">
        <v>5013333100031</v>
      </c>
      <c r="C45" s="173">
        <v>501</v>
      </c>
      <c r="D45" s="173">
        <v>3333</v>
      </c>
      <c r="E45" s="173">
        <v>10003</v>
      </c>
      <c r="F45" s="173">
        <v>1</v>
      </c>
      <c r="G45" s="174">
        <v>17</v>
      </c>
      <c r="H45" s="175">
        <v>210</v>
      </c>
    </row>
    <row r="46" spans="1:8" x14ac:dyDescent="0.25">
      <c r="A46" s="172">
        <v>42793</v>
      </c>
      <c r="B46" s="358">
        <v>3011111100011</v>
      </c>
      <c r="C46" s="173">
        <v>301</v>
      </c>
      <c r="D46" s="173">
        <v>1111</v>
      </c>
      <c r="E46" s="173">
        <v>10001</v>
      </c>
      <c r="F46" s="173">
        <v>1</v>
      </c>
      <c r="G46" s="174">
        <v>22</v>
      </c>
      <c r="H46" s="175">
        <v>210</v>
      </c>
    </row>
    <row r="47" spans="1:8" x14ac:dyDescent="0.25">
      <c r="A47" s="172">
        <v>42794</v>
      </c>
      <c r="B47" s="358">
        <v>4772222100061</v>
      </c>
      <c r="C47" s="173">
        <v>477</v>
      </c>
      <c r="D47" s="173">
        <v>2222</v>
      </c>
      <c r="E47" s="173">
        <v>10006</v>
      </c>
      <c r="F47" s="173">
        <v>1</v>
      </c>
      <c r="G47" s="174">
        <v>25</v>
      </c>
      <c r="H47" s="175">
        <v>110.00000000000001</v>
      </c>
    </row>
    <row r="48" spans="1:8" x14ac:dyDescent="0.25">
      <c r="A48" s="172">
        <v>42795</v>
      </c>
      <c r="B48" s="358">
        <v>4772222100021</v>
      </c>
      <c r="C48" s="173">
        <v>477</v>
      </c>
      <c r="D48" s="173">
        <v>2222</v>
      </c>
      <c r="E48" s="173">
        <v>10002</v>
      </c>
      <c r="F48" s="173">
        <v>1</v>
      </c>
      <c r="G48" s="174">
        <v>21</v>
      </c>
      <c r="H48" s="175">
        <v>160</v>
      </c>
    </row>
    <row r="49" spans="1:8" x14ac:dyDescent="0.25">
      <c r="A49" s="172">
        <v>42796</v>
      </c>
      <c r="B49" s="358">
        <v>4772222100021</v>
      </c>
      <c r="C49" s="173">
        <v>477</v>
      </c>
      <c r="D49" s="173">
        <v>2222</v>
      </c>
      <c r="E49" s="173">
        <v>10002</v>
      </c>
      <c r="F49" s="173">
        <v>1</v>
      </c>
      <c r="G49" s="174">
        <v>18</v>
      </c>
      <c r="H49" s="175">
        <v>160</v>
      </c>
    </row>
    <row r="50" spans="1:8" x14ac:dyDescent="0.25">
      <c r="A50" s="172">
        <v>42797</v>
      </c>
      <c r="B50" s="358">
        <v>5013333100031</v>
      </c>
      <c r="C50" s="173">
        <v>501</v>
      </c>
      <c r="D50" s="173">
        <v>3333</v>
      </c>
      <c r="E50" s="173">
        <v>10003</v>
      </c>
      <c r="F50" s="173">
        <v>1</v>
      </c>
      <c r="G50" s="174">
        <v>16</v>
      </c>
      <c r="H50" s="175">
        <v>210</v>
      </c>
    </row>
    <row r="51" spans="1:8" x14ac:dyDescent="0.25">
      <c r="A51" s="172">
        <v>42800</v>
      </c>
      <c r="B51" s="358">
        <v>5013333100031</v>
      </c>
      <c r="C51" s="173">
        <v>501</v>
      </c>
      <c r="D51" s="173">
        <v>3333</v>
      </c>
      <c r="E51" s="173">
        <v>10003</v>
      </c>
      <c r="F51" s="173">
        <v>1</v>
      </c>
      <c r="G51" s="174">
        <v>15</v>
      </c>
      <c r="H51" s="175">
        <v>210</v>
      </c>
    </row>
    <row r="52" spans="1:8" x14ac:dyDescent="0.25">
      <c r="A52" s="172">
        <v>42801</v>
      </c>
      <c r="B52" s="358">
        <v>5013333100031</v>
      </c>
      <c r="C52" s="173">
        <v>501</v>
      </c>
      <c r="D52" s="173">
        <v>3333</v>
      </c>
      <c r="E52" s="173">
        <v>10003</v>
      </c>
      <c r="F52" s="173">
        <v>1</v>
      </c>
      <c r="G52" s="174">
        <v>14</v>
      </c>
      <c r="H52" s="175">
        <v>210</v>
      </c>
    </row>
    <row r="53" spans="1:8" x14ac:dyDescent="0.25">
      <c r="A53" s="172">
        <v>42802</v>
      </c>
      <c r="B53" s="358">
        <v>4772222100061</v>
      </c>
      <c r="C53" s="173">
        <v>477</v>
      </c>
      <c r="D53" s="173">
        <v>2222</v>
      </c>
      <c r="E53" s="173">
        <v>10006</v>
      </c>
      <c r="F53" s="173">
        <v>1</v>
      </c>
      <c r="G53" s="174">
        <v>20</v>
      </c>
      <c r="H53" s="175">
        <v>110.00000000000001</v>
      </c>
    </row>
    <row r="54" spans="1:8" x14ac:dyDescent="0.25">
      <c r="A54" s="172">
        <v>42803</v>
      </c>
      <c r="B54" s="358">
        <v>4772222100051</v>
      </c>
      <c r="C54" s="173">
        <v>477</v>
      </c>
      <c r="D54" s="173">
        <v>2222</v>
      </c>
      <c r="E54" s="173">
        <v>10005</v>
      </c>
      <c r="F54" s="173">
        <v>1</v>
      </c>
      <c r="G54" s="174">
        <v>15</v>
      </c>
      <c r="H54" s="175">
        <v>140</v>
      </c>
    </row>
    <row r="55" spans="1:8" x14ac:dyDescent="0.25">
      <c r="A55" s="172">
        <v>42804</v>
      </c>
      <c r="B55" s="358">
        <v>4772222100021</v>
      </c>
      <c r="C55" s="173">
        <v>477</v>
      </c>
      <c r="D55" s="173">
        <v>2222</v>
      </c>
      <c r="E55" s="173">
        <v>10002</v>
      </c>
      <c r="F55" s="173">
        <v>1</v>
      </c>
      <c r="G55" s="174">
        <v>26</v>
      </c>
      <c r="H55" s="175">
        <v>160</v>
      </c>
    </row>
    <row r="56" spans="1:8" x14ac:dyDescent="0.25">
      <c r="A56" s="172">
        <v>42807</v>
      </c>
      <c r="B56" s="358">
        <v>3021111100011</v>
      </c>
      <c r="C56" s="173">
        <v>302</v>
      </c>
      <c r="D56" s="173">
        <v>1111</v>
      </c>
      <c r="E56" s="173">
        <v>10001</v>
      </c>
      <c r="F56" s="173">
        <v>1</v>
      </c>
      <c r="G56" s="174">
        <v>14</v>
      </c>
      <c r="H56" s="175">
        <v>210</v>
      </c>
    </row>
    <row r="57" spans="1:8" x14ac:dyDescent="0.25">
      <c r="A57" s="172">
        <v>42808</v>
      </c>
      <c r="B57" s="358">
        <v>4772222100061</v>
      </c>
      <c r="C57" s="173">
        <v>477</v>
      </c>
      <c r="D57" s="173">
        <v>2222</v>
      </c>
      <c r="E57" s="173">
        <v>10006</v>
      </c>
      <c r="F57" s="173">
        <v>1</v>
      </c>
      <c r="G57" s="174">
        <v>12</v>
      </c>
      <c r="H57" s="175">
        <v>110.00000000000001</v>
      </c>
    </row>
    <row r="58" spans="1:8" x14ac:dyDescent="0.25">
      <c r="A58" s="172">
        <v>42809</v>
      </c>
      <c r="B58" s="358">
        <v>4772222100021</v>
      </c>
      <c r="C58" s="173">
        <v>477</v>
      </c>
      <c r="D58" s="173">
        <v>2222</v>
      </c>
      <c r="E58" s="173">
        <v>10002</v>
      </c>
      <c r="F58" s="173">
        <v>1</v>
      </c>
      <c r="G58" s="174">
        <v>21</v>
      </c>
      <c r="H58" s="175">
        <v>160</v>
      </c>
    </row>
    <row r="59" spans="1:8" x14ac:dyDescent="0.25">
      <c r="A59" s="172">
        <v>42810</v>
      </c>
      <c r="B59" s="358">
        <v>4772222100021</v>
      </c>
      <c r="C59" s="173">
        <v>477</v>
      </c>
      <c r="D59" s="173">
        <v>2222</v>
      </c>
      <c r="E59" s="173">
        <v>10002</v>
      </c>
      <c r="F59" s="173">
        <v>1</v>
      </c>
      <c r="G59" s="174">
        <v>22</v>
      </c>
      <c r="H59" s="175">
        <v>160</v>
      </c>
    </row>
    <row r="60" spans="1:8" x14ac:dyDescent="0.25">
      <c r="A60" s="172">
        <v>42811</v>
      </c>
      <c r="B60" s="358">
        <v>4772222100061</v>
      </c>
      <c r="C60" s="173">
        <v>477</v>
      </c>
      <c r="D60" s="173">
        <v>2222</v>
      </c>
      <c r="E60" s="173">
        <v>10006</v>
      </c>
      <c r="F60" s="173">
        <v>1</v>
      </c>
      <c r="G60" s="174">
        <v>11</v>
      </c>
      <c r="H60" s="175">
        <v>110.00000000000001</v>
      </c>
    </row>
    <row r="61" spans="1:8" x14ac:dyDescent="0.25">
      <c r="A61" s="172">
        <v>42814</v>
      </c>
      <c r="B61" s="358">
        <v>4774444100071</v>
      </c>
      <c r="C61" s="173">
        <v>477</v>
      </c>
      <c r="D61" s="173">
        <v>4444</v>
      </c>
      <c r="E61" s="173">
        <v>10007</v>
      </c>
      <c r="F61" s="173">
        <v>1</v>
      </c>
      <c r="G61" s="174">
        <v>14</v>
      </c>
      <c r="H61" s="175">
        <v>140</v>
      </c>
    </row>
    <row r="62" spans="1:8" x14ac:dyDescent="0.25">
      <c r="A62" s="172">
        <v>42815</v>
      </c>
      <c r="B62" s="358">
        <v>5013333100031</v>
      </c>
      <c r="C62" s="173">
        <v>501</v>
      </c>
      <c r="D62" s="173">
        <v>3333</v>
      </c>
      <c r="E62" s="173">
        <v>10003</v>
      </c>
      <c r="F62" s="173">
        <v>1</v>
      </c>
      <c r="G62" s="174">
        <v>7</v>
      </c>
      <c r="H62" s="175">
        <v>210</v>
      </c>
    </row>
    <row r="63" spans="1:8" x14ac:dyDescent="0.25">
      <c r="A63" s="172">
        <v>42816</v>
      </c>
      <c r="B63" s="358">
        <v>5023333100041</v>
      </c>
      <c r="C63" s="173">
        <v>502</v>
      </c>
      <c r="D63" s="173">
        <v>3333</v>
      </c>
      <c r="E63" s="173">
        <v>10004</v>
      </c>
      <c r="F63" s="173">
        <v>1</v>
      </c>
      <c r="G63" s="174">
        <v>20</v>
      </c>
      <c r="H63" s="175">
        <v>200</v>
      </c>
    </row>
    <row r="64" spans="1:8" x14ac:dyDescent="0.25">
      <c r="A64" s="172">
        <v>42817</v>
      </c>
      <c r="B64" s="358">
        <v>4772222100021</v>
      </c>
      <c r="C64" s="173">
        <v>477</v>
      </c>
      <c r="D64" s="173">
        <v>2222</v>
      </c>
      <c r="E64" s="173">
        <v>10002</v>
      </c>
      <c r="F64" s="173">
        <v>1</v>
      </c>
      <c r="G64" s="174">
        <v>21</v>
      </c>
      <c r="H64" s="175">
        <v>160</v>
      </c>
    </row>
    <row r="65" spans="1:8" x14ac:dyDescent="0.25">
      <c r="A65" s="172">
        <v>42818</v>
      </c>
      <c r="B65" s="358">
        <v>4772222100061</v>
      </c>
      <c r="C65" s="173">
        <v>477</v>
      </c>
      <c r="D65" s="173">
        <v>2222</v>
      </c>
      <c r="E65" s="173">
        <v>10006</v>
      </c>
      <c r="F65" s="173">
        <v>1</v>
      </c>
      <c r="G65" s="174">
        <v>18</v>
      </c>
      <c r="H65" s="175">
        <v>110.00000000000001</v>
      </c>
    </row>
    <row r="66" spans="1:8" x14ac:dyDescent="0.25">
      <c r="A66" s="172">
        <v>42821</v>
      </c>
      <c r="B66" s="358">
        <v>4772222100061</v>
      </c>
      <c r="C66" s="173">
        <v>477</v>
      </c>
      <c r="D66" s="173">
        <v>2222</v>
      </c>
      <c r="E66" s="173">
        <v>10006</v>
      </c>
      <c r="F66" s="173">
        <v>1</v>
      </c>
      <c r="G66" s="174">
        <v>9</v>
      </c>
      <c r="H66" s="175">
        <v>110.00000000000001</v>
      </c>
    </row>
    <row r="67" spans="1:8" x14ac:dyDescent="0.25">
      <c r="A67" s="172">
        <v>42822</v>
      </c>
      <c r="B67" s="358">
        <v>5023333100041</v>
      </c>
      <c r="C67" s="173">
        <v>502</v>
      </c>
      <c r="D67" s="173">
        <v>3333</v>
      </c>
      <c r="E67" s="173">
        <v>10004</v>
      </c>
      <c r="F67" s="173">
        <v>1</v>
      </c>
      <c r="G67" s="174">
        <v>26</v>
      </c>
      <c r="H67" s="175">
        <v>200</v>
      </c>
    </row>
    <row r="68" spans="1:8" x14ac:dyDescent="0.25">
      <c r="A68" s="172">
        <v>42823</v>
      </c>
      <c r="B68" s="358">
        <v>5013333100031</v>
      </c>
      <c r="C68" s="173">
        <v>501</v>
      </c>
      <c r="D68" s="173">
        <v>3333</v>
      </c>
      <c r="E68" s="173">
        <v>10003</v>
      </c>
      <c r="F68" s="173">
        <v>1</v>
      </c>
      <c r="G68" s="174">
        <v>25</v>
      </c>
      <c r="H68" s="175">
        <v>210</v>
      </c>
    </row>
    <row r="69" spans="1:8" x14ac:dyDescent="0.25">
      <c r="A69" s="172">
        <v>42824</v>
      </c>
      <c r="B69" s="358">
        <v>4772222100021</v>
      </c>
      <c r="C69" s="173">
        <v>477</v>
      </c>
      <c r="D69" s="173">
        <v>2222</v>
      </c>
      <c r="E69" s="173">
        <v>10002</v>
      </c>
      <c r="F69" s="173">
        <v>1</v>
      </c>
      <c r="G69" s="174">
        <v>12</v>
      </c>
      <c r="H69" s="175">
        <v>160</v>
      </c>
    </row>
    <row r="70" spans="1:8" x14ac:dyDescent="0.25">
      <c r="A70" s="172">
        <v>42825</v>
      </c>
      <c r="B70" s="358">
        <v>4772222100021</v>
      </c>
      <c r="C70" s="173">
        <v>477</v>
      </c>
      <c r="D70" s="173">
        <v>2222</v>
      </c>
      <c r="E70" s="173">
        <v>10002</v>
      </c>
      <c r="F70" s="173">
        <v>1</v>
      </c>
      <c r="G70" s="174">
        <v>8</v>
      </c>
      <c r="H70" s="175">
        <v>160</v>
      </c>
    </row>
    <row r="71" spans="1:8" x14ac:dyDescent="0.25">
      <c r="A71" s="172">
        <v>42828</v>
      </c>
      <c r="B71" s="358">
        <v>4774444100071</v>
      </c>
      <c r="C71" s="173">
        <v>477</v>
      </c>
      <c r="D71" s="173">
        <v>4444</v>
      </c>
      <c r="E71" s="173">
        <v>10007</v>
      </c>
      <c r="F71" s="173">
        <v>1</v>
      </c>
      <c r="G71" s="174">
        <v>25</v>
      </c>
      <c r="H71" s="175">
        <v>140</v>
      </c>
    </row>
    <row r="72" spans="1:8" x14ac:dyDescent="0.25">
      <c r="A72" s="172">
        <v>42829</v>
      </c>
      <c r="B72" s="358">
        <v>4772222100021</v>
      </c>
      <c r="C72" s="173">
        <v>477</v>
      </c>
      <c r="D72" s="173">
        <v>2222</v>
      </c>
      <c r="E72" s="173">
        <v>10002</v>
      </c>
      <c r="F72" s="173">
        <v>1</v>
      </c>
      <c r="G72" s="174">
        <v>10</v>
      </c>
      <c r="H72" s="175">
        <v>160</v>
      </c>
    </row>
    <row r="73" spans="1:8" x14ac:dyDescent="0.25">
      <c r="A73" s="172">
        <v>42830</v>
      </c>
      <c r="B73" s="358">
        <v>4772222100021</v>
      </c>
      <c r="C73" s="173">
        <v>477</v>
      </c>
      <c r="D73" s="173">
        <v>2222</v>
      </c>
      <c r="E73" s="173">
        <v>10002</v>
      </c>
      <c r="F73" s="173">
        <v>1</v>
      </c>
      <c r="G73" s="174">
        <v>17</v>
      </c>
      <c r="H73" s="175">
        <v>160</v>
      </c>
    </row>
    <row r="74" spans="1:8" x14ac:dyDescent="0.25">
      <c r="A74" s="172">
        <v>42831</v>
      </c>
      <c r="B74" s="358">
        <v>4772222100051</v>
      </c>
      <c r="C74" s="173">
        <v>477</v>
      </c>
      <c r="D74" s="173">
        <v>2222</v>
      </c>
      <c r="E74" s="173">
        <v>10005</v>
      </c>
      <c r="F74" s="173">
        <v>1</v>
      </c>
      <c r="G74" s="174">
        <v>25</v>
      </c>
      <c r="H74" s="175">
        <v>140</v>
      </c>
    </row>
    <row r="75" spans="1:8" x14ac:dyDescent="0.25">
      <c r="A75" s="172">
        <v>42832</v>
      </c>
      <c r="B75" s="358">
        <v>4772222100021</v>
      </c>
      <c r="C75" s="173">
        <v>477</v>
      </c>
      <c r="D75" s="173">
        <v>2222</v>
      </c>
      <c r="E75" s="173">
        <v>10002</v>
      </c>
      <c r="F75" s="173">
        <v>1</v>
      </c>
      <c r="G75" s="174">
        <v>26</v>
      </c>
      <c r="H75" s="175">
        <v>160</v>
      </c>
    </row>
    <row r="76" spans="1:8" x14ac:dyDescent="0.25">
      <c r="A76" s="172">
        <v>42835</v>
      </c>
      <c r="B76" s="358">
        <v>4772222100021</v>
      </c>
      <c r="C76" s="173">
        <v>477</v>
      </c>
      <c r="D76" s="173">
        <v>2222</v>
      </c>
      <c r="E76" s="173">
        <v>10002</v>
      </c>
      <c r="F76" s="173">
        <v>1</v>
      </c>
      <c r="G76" s="174">
        <v>22</v>
      </c>
      <c r="H76" s="175">
        <v>160</v>
      </c>
    </row>
    <row r="77" spans="1:8" x14ac:dyDescent="0.25">
      <c r="A77" s="172">
        <v>42836</v>
      </c>
      <c r="B77" s="358">
        <v>4772222100051</v>
      </c>
      <c r="C77" s="173">
        <v>477</v>
      </c>
      <c r="D77" s="173">
        <v>2222</v>
      </c>
      <c r="E77" s="173">
        <v>10005</v>
      </c>
      <c r="F77" s="173">
        <v>1</v>
      </c>
      <c r="G77" s="174">
        <v>9</v>
      </c>
      <c r="H77" s="175">
        <v>140</v>
      </c>
    </row>
    <row r="78" spans="1:8" x14ac:dyDescent="0.25">
      <c r="A78" s="172">
        <v>42837</v>
      </c>
      <c r="B78" s="358">
        <v>4772222100021</v>
      </c>
      <c r="C78" s="173">
        <v>477</v>
      </c>
      <c r="D78" s="173">
        <v>2222</v>
      </c>
      <c r="E78" s="173">
        <v>10002</v>
      </c>
      <c r="F78" s="173">
        <v>1</v>
      </c>
      <c r="G78" s="174">
        <v>11</v>
      </c>
      <c r="H78" s="175">
        <v>160</v>
      </c>
    </row>
    <row r="79" spans="1:8" x14ac:dyDescent="0.25">
      <c r="A79" s="172">
        <v>42838</v>
      </c>
      <c r="B79" s="358">
        <v>3031111100011</v>
      </c>
      <c r="C79" s="173">
        <v>303</v>
      </c>
      <c r="D79" s="173">
        <v>1111</v>
      </c>
      <c r="E79" s="173">
        <v>10001</v>
      </c>
      <c r="F79" s="173">
        <v>1</v>
      </c>
      <c r="G79" s="174">
        <v>23</v>
      </c>
      <c r="H79" s="175">
        <v>210</v>
      </c>
    </row>
    <row r="80" spans="1:8" x14ac:dyDescent="0.25">
      <c r="A80" s="172">
        <v>42839</v>
      </c>
      <c r="B80" s="358">
        <v>5013333100031</v>
      </c>
      <c r="C80" s="173">
        <v>501</v>
      </c>
      <c r="D80" s="173">
        <v>3333</v>
      </c>
      <c r="E80" s="173">
        <v>10003</v>
      </c>
      <c r="F80" s="173">
        <v>1</v>
      </c>
      <c r="G80" s="174">
        <v>7</v>
      </c>
      <c r="H80" s="175">
        <v>210</v>
      </c>
    </row>
    <row r="81" spans="1:8" x14ac:dyDescent="0.25">
      <c r="A81" s="172">
        <v>42842</v>
      </c>
      <c r="B81" s="358">
        <v>4772222100021</v>
      </c>
      <c r="C81" s="173">
        <v>477</v>
      </c>
      <c r="D81" s="173">
        <v>2222</v>
      </c>
      <c r="E81" s="173">
        <v>10002</v>
      </c>
      <c r="F81" s="173">
        <v>1</v>
      </c>
      <c r="G81" s="174">
        <v>22</v>
      </c>
      <c r="H81" s="175">
        <v>160</v>
      </c>
    </row>
    <row r="82" spans="1:8" x14ac:dyDescent="0.25">
      <c r="A82" s="172">
        <v>42843</v>
      </c>
      <c r="B82" s="358">
        <v>5023333100041</v>
      </c>
      <c r="C82" s="173">
        <v>502</v>
      </c>
      <c r="D82" s="173">
        <v>3333</v>
      </c>
      <c r="E82" s="173">
        <v>10004</v>
      </c>
      <c r="F82" s="173">
        <v>1</v>
      </c>
      <c r="G82" s="174">
        <v>20</v>
      </c>
      <c r="H82" s="175">
        <v>200</v>
      </c>
    </row>
    <row r="83" spans="1:8" x14ac:dyDescent="0.25">
      <c r="A83" s="172">
        <v>42844</v>
      </c>
      <c r="B83" s="358">
        <v>5013333100031</v>
      </c>
      <c r="C83" s="173">
        <v>501</v>
      </c>
      <c r="D83" s="173">
        <v>3333</v>
      </c>
      <c r="E83" s="173">
        <v>10003</v>
      </c>
      <c r="F83" s="173">
        <v>1</v>
      </c>
      <c r="G83" s="174">
        <v>17</v>
      </c>
      <c r="H83" s="175">
        <v>210</v>
      </c>
    </row>
    <row r="84" spans="1:8" x14ac:dyDescent="0.25">
      <c r="A84" s="172">
        <v>42845</v>
      </c>
      <c r="B84" s="358">
        <v>3011111100011</v>
      </c>
      <c r="C84" s="173">
        <v>301</v>
      </c>
      <c r="D84" s="173">
        <v>1111</v>
      </c>
      <c r="E84" s="173">
        <v>10001</v>
      </c>
      <c r="F84" s="173">
        <v>1</v>
      </c>
      <c r="G84" s="174">
        <v>10</v>
      </c>
      <c r="H84" s="175">
        <v>210</v>
      </c>
    </row>
    <row r="85" spans="1:8" x14ac:dyDescent="0.25">
      <c r="A85" s="172">
        <v>42846</v>
      </c>
      <c r="B85" s="358">
        <v>4772222100021</v>
      </c>
      <c r="C85" s="173">
        <v>477</v>
      </c>
      <c r="D85" s="173">
        <v>2222</v>
      </c>
      <c r="E85" s="173">
        <v>10002</v>
      </c>
      <c r="F85" s="173">
        <v>1</v>
      </c>
      <c r="G85" s="174">
        <v>21</v>
      </c>
      <c r="H85" s="175">
        <v>160</v>
      </c>
    </row>
    <row r="86" spans="1:8" x14ac:dyDescent="0.25">
      <c r="A86" s="172">
        <v>42849</v>
      </c>
      <c r="B86" s="358">
        <v>5023333100041</v>
      </c>
      <c r="C86" s="173">
        <v>502</v>
      </c>
      <c r="D86" s="173">
        <v>3333</v>
      </c>
      <c r="E86" s="173">
        <v>10004</v>
      </c>
      <c r="F86" s="173">
        <v>1</v>
      </c>
      <c r="G86" s="174">
        <v>17</v>
      </c>
      <c r="H86" s="175">
        <v>200</v>
      </c>
    </row>
    <row r="87" spans="1:8" x14ac:dyDescent="0.25">
      <c r="A87" s="172">
        <v>42850</v>
      </c>
      <c r="B87" s="358">
        <v>5023333100041</v>
      </c>
      <c r="C87" s="173">
        <v>502</v>
      </c>
      <c r="D87" s="173">
        <v>3333</v>
      </c>
      <c r="E87" s="173">
        <v>10004</v>
      </c>
      <c r="F87" s="173">
        <v>1</v>
      </c>
      <c r="G87" s="174">
        <v>18</v>
      </c>
      <c r="H87" s="175">
        <v>200</v>
      </c>
    </row>
    <row r="88" spans="1:8" x14ac:dyDescent="0.25">
      <c r="A88" s="172">
        <v>42851</v>
      </c>
      <c r="B88" s="358">
        <v>4772222100061</v>
      </c>
      <c r="C88" s="173">
        <v>477</v>
      </c>
      <c r="D88" s="173">
        <v>2222</v>
      </c>
      <c r="E88" s="173">
        <v>10006</v>
      </c>
      <c r="F88" s="173">
        <v>1</v>
      </c>
      <c r="G88" s="174">
        <v>15</v>
      </c>
      <c r="H88" s="175">
        <v>110.00000000000001</v>
      </c>
    </row>
    <row r="89" spans="1:8" x14ac:dyDescent="0.25">
      <c r="A89" s="172">
        <v>42852</v>
      </c>
      <c r="B89" s="358">
        <v>5023333100041</v>
      </c>
      <c r="C89" s="173">
        <v>502</v>
      </c>
      <c r="D89" s="173">
        <v>3333</v>
      </c>
      <c r="E89" s="173">
        <v>10004</v>
      </c>
      <c r="F89" s="173">
        <v>1</v>
      </c>
      <c r="G89" s="174">
        <v>12</v>
      </c>
      <c r="H89" s="175">
        <v>200</v>
      </c>
    </row>
    <row r="90" spans="1:8" x14ac:dyDescent="0.25">
      <c r="A90" s="172">
        <v>42853</v>
      </c>
      <c r="B90" s="358">
        <v>5013333100031</v>
      </c>
      <c r="C90" s="173">
        <v>501</v>
      </c>
      <c r="D90" s="173">
        <v>3333</v>
      </c>
      <c r="E90" s="173">
        <v>10003</v>
      </c>
      <c r="F90" s="173">
        <v>1</v>
      </c>
      <c r="G90" s="174">
        <v>13</v>
      </c>
      <c r="H90" s="175">
        <v>210</v>
      </c>
    </row>
    <row r="91" spans="1:8" x14ac:dyDescent="0.25">
      <c r="A91" s="172">
        <v>42856</v>
      </c>
      <c r="B91" s="358">
        <v>4772222100021</v>
      </c>
      <c r="C91" s="173">
        <v>477</v>
      </c>
      <c r="D91" s="173">
        <v>2222</v>
      </c>
      <c r="E91" s="173">
        <v>10002</v>
      </c>
      <c r="F91" s="173">
        <v>1</v>
      </c>
      <c r="G91" s="174">
        <v>24</v>
      </c>
      <c r="H91" s="175">
        <v>160</v>
      </c>
    </row>
    <row r="92" spans="1:8" x14ac:dyDescent="0.25">
      <c r="A92" s="172">
        <v>42857</v>
      </c>
      <c r="B92" s="358">
        <v>5023333100041</v>
      </c>
      <c r="C92" s="173">
        <v>502</v>
      </c>
      <c r="D92" s="173">
        <v>3333</v>
      </c>
      <c r="E92" s="173">
        <v>10004</v>
      </c>
      <c r="F92" s="173">
        <v>1</v>
      </c>
      <c r="G92" s="174">
        <v>25</v>
      </c>
      <c r="H92" s="175">
        <v>200</v>
      </c>
    </row>
    <row r="93" spans="1:8" x14ac:dyDescent="0.25">
      <c r="A93" s="172">
        <v>42858</v>
      </c>
      <c r="B93" s="358">
        <v>4772222100021</v>
      </c>
      <c r="C93" s="173">
        <v>477</v>
      </c>
      <c r="D93" s="173">
        <v>2222</v>
      </c>
      <c r="E93" s="173">
        <v>10002</v>
      </c>
      <c r="F93" s="173">
        <v>1</v>
      </c>
      <c r="G93" s="174">
        <v>18</v>
      </c>
      <c r="H93" s="175">
        <v>160</v>
      </c>
    </row>
    <row r="94" spans="1:8" x14ac:dyDescent="0.25">
      <c r="A94" s="172">
        <v>42859</v>
      </c>
      <c r="B94" s="358">
        <v>4772222100061</v>
      </c>
      <c r="C94" s="173">
        <v>477</v>
      </c>
      <c r="D94" s="173">
        <v>2222</v>
      </c>
      <c r="E94" s="173">
        <v>10006</v>
      </c>
      <c r="F94" s="173">
        <v>1</v>
      </c>
      <c r="G94" s="174">
        <v>13</v>
      </c>
      <c r="H94" s="175">
        <v>110.00000000000001</v>
      </c>
    </row>
    <row r="95" spans="1:8" x14ac:dyDescent="0.25">
      <c r="A95" s="172">
        <v>42860</v>
      </c>
      <c r="B95" s="358">
        <v>5023333100041</v>
      </c>
      <c r="C95" s="173">
        <v>502</v>
      </c>
      <c r="D95" s="173">
        <v>3333</v>
      </c>
      <c r="E95" s="173">
        <v>10004</v>
      </c>
      <c r="F95" s="173">
        <v>1</v>
      </c>
      <c r="G95" s="174">
        <v>15</v>
      </c>
      <c r="H95" s="175">
        <v>200</v>
      </c>
    </row>
    <row r="96" spans="1:8" x14ac:dyDescent="0.25">
      <c r="A96" s="172">
        <v>42863</v>
      </c>
      <c r="B96" s="358">
        <v>5013333100031</v>
      </c>
      <c r="C96" s="173">
        <v>501</v>
      </c>
      <c r="D96" s="173">
        <v>3333</v>
      </c>
      <c r="E96" s="173">
        <v>10003</v>
      </c>
      <c r="F96" s="173">
        <v>1</v>
      </c>
      <c r="G96" s="174">
        <v>13</v>
      </c>
      <c r="H96" s="175">
        <v>210</v>
      </c>
    </row>
    <row r="97" spans="1:8" x14ac:dyDescent="0.25">
      <c r="A97" s="172">
        <v>42864</v>
      </c>
      <c r="B97" s="358">
        <v>3021111100011</v>
      </c>
      <c r="C97" s="173">
        <v>302</v>
      </c>
      <c r="D97" s="173">
        <v>1111</v>
      </c>
      <c r="E97" s="173">
        <v>10001</v>
      </c>
      <c r="F97" s="173">
        <v>1</v>
      </c>
      <c r="G97" s="174">
        <v>21</v>
      </c>
      <c r="H97" s="175">
        <v>210</v>
      </c>
    </row>
    <row r="98" spans="1:8" x14ac:dyDescent="0.25">
      <c r="A98" s="172">
        <v>42865</v>
      </c>
      <c r="B98" s="358">
        <v>4772222100051</v>
      </c>
      <c r="C98" s="173">
        <v>477</v>
      </c>
      <c r="D98" s="173">
        <v>2222</v>
      </c>
      <c r="E98" s="173">
        <v>10005</v>
      </c>
      <c r="F98" s="173">
        <v>1</v>
      </c>
      <c r="G98" s="174">
        <v>17</v>
      </c>
      <c r="H98" s="175">
        <v>140</v>
      </c>
    </row>
    <row r="99" spans="1:8" x14ac:dyDescent="0.25">
      <c r="A99" s="172">
        <v>42866</v>
      </c>
      <c r="B99" s="358">
        <v>5013333100031</v>
      </c>
      <c r="C99" s="173">
        <v>501</v>
      </c>
      <c r="D99" s="173">
        <v>3333</v>
      </c>
      <c r="E99" s="173">
        <v>10003</v>
      </c>
      <c r="F99" s="173">
        <v>1</v>
      </c>
      <c r="G99" s="174">
        <v>13</v>
      </c>
      <c r="H99" s="175">
        <v>210</v>
      </c>
    </row>
    <row r="100" spans="1:8" x14ac:dyDescent="0.25">
      <c r="A100" s="172">
        <v>42867</v>
      </c>
      <c r="B100" s="358">
        <v>5013333100031</v>
      </c>
      <c r="C100" s="173">
        <v>501</v>
      </c>
      <c r="D100" s="173">
        <v>3333</v>
      </c>
      <c r="E100" s="173">
        <v>10003</v>
      </c>
      <c r="F100" s="173">
        <v>1</v>
      </c>
      <c r="G100" s="174">
        <v>9</v>
      </c>
      <c r="H100" s="175">
        <v>210</v>
      </c>
    </row>
    <row r="101" spans="1:8" x14ac:dyDescent="0.25">
      <c r="A101" s="172">
        <v>42870</v>
      </c>
      <c r="B101" s="358">
        <v>4772222100021</v>
      </c>
      <c r="C101" s="173">
        <v>477</v>
      </c>
      <c r="D101" s="173">
        <v>2222</v>
      </c>
      <c r="E101" s="173">
        <v>10002</v>
      </c>
      <c r="F101" s="173">
        <v>1</v>
      </c>
      <c r="G101" s="174">
        <v>20</v>
      </c>
      <c r="H101" s="175">
        <v>160</v>
      </c>
    </row>
    <row r="102" spans="1:8" x14ac:dyDescent="0.25">
      <c r="A102" s="172">
        <v>42871</v>
      </c>
      <c r="B102" s="358">
        <v>4772222100021</v>
      </c>
      <c r="C102" s="173">
        <v>477</v>
      </c>
      <c r="D102" s="173">
        <v>2222</v>
      </c>
      <c r="E102" s="173">
        <v>10002</v>
      </c>
      <c r="F102" s="173">
        <v>1</v>
      </c>
      <c r="G102" s="174">
        <v>10</v>
      </c>
      <c r="H102" s="175">
        <v>160</v>
      </c>
    </row>
    <row r="103" spans="1:8" x14ac:dyDescent="0.25">
      <c r="A103" s="172">
        <v>42872</v>
      </c>
      <c r="B103" s="358">
        <v>4772222100021</v>
      </c>
      <c r="C103" s="173">
        <v>477</v>
      </c>
      <c r="D103" s="173">
        <v>2222</v>
      </c>
      <c r="E103" s="173">
        <v>10002</v>
      </c>
      <c r="F103" s="173">
        <v>1</v>
      </c>
      <c r="G103" s="174">
        <v>11</v>
      </c>
      <c r="H103" s="175">
        <v>160</v>
      </c>
    </row>
    <row r="104" spans="1:8" x14ac:dyDescent="0.25">
      <c r="A104" s="172">
        <v>42873</v>
      </c>
      <c r="B104" s="358">
        <v>4772222100021</v>
      </c>
      <c r="C104" s="173">
        <v>477</v>
      </c>
      <c r="D104" s="173">
        <v>2222</v>
      </c>
      <c r="E104" s="173">
        <v>10002</v>
      </c>
      <c r="F104" s="173">
        <v>1</v>
      </c>
      <c r="G104" s="174">
        <v>10</v>
      </c>
      <c r="H104" s="175">
        <v>160</v>
      </c>
    </row>
    <row r="105" spans="1:8" x14ac:dyDescent="0.25">
      <c r="A105" s="172">
        <v>42874</v>
      </c>
      <c r="B105" s="358">
        <v>4772222100021</v>
      </c>
      <c r="C105" s="173">
        <v>477</v>
      </c>
      <c r="D105" s="173">
        <v>2222</v>
      </c>
      <c r="E105" s="173">
        <v>10002</v>
      </c>
      <c r="F105" s="173">
        <v>1</v>
      </c>
      <c r="G105" s="174">
        <v>17</v>
      </c>
      <c r="H105" s="175">
        <v>160</v>
      </c>
    </row>
    <row r="106" spans="1:8" x14ac:dyDescent="0.25">
      <c r="A106" s="172">
        <v>42877</v>
      </c>
      <c r="B106" s="358">
        <v>4772222100021</v>
      </c>
      <c r="C106" s="173">
        <v>477</v>
      </c>
      <c r="D106" s="173">
        <v>2222</v>
      </c>
      <c r="E106" s="173">
        <v>10002</v>
      </c>
      <c r="F106" s="173">
        <v>1</v>
      </c>
      <c r="G106" s="174">
        <v>24</v>
      </c>
      <c r="H106" s="175">
        <v>160</v>
      </c>
    </row>
    <row r="107" spans="1:8" x14ac:dyDescent="0.25">
      <c r="A107" s="172">
        <v>42878</v>
      </c>
      <c r="B107" s="358">
        <v>4772222100021</v>
      </c>
      <c r="C107" s="173">
        <v>477</v>
      </c>
      <c r="D107" s="173">
        <v>2222</v>
      </c>
      <c r="E107" s="173">
        <v>10002</v>
      </c>
      <c r="F107" s="173">
        <v>1</v>
      </c>
      <c r="G107" s="174">
        <v>26</v>
      </c>
      <c r="H107" s="175">
        <v>160</v>
      </c>
    </row>
    <row r="108" spans="1:8" x14ac:dyDescent="0.25">
      <c r="A108" s="172">
        <v>42879</v>
      </c>
      <c r="B108" s="358">
        <v>4772222100021</v>
      </c>
      <c r="C108" s="173">
        <v>477</v>
      </c>
      <c r="D108" s="173">
        <v>2222</v>
      </c>
      <c r="E108" s="173">
        <v>10002</v>
      </c>
      <c r="F108" s="173">
        <v>1</v>
      </c>
      <c r="G108" s="174">
        <v>24</v>
      </c>
      <c r="H108" s="175">
        <v>160</v>
      </c>
    </row>
    <row r="109" spans="1:8" x14ac:dyDescent="0.25">
      <c r="A109" s="172">
        <v>42880</v>
      </c>
      <c r="B109" s="358">
        <v>4772222100051</v>
      </c>
      <c r="C109" s="173">
        <v>477</v>
      </c>
      <c r="D109" s="173">
        <v>2222</v>
      </c>
      <c r="E109" s="173">
        <v>10005</v>
      </c>
      <c r="F109" s="173">
        <v>1</v>
      </c>
      <c r="G109" s="174">
        <v>17</v>
      </c>
      <c r="H109" s="175">
        <v>140</v>
      </c>
    </row>
    <row r="110" spans="1:8" x14ac:dyDescent="0.25">
      <c r="A110" s="172">
        <v>42881</v>
      </c>
      <c r="B110" s="358">
        <v>4772222100061</v>
      </c>
      <c r="C110" s="173">
        <v>477</v>
      </c>
      <c r="D110" s="173">
        <v>2222</v>
      </c>
      <c r="E110" s="173">
        <v>10006</v>
      </c>
      <c r="F110" s="173">
        <v>1</v>
      </c>
      <c r="G110" s="174">
        <v>17</v>
      </c>
      <c r="H110" s="175">
        <v>110.00000000000001</v>
      </c>
    </row>
    <row r="111" spans="1:8" x14ac:dyDescent="0.25">
      <c r="A111" s="172">
        <v>42884</v>
      </c>
      <c r="B111" s="358">
        <v>3031111100011</v>
      </c>
      <c r="C111" s="173">
        <v>303</v>
      </c>
      <c r="D111" s="173">
        <v>1111</v>
      </c>
      <c r="E111" s="173">
        <v>10001</v>
      </c>
      <c r="F111" s="173">
        <v>1</v>
      </c>
      <c r="G111" s="174">
        <v>17</v>
      </c>
      <c r="H111" s="175">
        <v>210</v>
      </c>
    </row>
    <row r="112" spans="1:8" x14ac:dyDescent="0.25">
      <c r="A112" s="172">
        <v>42885</v>
      </c>
      <c r="B112" s="358">
        <v>4772222100061</v>
      </c>
      <c r="C112" s="173">
        <v>477</v>
      </c>
      <c r="D112" s="173">
        <v>2222</v>
      </c>
      <c r="E112" s="173">
        <v>10006</v>
      </c>
      <c r="F112" s="173">
        <v>1</v>
      </c>
      <c r="G112" s="174">
        <v>22</v>
      </c>
      <c r="H112" s="175">
        <v>110.00000000000001</v>
      </c>
    </row>
    <row r="113" spans="1:8" x14ac:dyDescent="0.25">
      <c r="A113" s="172">
        <v>42886</v>
      </c>
      <c r="B113" s="358">
        <v>4772222100021</v>
      </c>
      <c r="C113" s="173">
        <v>477</v>
      </c>
      <c r="D113" s="173">
        <v>2222</v>
      </c>
      <c r="E113" s="173">
        <v>10002</v>
      </c>
      <c r="F113" s="173">
        <v>1</v>
      </c>
      <c r="G113" s="174">
        <v>12</v>
      </c>
      <c r="H113" s="175">
        <v>160</v>
      </c>
    </row>
    <row r="114" spans="1:8" x14ac:dyDescent="0.25">
      <c r="A114" s="172">
        <v>42887</v>
      </c>
      <c r="B114" s="358">
        <v>5013333100031</v>
      </c>
      <c r="C114" s="173">
        <v>501</v>
      </c>
      <c r="D114" s="173">
        <v>3333</v>
      </c>
      <c r="E114" s="173">
        <v>10003</v>
      </c>
      <c r="F114" s="173">
        <v>1</v>
      </c>
      <c r="G114" s="174">
        <v>8</v>
      </c>
      <c r="H114" s="175">
        <v>210</v>
      </c>
    </row>
    <row r="115" spans="1:8" x14ac:dyDescent="0.25">
      <c r="A115" s="172">
        <v>42888</v>
      </c>
      <c r="B115" s="358">
        <v>5013333100031</v>
      </c>
      <c r="C115" s="173">
        <v>501</v>
      </c>
      <c r="D115" s="173">
        <v>3333</v>
      </c>
      <c r="E115" s="173">
        <v>10003</v>
      </c>
      <c r="F115" s="173">
        <v>1</v>
      </c>
      <c r="G115" s="174">
        <v>21</v>
      </c>
      <c r="H115" s="175">
        <v>210</v>
      </c>
    </row>
    <row r="116" spans="1:8" x14ac:dyDescent="0.25">
      <c r="A116" s="172">
        <v>42891</v>
      </c>
      <c r="B116" s="358">
        <v>4772222100021</v>
      </c>
      <c r="C116" s="173">
        <v>477</v>
      </c>
      <c r="D116" s="173">
        <v>2222</v>
      </c>
      <c r="E116" s="173">
        <v>10002</v>
      </c>
      <c r="F116" s="173">
        <v>1</v>
      </c>
      <c r="G116" s="174">
        <v>8</v>
      </c>
      <c r="H116" s="175">
        <v>160</v>
      </c>
    </row>
    <row r="117" spans="1:8" x14ac:dyDescent="0.25">
      <c r="A117" s="172">
        <v>42892</v>
      </c>
      <c r="B117" s="358">
        <v>3021111100011</v>
      </c>
      <c r="C117" s="173">
        <v>302</v>
      </c>
      <c r="D117" s="173">
        <v>1111</v>
      </c>
      <c r="E117" s="173">
        <v>10001</v>
      </c>
      <c r="F117" s="173">
        <v>1</v>
      </c>
      <c r="G117" s="174">
        <v>19</v>
      </c>
      <c r="H117" s="175">
        <v>210</v>
      </c>
    </row>
    <row r="118" spans="1:8" x14ac:dyDescent="0.25">
      <c r="A118" s="172">
        <v>42893</v>
      </c>
      <c r="B118" s="358">
        <v>5013333100031</v>
      </c>
      <c r="C118" s="173">
        <v>501</v>
      </c>
      <c r="D118" s="173">
        <v>3333</v>
      </c>
      <c r="E118" s="173">
        <v>10003</v>
      </c>
      <c r="F118" s="173">
        <v>1</v>
      </c>
      <c r="G118" s="174">
        <v>14</v>
      </c>
      <c r="H118" s="175">
        <v>210</v>
      </c>
    </row>
    <row r="119" spans="1:8" x14ac:dyDescent="0.25">
      <c r="A119" s="172">
        <v>42894</v>
      </c>
      <c r="B119" s="358">
        <v>5013333100031</v>
      </c>
      <c r="C119" s="173">
        <v>501</v>
      </c>
      <c r="D119" s="173">
        <v>3333</v>
      </c>
      <c r="E119" s="173">
        <v>10003</v>
      </c>
      <c r="F119" s="173">
        <v>1</v>
      </c>
      <c r="G119" s="174">
        <v>11</v>
      </c>
      <c r="H119" s="175">
        <v>210</v>
      </c>
    </row>
    <row r="120" spans="1:8" x14ac:dyDescent="0.25">
      <c r="A120" s="172">
        <v>42895</v>
      </c>
      <c r="B120" s="358">
        <v>4774444100071</v>
      </c>
      <c r="C120" s="173">
        <v>477</v>
      </c>
      <c r="D120" s="173">
        <v>4444</v>
      </c>
      <c r="E120" s="173">
        <v>10007</v>
      </c>
      <c r="F120" s="173">
        <v>1</v>
      </c>
      <c r="G120" s="174">
        <v>8</v>
      </c>
      <c r="H120" s="175">
        <v>140</v>
      </c>
    </row>
    <row r="121" spans="1:8" x14ac:dyDescent="0.25">
      <c r="A121" s="172">
        <v>42898</v>
      </c>
      <c r="B121" s="358">
        <v>4772222100021</v>
      </c>
      <c r="C121" s="173">
        <v>477</v>
      </c>
      <c r="D121" s="173">
        <v>2222</v>
      </c>
      <c r="E121" s="173">
        <v>10002</v>
      </c>
      <c r="F121" s="173">
        <v>1</v>
      </c>
      <c r="G121" s="174">
        <v>11</v>
      </c>
      <c r="H121" s="175">
        <v>160</v>
      </c>
    </row>
    <row r="122" spans="1:8" x14ac:dyDescent="0.25">
      <c r="A122" s="172">
        <v>42899</v>
      </c>
      <c r="B122" s="358">
        <v>4772222100061</v>
      </c>
      <c r="C122" s="173">
        <v>477</v>
      </c>
      <c r="D122" s="173">
        <v>2222</v>
      </c>
      <c r="E122" s="173">
        <v>10006</v>
      </c>
      <c r="F122" s="173">
        <v>1</v>
      </c>
      <c r="G122" s="174">
        <v>9</v>
      </c>
      <c r="H122" s="175">
        <v>110.00000000000001</v>
      </c>
    </row>
    <row r="123" spans="1:8" x14ac:dyDescent="0.25">
      <c r="A123" s="172">
        <v>42900</v>
      </c>
      <c r="B123" s="358">
        <v>4772222100061</v>
      </c>
      <c r="C123" s="173">
        <v>477</v>
      </c>
      <c r="D123" s="173">
        <v>2222</v>
      </c>
      <c r="E123" s="173">
        <v>10006</v>
      </c>
      <c r="F123" s="173">
        <v>1</v>
      </c>
      <c r="G123" s="174">
        <v>9</v>
      </c>
      <c r="H123" s="175">
        <v>110.00000000000001</v>
      </c>
    </row>
    <row r="124" spans="1:8" x14ac:dyDescent="0.25">
      <c r="A124" s="172">
        <v>42901</v>
      </c>
      <c r="B124" s="358">
        <v>4772222100061</v>
      </c>
      <c r="C124" s="173">
        <v>477</v>
      </c>
      <c r="D124" s="173">
        <v>2222</v>
      </c>
      <c r="E124" s="173">
        <v>10006</v>
      </c>
      <c r="F124" s="173">
        <v>1</v>
      </c>
      <c r="G124" s="174">
        <v>19</v>
      </c>
      <c r="H124" s="175">
        <v>110.00000000000001</v>
      </c>
    </row>
    <row r="125" spans="1:8" x14ac:dyDescent="0.25">
      <c r="A125" s="172">
        <v>42902</v>
      </c>
      <c r="B125" s="358">
        <v>4772222100021</v>
      </c>
      <c r="C125" s="173">
        <v>477</v>
      </c>
      <c r="D125" s="173">
        <v>2222</v>
      </c>
      <c r="E125" s="173">
        <v>10002</v>
      </c>
      <c r="F125" s="173">
        <v>1</v>
      </c>
      <c r="G125" s="174">
        <v>14</v>
      </c>
      <c r="H125" s="175">
        <v>160</v>
      </c>
    </row>
    <row r="126" spans="1:8" x14ac:dyDescent="0.25">
      <c r="A126" s="172">
        <v>42905</v>
      </c>
      <c r="B126" s="358">
        <v>4772222100021</v>
      </c>
      <c r="C126" s="173">
        <v>477</v>
      </c>
      <c r="D126" s="173">
        <v>2222</v>
      </c>
      <c r="E126" s="173">
        <v>10002</v>
      </c>
      <c r="F126" s="173">
        <v>1</v>
      </c>
      <c r="G126" s="174">
        <v>18</v>
      </c>
      <c r="H126" s="175">
        <v>160</v>
      </c>
    </row>
    <row r="127" spans="1:8" x14ac:dyDescent="0.25">
      <c r="A127" s="172">
        <v>42906</v>
      </c>
      <c r="B127" s="358">
        <v>4772222100021</v>
      </c>
      <c r="C127" s="173">
        <v>477</v>
      </c>
      <c r="D127" s="173">
        <v>2222</v>
      </c>
      <c r="E127" s="173">
        <v>10002</v>
      </c>
      <c r="F127" s="173">
        <v>1</v>
      </c>
      <c r="G127" s="174">
        <v>17</v>
      </c>
      <c r="H127" s="175">
        <v>160</v>
      </c>
    </row>
    <row r="128" spans="1:8" x14ac:dyDescent="0.25">
      <c r="A128" s="172">
        <v>42907</v>
      </c>
      <c r="B128" s="358">
        <v>5013333100031</v>
      </c>
      <c r="C128" s="173">
        <v>501</v>
      </c>
      <c r="D128" s="173">
        <v>3333</v>
      </c>
      <c r="E128" s="173">
        <v>10003</v>
      </c>
      <c r="F128" s="173">
        <v>1</v>
      </c>
      <c r="G128" s="174">
        <v>20</v>
      </c>
      <c r="H128" s="175">
        <v>210</v>
      </c>
    </row>
    <row r="129" spans="1:8" x14ac:dyDescent="0.25">
      <c r="A129" s="172">
        <v>42908</v>
      </c>
      <c r="B129" s="358">
        <v>3011111100011</v>
      </c>
      <c r="C129" s="173">
        <v>301</v>
      </c>
      <c r="D129" s="173">
        <v>1111</v>
      </c>
      <c r="E129" s="173">
        <v>10001</v>
      </c>
      <c r="F129" s="173">
        <v>1</v>
      </c>
      <c r="G129" s="174">
        <v>15</v>
      </c>
      <c r="H129" s="175">
        <v>210</v>
      </c>
    </row>
    <row r="130" spans="1:8" x14ac:dyDescent="0.25">
      <c r="A130" s="172">
        <v>42909</v>
      </c>
      <c r="B130" s="358">
        <v>4772222100061</v>
      </c>
      <c r="C130" s="173">
        <v>477</v>
      </c>
      <c r="D130" s="173">
        <v>2222</v>
      </c>
      <c r="E130" s="173">
        <v>10006</v>
      </c>
      <c r="F130" s="173">
        <v>1</v>
      </c>
      <c r="G130" s="174">
        <v>25</v>
      </c>
      <c r="H130" s="175">
        <v>110.00000000000001</v>
      </c>
    </row>
    <row r="131" spans="1:8" x14ac:dyDescent="0.25">
      <c r="A131" s="172">
        <v>42912</v>
      </c>
      <c r="B131" s="358">
        <v>4772222100061</v>
      </c>
      <c r="C131" s="173">
        <v>477</v>
      </c>
      <c r="D131" s="173">
        <v>2222</v>
      </c>
      <c r="E131" s="173">
        <v>10006</v>
      </c>
      <c r="F131" s="173">
        <v>1</v>
      </c>
      <c r="G131" s="174">
        <v>21</v>
      </c>
      <c r="H131" s="175">
        <v>110.00000000000001</v>
      </c>
    </row>
    <row r="132" spans="1:8" x14ac:dyDescent="0.25">
      <c r="A132" s="172">
        <v>42913</v>
      </c>
      <c r="B132" s="358">
        <v>4772222100051</v>
      </c>
      <c r="C132" s="173">
        <v>477</v>
      </c>
      <c r="D132" s="173">
        <v>2222</v>
      </c>
      <c r="E132" s="173">
        <v>10005</v>
      </c>
      <c r="F132" s="173">
        <v>1</v>
      </c>
      <c r="G132" s="174">
        <v>23</v>
      </c>
      <c r="H132" s="175">
        <v>140</v>
      </c>
    </row>
    <row r="133" spans="1:8" x14ac:dyDescent="0.25">
      <c r="A133" s="172">
        <v>42914</v>
      </c>
      <c r="B133" s="358">
        <v>4772222100021</v>
      </c>
      <c r="C133" s="173">
        <v>477</v>
      </c>
      <c r="D133" s="173">
        <v>2222</v>
      </c>
      <c r="E133" s="173">
        <v>10002</v>
      </c>
      <c r="F133" s="173">
        <v>1</v>
      </c>
      <c r="G133" s="174">
        <v>23</v>
      </c>
      <c r="H133" s="175">
        <v>160</v>
      </c>
    </row>
    <row r="134" spans="1:8" x14ac:dyDescent="0.25">
      <c r="A134" s="172">
        <v>42915</v>
      </c>
      <c r="B134" s="358">
        <v>4772222100051</v>
      </c>
      <c r="C134" s="173">
        <v>477</v>
      </c>
      <c r="D134" s="173">
        <v>2222</v>
      </c>
      <c r="E134" s="173">
        <v>10005</v>
      </c>
      <c r="F134" s="173">
        <v>1</v>
      </c>
      <c r="G134" s="174">
        <v>24</v>
      </c>
      <c r="H134" s="175">
        <v>140</v>
      </c>
    </row>
    <row r="135" spans="1:8" x14ac:dyDescent="0.25">
      <c r="A135" s="172">
        <v>42916</v>
      </c>
      <c r="B135" s="358">
        <v>5013333100031</v>
      </c>
      <c r="C135" s="173">
        <v>501</v>
      </c>
      <c r="D135" s="173">
        <v>3333</v>
      </c>
      <c r="E135" s="173">
        <v>10003</v>
      </c>
      <c r="F135" s="173">
        <v>1</v>
      </c>
      <c r="G135" s="174">
        <v>15</v>
      </c>
      <c r="H135" s="175">
        <v>210</v>
      </c>
    </row>
    <row r="136" spans="1:8" x14ac:dyDescent="0.25">
      <c r="A136" s="172">
        <v>42919</v>
      </c>
      <c r="B136" s="358">
        <v>4772222100021</v>
      </c>
      <c r="C136" s="173">
        <v>477</v>
      </c>
      <c r="D136" s="173">
        <v>2222</v>
      </c>
      <c r="E136" s="173">
        <v>10002</v>
      </c>
      <c r="F136" s="173">
        <v>1</v>
      </c>
      <c r="G136" s="174">
        <v>17</v>
      </c>
      <c r="H136" s="175">
        <v>160</v>
      </c>
    </row>
    <row r="137" spans="1:8" x14ac:dyDescent="0.25">
      <c r="A137" s="172">
        <v>42920</v>
      </c>
      <c r="B137" s="358">
        <v>5023333100041</v>
      </c>
      <c r="C137" s="173">
        <v>502</v>
      </c>
      <c r="D137" s="173">
        <v>3333</v>
      </c>
      <c r="E137" s="173">
        <v>10004</v>
      </c>
      <c r="F137" s="173">
        <v>1</v>
      </c>
      <c r="G137" s="174">
        <v>9</v>
      </c>
      <c r="H137" s="175">
        <v>200</v>
      </c>
    </row>
    <row r="138" spans="1:8" x14ac:dyDescent="0.25">
      <c r="A138" s="172">
        <v>42921</v>
      </c>
      <c r="B138" s="358">
        <v>4772222100021</v>
      </c>
      <c r="C138" s="173">
        <v>477</v>
      </c>
      <c r="D138" s="173">
        <v>2222</v>
      </c>
      <c r="E138" s="173">
        <v>10002</v>
      </c>
      <c r="F138" s="173">
        <v>1</v>
      </c>
      <c r="G138" s="174">
        <v>17</v>
      </c>
      <c r="H138" s="175">
        <v>160</v>
      </c>
    </row>
    <row r="139" spans="1:8" x14ac:dyDescent="0.25">
      <c r="A139" s="172">
        <v>42922</v>
      </c>
      <c r="B139" s="358">
        <v>5023333100041</v>
      </c>
      <c r="C139" s="173">
        <v>502</v>
      </c>
      <c r="D139" s="173">
        <v>3333</v>
      </c>
      <c r="E139" s="173">
        <v>10004</v>
      </c>
      <c r="F139" s="173">
        <v>1</v>
      </c>
      <c r="G139" s="174">
        <v>23</v>
      </c>
      <c r="H139" s="175">
        <v>200</v>
      </c>
    </row>
    <row r="140" spans="1:8" x14ac:dyDescent="0.25">
      <c r="A140" s="172">
        <v>42923</v>
      </c>
      <c r="B140" s="358">
        <v>4772222100021</v>
      </c>
      <c r="C140" s="173">
        <v>477</v>
      </c>
      <c r="D140" s="173">
        <v>2222</v>
      </c>
      <c r="E140" s="173">
        <v>10002</v>
      </c>
      <c r="F140" s="173">
        <v>1</v>
      </c>
      <c r="G140" s="174">
        <v>15</v>
      </c>
      <c r="H140" s="175">
        <v>160</v>
      </c>
    </row>
    <row r="141" spans="1:8" x14ac:dyDescent="0.25">
      <c r="A141" s="172">
        <v>42926</v>
      </c>
      <c r="B141" s="358">
        <v>5013333100031</v>
      </c>
      <c r="C141" s="173">
        <v>501</v>
      </c>
      <c r="D141" s="173">
        <v>3333</v>
      </c>
      <c r="E141" s="173">
        <v>10003</v>
      </c>
      <c r="F141" s="173">
        <v>1</v>
      </c>
      <c r="G141" s="174">
        <v>11</v>
      </c>
      <c r="H141" s="175">
        <v>210</v>
      </c>
    </row>
    <row r="142" spans="1:8" x14ac:dyDescent="0.25">
      <c r="A142" s="172">
        <v>42927</v>
      </c>
      <c r="B142" s="358">
        <v>4772222100051</v>
      </c>
      <c r="C142" s="173">
        <v>477</v>
      </c>
      <c r="D142" s="173">
        <v>2222</v>
      </c>
      <c r="E142" s="173">
        <v>10005</v>
      </c>
      <c r="F142" s="173">
        <v>1</v>
      </c>
      <c r="G142" s="174">
        <v>17</v>
      </c>
      <c r="H142" s="175">
        <v>140</v>
      </c>
    </row>
    <row r="143" spans="1:8" x14ac:dyDescent="0.25">
      <c r="A143" s="172">
        <v>42928</v>
      </c>
      <c r="B143" s="358">
        <v>3011111100011</v>
      </c>
      <c r="C143" s="173">
        <v>301</v>
      </c>
      <c r="D143" s="173">
        <v>1111</v>
      </c>
      <c r="E143" s="173">
        <v>10001</v>
      </c>
      <c r="F143" s="173">
        <v>1</v>
      </c>
      <c r="G143" s="174">
        <v>9</v>
      </c>
      <c r="H143" s="175">
        <v>210</v>
      </c>
    </row>
    <row r="144" spans="1:8" x14ac:dyDescent="0.25">
      <c r="A144" s="172">
        <v>42929</v>
      </c>
      <c r="B144" s="358">
        <v>4772222100021</v>
      </c>
      <c r="C144" s="173">
        <v>477</v>
      </c>
      <c r="D144" s="173">
        <v>2222</v>
      </c>
      <c r="E144" s="173">
        <v>10002</v>
      </c>
      <c r="F144" s="173">
        <v>1</v>
      </c>
      <c r="G144" s="174">
        <v>26</v>
      </c>
      <c r="H144" s="175">
        <v>160</v>
      </c>
    </row>
    <row r="145" spans="1:8" x14ac:dyDescent="0.25">
      <c r="A145" s="172">
        <v>42930</v>
      </c>
      <c r="B145" s="358">
        <v>5023333100041</v>
      </c>
      <c r="C145" s="173">
        <v>502</v>
      </c>
      <c r="D145" s="173">
        <v>3333</v>
      </c>
      <c r="E145" s="173">
        <v>10004</v>
      </c>
      <c r="F145" s="173">
        <v>1</v>
      </c>
      <c r="G145" s="174">
        <v>23</v>
      </c>
      <c r="H145" s="175">
        <v>200</v>
      </c>
    </row>
    <row r="146" spans="1:8" x14ac:dyDescent="0.25">
      <c r="A146" s="172">
        <v>42933</v>
      </c>
      <c r="B146" s="358">
        <v>4772222100061</v>
      </c>
      <c r="C146" s="173">
        <v>477</v>
      </c>
      <c r="D146" s="173">
        <v>2222</v>
      </c>
      <c r="E146" s="173">
        <v>10006</v>
      </c>
      <c r="F146" s="173">
        <v>1</v>
      </c>
      <c r="G146" s="174">
        <v>14</v>
      </c>
      <c r="H146" s="175">
        <v>110.00000000000001</v>
      </c>
    </row>
    <row r="147" spans="1:8" x14ac:dyDescent="0.25">
      <c r="A147" s="172">
        <v>42934</v>
      </c>
      <c r="B147" s="358">
        <v>4772222100021</v>
      </c>
      <c r="C147" s="173">
        <v>477</v>
      </c>
      <c r="D147" s="173">
        <v>2222</v>
      </c>
      <c r="E147" s="173">
        <v>10002</v>
      </c>
      <c r="F147" s="173">
        <v>1</v>
      </c>
      <c r="G147" s="174">
        <v>19</v>
      </c>
      <c r="H147" s="175">
        <v>160</v>
      </c>
    </row>
    <row r="148" spans="1:8" x14ac:dyDescent="0.25">
      <c r="A148" s="172">
        <v>42935</v>
      </c>
      <c r="B148" s="358">
        <v>5013333100031</v>
      </c>
      <c r="C148" s="173">
        <v>501</v>
      </c>
      <c r="D148" s="173">
        <v>3333</v>
      </c>
      <c r="E148" s="173">
        <v>10003</v>
      </c>
      <c r="F148" s="173">
        <v>1</v>
      </c>
      <c r="G148" s="174">
        <v>24</v>
      </c>
      <c r="H148" s="175">
        <v>210</v>
      </c>
    </row>
    <row r="149" spans="1:8" x14ac:dyDescent="0.25">
      <c r="A149" s="172">
        <v>42936</v>
      </c>
      <c r="B149" s="358">
        <v>5013333100031</v>
      </c>
      <c r="C149" s="173">
        <v>501</v>
      </c>
      <c r="D149" s="173">
        <v>3333</v>
      </c>
      <c r="E149" s="173">
        <v>10003</v>
      </c>
      <c r="F149" s="173">
        <v>1</v>
      </c>
      <c r="G149" s="174">
        <v>6</v>
      </c>
      <c r="H149" s="175">
        <v>210</v>
      </c>
    </row>
    <row r="150" spans="1:8" x14ac:dyDescent="0.25">
      <c r="A150" s="172">
        <v>42937</v>
      </c>
      <c r="B150" s="358">
        <v>4772222100021</v>
      </c>
      <c r="C150" s="173">
        <v>477</v>
      </c>
      <c r="D150" s="173">
        <v>2222</v>
      </c>
      <c r="E150" s="173">
        <v>10002</v>
      </c>
      <c r="F150" s="173">
        <v>1</v>
      </c>
      <c r="G150" s="174">
        <v>20</v>
      </c>
      <c r="H150" s="175">
        <v>160</v>
      </c>
    </row>
    <row r="151" spans="1:8" x14ac:dyDescent="0.25">
      <c r="A151" s="172">
        <v>42940</v>
      </c>
      <c r="B151" s="358">
        <v>5013333100031</v>
      </c>
      <c r="C151" s="173">
        <v>501</v>
      </c>
      <c r="D151" s="173">
        <v>3333</v>
      </c>
      <c r="E151" s="173">
        <v>10003</v>
      </c>
      <c r="F151" s="173">
        <v>1</v>
      </c>
      <c r="G151" s="174">
        <v>23</v>
      </c>
      <c r="H151" s="175">
        <v>210</v>
      </c>
    </row>
    <row r="152" spans="1:8" x14ac:dyDescent="0.25">
      <c r="A152" s="172">
        <v>42941</v>
      </c>
      <c r="B152" s="358">
        <v>3021111100011</v>
      </c>
      <c r="C152" s="173">
        <v>302</v>
      </c>
      <c r="D152" s="173">
        <v>1111</v>
      </c>
      <c r="E152" s="173">
        <v>10001</v>
      </c>
      <c r="F152" s="173">
        <v>1</v>
      </c>
      <c r="G152" s="174">
        <v>19</v>
      </c>
      <c r="H152" s="175">
        <v>210</v>
      </c>
    </row>
    <row r="153" spans="1:8" x14ac:dyDescent="0.25">
      <c r="A153" s="172">
        <v>42942</v>
      </c>
      <c r="B153" s="358">
        <v>5013333100031</v>
      </c>
      <c r="C153" s="173">
        <v>501</v>
      </c>
      <c r="D153" s="173">
        <v>3333</v>
      </c>
      <c r="E153" s="173">
        <v>10003</v>
      </c>
      <c r="F153" s="173">
        <v>1</v>
      </c>
      <c r="G153" s="174">
        <v>9</v>
      </c>
      <c r="H153" s="175">
        <v>210</v>
      </c>
    </row>
    <row r="154" spans="1:8" x14ac:dyDescent="0.25">
      <c r="A154" s="172">
        <v>42943</v>
      </c>
      <c r="B154" s="358">
        <v>5013333100031</v>
      </c>
      <c r="C154" s="173">
        <v>501</v>
      </c>
      <c r="D154" s="173">
        <v>3333</v>
      </c>
      <c r="E154" s="173">
        <v>10003</v>
      </c>
      <c r="F154" s="173">
        <v>1</v>
      </c>
      <c r="G154" s="174">
        <v>18</v>
      </c>
      <c r="H154" s="175">
        <v>210</v>
      </c>
    </row>
    <row r="155" spans="1:8" x14ac:dyDescent="0.25">
      <c r="A155" s="172">
        <v>42944</v>
      </c>
      <c r="B155" s="358">
        <v>4772222100021</v>
      </c>
      <c r="C155" s="173">
        <v>477</v>
      </c>
      <c r="D155" s="173">
        <v>2222</v>
      </c>
      <c r="E155" s="173">
        <v>10002</v>
      </c>
      <c r="F155" s="173">
        <v>1</v>
      </c>
      <c r="G155" s="174">
        <v>9</v>
      </c>
      <c r="H155" s="175">
        <v>160</v>
      </c>
    </row>
    <row r="156" spans="1:8" x14ac:dyDescent="0.25">
      <c r="A156" s="172">
        <v>42947</v>
      </c>
      <c r="B156" s="358">
        <v>4772222100021</v>
      </c>
      <c r="C156" s="173">
        <v>477</v>
      </c>
      <c r="D156" s="173">
        <v>2222</v>
      </c>
      <c r="E156" s="173">
        <v>10002</v>
      </c>
      <c r="F156" s="173">
        <v>1</v>
      </c>
      <c r="G156" s="174">
        <v>14</v>
      </c>
      <c r="H156" s="175">
        <v>160</v>
      </c>
    </row>
    <row r="157" spans="1:8" x14ac:dyDescent="0.25">
      <c r="A157" s="172">
        <v>42948</v>
      </c>
      <c r="B157" s="358">
        <v>4772222100061</v>
      </c>
      <c r="C157" s="173">
        <v>477</v>
      </c>
      <c r="D157" s="173">
        <v>2222</v>
      </c>
      <c r="E157" s="173">
        <v>10006</v>
      </c>
      <c r="F157" s="173">
        <v>1</v>
      </c>
      <c r="G157" s="174">
        <v>11</v>
      </c>
      <c r="H157" s="175">
        <v>110.00000000000001</v>
      </c>
    </row>
    <row r="158" spans="1:8" x14ac:dyDescent="0.25">
      <c r="A158" s="172">
        <v>42949</v>
      </c>
      <c r="B158" s="358">
        <v>4772222100061</v>
      </c>
      <c r="C158" s="173">
        <v>477</v>
      </c>
      <c r="D158" s="173">
        <v>2222</v>
      </c>
      <c r="E158" s="173">
        <v>10006</v>
      </c>
      <c r="F158" s="173">
        <v>1</v>
      </c>
      <c r="G158" s="174">
        <v>15</v>
      </c>
      <c r="H158" s="175">
        <v>110.00000000000001</v>
      </c>
    </row>
    <row r="159" spans="1:8" x14ac:dyDescent="0.25">
      <c r="A159" s="172">
        <v>42950</v>
      </c>
      <c r="B159" s="358">
        <v>4772222100051</v>
      </c>
      <c r="C159" s="173">
        <v>477</v>
      </c>
      <c r="D159" s="173">
        <v>2222</v>
      </c>
      <c r="E159" s="173">
        <v>10005</v>
      </c>
      <c r="F159" s="173">
        <v>1</v>
      </c>
      <c r="G159" s="174">
        <v>9</v>
      </c>
      <c r="H159" s="175">
        <v>140</v>
      </c>
    </row>
    <row r="160" spans="1:8" x14ac:dyDescent="0.25">
      <c r="A160" s="172">
        <v>42951</v>
      </c>
      <c r="B160" s="358">
        <v>4774444100071</v>
      </c>
      <c r="C160" s="173">
        <v>477</v>
      </c>
      <c r="D160" s="173">
        <v>4444</v>
      </c>
      <c r="E160" s="173">
        <v>10007</v>
      </c>
      <c r="F160" s="173">
        <v>1</v>
      </c>
      <c r="G160" s="174">
        <v>16</v>
      </c>
      <c r="H160" s="175">
        <v>140</v>
      </c>
    </row>
    <row r="161" spans="1:8" x14ac:dyDescent="0.25">
      <c r="A161" s="172">
        <v>42954</v>
      </c>
      <c r="B161" s="358">
        <v>4772222100061</v>
      </c>
      <c r="C161" s="173">
        <v>477</v>
      </c>
      <c r="D161" s="173">
        <v>2222</v>
      </c>
      <c r="E161" s="173">
        <v>10006</v>
      </c>
      <c r="F161" s="173">
        <v>1</v>
      </c>
      <c r="G161" s="174">
        <v>6</v>
      </c>
      <c r="H161" s="175">
        <v>110.00000000000001</v>
      </c>
    </row>
    <row r="162" spans="1:8" x14ac:dyDescent="0.25">
      <c r="A162" s="172">
        <v>42955</v>
      </c>
      <c r="B162" s="358">
        <v>4772222100021</v>
      </c>
      <c r="C162" s="173">
        <v>477</v>
      </c>
      <c r="D162" s="173">
        <v>2222</v>
      </c>
      <c r="E162" s="173">
        <v>10002</v>
      </c>
      <c r="F162" s="173">
        <v>1</v>
      </c>
      <c r="G162" s="174">
        <v>19</v>
      </c>
      <c r="H162" s="175">
        <v>160</v>
      </c>
    </row>
    <row r="163" spans="1:8" x14ac:dyDescent="0.25">
      <c r="A163" s="172">
        <v>42956</v>
      </c>
      <c r="B163" s="358">
        <v>5023333100041</v>
      </c>
      <c r="C163" s="173">
        <v>502</v>
      </c>
      <c r="D163" s="173">
        <v>3333</v>
      </c>
      <c r="E163" s="173">
        <v>10004</v>
      </c>
      <c r="F163" s="173">
        <v>1</v>
      </c>
      <c r="G163" s="174">
        <v>16</v>
      </c>
      <c r="H163" s="175">
        <v>200</v>
      </c>
    </row>
    <row r="164" spans="1:8" x14ac:dyDescent="0.25">
      <c r="A164" s="172">
        <v>42957</v>
      </c>
      <c r="B164" s="358">
        <v>5013333100031</v>
      </c>
      <c r="C164" s="173">
        <v>501</v>
      </c>
      <c r="D164" s="173">
        <v>3333</v>
      </c>
      <c r="E164" s="173">
        <v>10003</v>
      </c>
      <c r="F164" s="173">
        <v>1</v>
      </c>
      <c r="G164" s="174">
        <v>22</v>
      </c>
      <c r="H164" s="175">
        <v>210</v>
      </c>
    </row>
    <row r="165" spans="1:8" x14ac:dyDescent="0.25">
      <c r="A165" s="172">
        <v>42958</v>
      </c>
      <c r="B165" s="358">
        <v>4774444100071</v>
      </c>
      <c r="C165" s="173">
        <v>477</v>
      </c>
      <c r="D165" s="173">
        <v>4444</v>
      </c>
      <c r="E165" s="173">
        <v>10007</v>
      </c>
      <c r="F165" s="173">
        <v>1</v>
      </c>
      <c r="G165" s="174">
        <v>11</v>
      </c>
      <c r="H165" s="175">
        <v>140</v>
      </c>
    </row>
    <row r="166" spans="1:8" x14ac:dyDescent="0.25">
      <c r="A166" s="172">
        <v>42961</v>
      </c>
      <c r="B166" s="358">
        <v>4772222100061</v>
      </c>
      <c r="C166" s="173">
        <v>477</v>
      </c>
      <c r="D166" s="173">
        <v>2222</v>
      </c>
      <c r="E166" s="173">
        <v>10006</v>
      </c>
      <c r="F166" s="173">
        <v>1</v>
      </c>
      <c r="G166" s="174">
        <v>8</v>
      </c>
      <c r="H166" s="175">
        <v>110.00000000000001</v>
      </c>
    </row>
    <row r="167" spans="1:8" x14ac:dyDescent="0.25">
      <c r="A167" s="172">
        <v>42962</v>
      </c>
      <c r="B167" s="358">
        <v>5013333100031</v>
      </c>
      <c r="C167" s="173">
        <v>501</v>
      </c>
      <c r="D167" s="173">
        <v>3333</v>
      </c>
      <c r="E167" s="173">
        <v>10003</v>
      </c>
      <c r="F167" s="173">
        <v>1</v>
      </c>
      <c r="G167" s="174">
        <v>19</v>
      </c>
      <c r="H167" s="175">
        <v>210</v>
      </c>
    </row>
    <row r="168" spans="1:8" x14ac:dyDescent="0.25">
      <c r="A168" s="172">
        <v>42963</v>
      </c>
      <c r="B168" s="358">
        <v>4772222100061</v>
      </c>
      <c r="C168" s="173">
        <v>477</v>
      </c>
      <c r="D168" s="173">
        <v>2222</v>
      </c>
      <c r="E168" s="173">
        <v>10006</v>
      </c>
      <c r="F168" s="173">
        <v>1</v>
      </c>
      <c r="G168" s="174">
        <v>8</v>
      </c>
      <c r="H168" s="175">
        <v>110.00000000000001</v>
      </c>
    </row>
    <row r="169" spans="1:8" x14ac:dyDescent="0.25">
      <c r="A169" s="172">
        <v>42964</v>
      </c>
      <c r="B169" s="358">
        <v>4772222100051</v>
      </c>
      <c r="C169" s="173">
        <v>477</v>
      </c>
      <c r="D169" s="173">
        <v>2222</v>
      </c>
      <c r="E169" s="173">
        <v>10005</v>
      </c>
      <c r="F169" s="173">
        <v>1</v>
      </c>
      <c r="G169" s="174">
        <v>21</v>
      </c>
      <c r="H169" s="175">
        <v>140</v>
      </c>
    </row>
    <row r="170" spans="1:8" x14ac:dyDescent="0.25">
      <c r="A170" s="172">
        <v>42965</v>
      </c>
      <c r="B170" s="358">
        <v>4772222100061</v>
      </c>
      <c r="C170" s="173">
        <v>477</v>
      </c>
      <c r="D170" s="173">
        <v>2222</v>
      </c>
      <c r="E170" s="173">
        <v>10006</v>
      </c>
      <c r="F170" s="173">
        <v>1</v>
      </c>
      <c r="G170" s="174">
        <v>11</v>
      </c>
      <c r="H170" s="175">
        <v>110.00000000000001</v>
      </c>
    </row>
    <row r="171" spans="1:8" x14ac:dyDescent="0.25">
      <c r="A171" s="172">
        <v>42968</v>
      </c>
      <c r="B171" s="358">
        <v>3021111100011</v>
      </c>
      <c r="C171" s="173">
        <v>302</v>
      </c>
      <c r="D171" s="173">
        <v>1111</v>
      </c>
      <c r="E171" s="173">
        <v>10001</v>
      </c>
      <c r="F171" s="173">
        <v>1</v>
      </c>
      <c r="G171" s="174">
        <v>17</v>
      </c>
      <c r="H171" s="175">
        <v>210</v>
      </c>
    </row>
    <row r="172" spans="1:8" x14ac:dyDescent="0.25">
      <c r="A172" s="172">
        <v>42969</v>
      </c>
      <c r="B172" s="358">
        <v>4772222100021</v>
      </c>
      <c r="C172" s="173">
        <v>477</v>
      </c>
      <c r="D172" s="173">
        <v>2222</v>
      </c>
      <c r="E172" s="173">
        <v>10002</v>
      </c>
      <c r="F172" s="173">
        <v>1</v>
      </c>
      <c r="G172" s="174">
        <v>12</v>
      </c>
      <c r="H172" s="175">
        <v>160</v>
      </c>
    </row>
    <row r="173" spans="1:8" x14ac:dyDescent="0.25">
      <c r="A173" s="172">
        <v>42970</v>
      </c>
      <c r="B173" s="358">
        <v>5013333100031</v>
      </c>
      <c r="C173" s="173">
        <v>501</v>
      </c>
      <c r="D173" s="173">
        <v>3333</v>
      </c>
      <c r="E173" s="173">
        <v>10003</v>
      </c>
      <c r="F173" s="173">
        <v>1</v>
      </c>
      <c r="G173" s="174">
        <v>21</v>
      </c>
      <c r="H173" s="175">
        <v>210</v>
      </c>
    </row>
    <row r="174" spans="1:8" x14ac:dyDescent="0.25">
      <c r="A174" s="172">
        <v>42971</v>
      </c>
      <c r="B174" s="358">
        <v>4772222100021</v>
      </c>
      <c r="C174" s="173">
        <v>477</v>
      </c>
      <c r="D174" s="173">
        <v>2222</v>
      </c>
      <c r="E174" s="173">
        <v>10002</v>
      </c>
      <c r="F174" s="173">
        <v>1</v>
      </c>
      <c r="G174" s="174">
        <v>26</v>
      </c>
      <c r="H174" s="175">
        <v>160</v>
      </c>
    </row>
    <row r="175" spans="1:8" x14ac:dyDescent="0.25">
      <c r="A175" s="172">
        <v>42972</v>
      </c>
      <c r="B175" s="358">
        <v>5023333100041</v>
      </c>
      <c r="C175" s="173">
        <v>502</v>
      </c>
      <c r="D175" s="173">
        <v>3333</v>
      </c>
      <c r="E175" s="173">
        <v>10004</v>
      </c>
      <c r="F175" s="173">
        <v>1</v>
      </c>
      <c r="G175" s="174">
        <v>23</v>
      </c>
      <c r="H175" s="175">
        <v>200</v>
      </c>
    </row>
    <row r="176" spans="1:8" x14ac:dyDescent="0.25">
      <c r="A176" s="172">
        <v>42975</v>
      </c>
      <c r="B176" s="358">
        <v>4772222100021</v>
      </c>
      <c r="C176" s="173">
        <v>477</v>
      </c>
      <c r="D176" s="173">
        <v>2222</v>
      </c>
      <c r="E176" s="173">
        <v>10002</v>
      </c>
      <c r="F176" s="173">
        <v>1</v>
      </c>
      <c r="G176" s="174">
        <v>14</v>
      </c>
      <c r="H176" s="175">
        <v>160</v>
      </c>
    </row>
    <row r="177" spans="1:8" x14ac:dyDescent="0.25">
      <c r="A177" s="172">
        <v>42976</v>
      </c>
      <c r="B177" s="358">
        <v>4772222100051</v>
      </c>
      <c r="C177" s="173">
        <v>477</v>
      </c>
      <c r="D177" s="173">
        <v>2222</v>
      </c>
      <c r="E177" s="173">
        <v>10005</v>
      </c>
      <c r="F177" s="173">
        <v>1</v>
      </c>
      <c r="G177" s="174">
        <v>22</v>
      </c>
      <c r="H177" s="175">
        <v>140</v>
      </c>
    </row>
    <row r="178" spans="1:8" x14ac:dyDescent="0.25">
      <c r="A178" s="172">
        <v>42977</v>
      </c>
      <c r="B178" s="358">
        <v>4772222100061</v>
      </c>
      <c r="C178" s="173">
        <v>477</v>
      </c>
      <c r="D178" s="173">
        <v>2222</v>
      </c>
      <c r="E178" s="173">
        <v>10006</v>
      </c>
      <c r="F178" s="173">
        <v>1</v>
      </c>
      <c r="G178" s="174">
        <v>12</v>
      </c>
      <c r="H178" s="175">
        <v>110.00000000000001</v>
      </c>
    </row>
    <row r="179" spans="1:8" x14ac:dyDescent="0.25">
      <c r="A179" s="172">
        <v>42978</v>
      </c>
      <c r="B179" s="358">
        <v>4774444100071</v>
      </c>
      <c r="C179" s="173">
        <v>477</v>
      </c>
      <c r="D179" s="173">
        <v>4444</v>
      </c>
      <c r="E179" s="173">
        <v>10007</v>
      </c>
      <c r="F179" s="173">
        <v>1</v>
      </c>
      <c r="G179" s="174">
        <v>6</v>
      </c>
      <c r="H179" s="175">
        <v>140</v>
      </c>
    </row>
    <row r="180" spans="1:8" x14ac:dyDescent="0.25">
      <c r="A180" s="172">
        <v>42979</v>
      </c>
      <c r="B180" s="358">
        <v>4772222100021</v>
      </c>
      <c r="C180" s="173">
        <v>477</v>
      </c>
      <c r="D180" s="173">
        <v>2222</v>
      </c>
      <c r="E180" s="173">
        <v>10002</v>
      </c>
      <c r="F180" s="173">
        <v>1</v>
      </c>
      <c r="G180" s="174">
        <v>25</v>
      </c>
      <c r="H180" s="175">
        <v>160</v>
      </c>
    </row>
    <row r="181" spans="1:8" x14ac:dyDescent="0.25">
      <c r="A181" s="172">
        <v>42982</v>
      </c>
      <c r="B181" s="358">
        <v>4772222100061</v>
      </c>
      <c r="C181" s="173">
        <v>477</v>
      </c>
      <c r="D181" s="173">
        <v>2222</v>
      </c>
      <c r="E181" s="173">
        <v>10006</v>
      </c>
      <c r="F181" s="173">
        <v>1</v>
      </c>
      <c r="G181" s="174">
        <v>15</v>
      </c>
      <c r="H181" s="175">
        <v>110.00000000000001</v>
      </c>
    </row>
    <row r="182" spans="1:8" x14ac:dyDescent="0.25">
      <c r="A182" s="172">
        <v>42983</v>
      </c>
      <c r="B182" s="358">
        <v>5013333100031</v>
      </c>
      <c r="C182" s="173">
        <v>501</v>
      </c>
      <c r="D182" s="173">
        <v>3333</v>
      </c>
      <c r="E182" s="173">
        <v>10003</v>
      </c>
      <c r="F182" s="173">
        <v>1</v>
      </c>
      <c r="G182" s="174">
        <v>7</v>
      </c>
      <c r="H182" s="175">
        <v>210</v>
      </c>
    </row>
    <row r="183" spans="1:8" x14ac:dyDescent="0.25">
      <c r="A183" s="172">
        <v>42984</v>
      </c>
      <c r="B183" s="358">
        <v>4774444100071</v>
      </c>
      <c r="C183" s="173">
        <v>477</v>
      </c>
      <c r="D183" s="173">
        <v>4444</v>
      </c>
      <c r="E183" s="173">
        <v>10007</v>
      </c>
      <c r="F183" s="173">
        <v>1</v>
      </c>
      <c r="G183" s="174">
        <v>12</v>
      </c>
      <c r="H183" s="175">
        <v>140</v>
      </c>
    </row>
    <row r="184" spans="1:8" x14ac:dyDescent="0.25">
      <c r="A184" s="172">
        <v>42985</v>
      </c>
      <c r="B184" s="358">
        <v>4772222100021</v>
      </c>
      <c r="C184" s="173">
        <v>477</v>
      </c>
      <c r="D184" s="173">
        <v>2222</v>
      </c>
      <c r="E184" s="173">
        <v>10002</v>
      </c>
      <c r="F184" s="173">
        <v>1</v>
      </c>
      <c r="G184" s="174">
        <v>7</v>
      </c>
      <c r="H184" s="175">
        <v>160</v>
      </c>
    </row>
    <row r="185" spans="1:8" x14ac:dyDescent="0.25">
      <c r="A185" s="172">
        <v>42986</v>
      </c>
      <c r="B185" s="358">
        <v>5013333100031</v>
      </c>
      <c r="C185" s="173">
        <v>501</v>
      </c>
      <c r="D185" s="173">
        <v>3333</v>
      </c>
      <c r="E185" s="173">
        <v>10003</v>
      </c>
      <c r="F185" s="173">
        <v>1</v>
      </c>
      <c r="G185" s="174">
        <v>11</v>
      </c>
      <c r="H185" s="175">
        <v>210</v>
      </c>
    </row>
    <row r="186" spans="1:8" x14ac:dyDescent="0.25">
      <c r="A186" s="172">
        <v>42989</v>
      </c>
      <c r="B186" s="358">
        <v>4772222100051</v>
      </c>
      <c r="C186" s="173">
        <v>477</v>
      </c>
      <c r="D186" s="173">
        <v>2222</v>
      </c>
      <c r="E186" s="173">
        <v>10005</v>
      </c>
      <c r="F186" s="173">
        <v>1</v>
      </c>
      <c r="G186" s="174">
        <v>21</v>
      </c>
      <c r="H186" s="175">
        <v>140</v>
      </c>
    </row>
    <row r="187" spans="1:8" x14ac:dyDescent="0.25">
      <c r="A187" s="172">
        <v>42990</v>
      </c>
      <c r="B187" s="358">
        <v>5013333100031</v>
      </c>
      <c r="C187" s="173">
        <v>501</v>
      </c>
      <c r="D187" s="173">
        <v>3333</v>
      </c>
      <c r="E187" s="173">
        <v>10003</v>
      </c>
      <c r="F187" s="173">
        <v>1</v>
      </c>
      <c r="G187" s="174">
        <v>26</v>
      </c>
      <c r="H187" s="175">
        <v>210</v>
      </c>
    </row>
    <row r="188" spans="1:8" x14ac:dyDescent="0.25">
      <c r="A188" s="172">
        <v>42991</v>
      </c>
      <c r="B188" s="358">
        <v>4772222100021</v>
      </c>
      <c r="C188" s="173">
        <v>477</v>
      </c>
      <c r="D188" s="173">
        <v>2222</v>
      </c>
      <c r="E188" s="173">
        <v>10002</v>
      </c>
      <c r="F188" s="173">
        <v>1</v>
      </c>
      <c r="G188" s="174">
        <v>12</v>
      </c>
      <c r="H188" s="175">
        <v>160</v>
      </c>
    </row>
    <row r="189" spans="1:8" x14ac:dyDescent="0.25">
      <c r="A189" s="172">
        <v>42992</v>
      </c>
      <c r="B189" s="358">
        <v>3031111100011</v>
      </c>
      <c r="C189" s="173">
        <v>303</v>
      </c>
      <c r="D189" s="173">
        <v>1111</v>
      </c>
      <c r="E189" s="173">
        <v>10001</v>
      </c>
      <c r="F189" s="173">
        <v>1</v>
      </c>
      <c r="G189" s="174">
        <v>11</v>
      </c>
      <c r="H189" s="175">
        <v>210</v>
      </c>
    </row>
    <row r="190" spans="1:8" x14ac:dyDescent="0.25">
      <c r="A190" s="172">
        <v>42993</v>
      </c>
      <c r="B190" s="358">
        <v>5013333100031</v>
      </c>
      <c r="C190" s="173">
        <v>501</v>
      </c>
      <c r="D190" s="173">
        <v>3333</v>
      </c>
      <c r="E190" s="173">
        <v>10003</v>
      </c>
      <c r="F190" s="173">
        <v>1</v>
      </c>
      <c r="G190" s="174">
        <v>12</v>
      </c>
      <c r="H190" s="175">
        <v>210</v>
      </c>
    </row>
    <row r="191" spans="1:8" x14ac:dyDescent="0.25">
      <c r="A191" s="172">
        <v>42996</v>
      </c>
      <c r="B191" s="358">
        <v>5013333100031</v>
      </c>
      <c r="C191" s="173">
        <v>501</v>
      </c>
      <c r="D191" s="173">
        <v>3333</v>
      </c>
      <c r="E191" s="173">
        <v>10003</v>
      </c>
      <c r="F191" s="173">
        <v>1</v>
      </c>
      <c r="G191" s="174">
        <v>13</v>
      </c>
      <c r="H191" s="175">
        <v>210</v>
      </c>
    </row>
    <row r="192" spans="1:8" x14ac:dyDescent="0.25">
      <c r="A192" s="172">
        <v>42997</v>
      </c>
      <c r="B192" s="358">
        <v>4772222100061</v>
      </c>
      <c r="C192" s="173">
        <v>477</v>
      </c>
      <c r="D192" s="173">
        <v>2222</v>
      </c>
      <c r="E192" s="173">
        <v>10006</v>
      </c>
      <c r="F192" s="173">
        <v>1</v>
      </c>
      <c r="G192" s="174">
        <v>15</v>
      </c>
      <c r="H192" s="175">
        <v>110.00000000000001</v>
      </c>
    </row>
    <row r="193" spans="1:8" x14ac:dyDescent="0.25">
      <c r="A193" s="172">
        <v>42998</v>
      </c>
      <c r="B193" s="358">
        <v>4772222100021</v>
      </c>
      <c r="C193" s="173">
        <v>477</v>
      </c>
      <c r="D193" s="173">
        <v>2222</v>
      </c>
      <c r="E193" s="173">
        <v>10002</v>
      </c>
      <c r="F193" s="173">
        <v>1</v>
      </c>
      <c r="G193" s="174">
        <v>17</v>
      </c>
      <c r="H193" s="175">
        <v>160</v>
      </c>
    </row>
    <row r="194" spans="1:8" x14ac:dyDescent="0.25">
      <c r="A194" s="172">
        <v>42999</v>
      </c>
      <c r="B194" s="358">
        <v>4772222100021</v>
      </c>
      <c r="C194" s="173">
        <v>477</v>
      </c>
      <c r="D194" s="173">
        <v>2222</v>
      </c>
      <c r="E194" s="173">
        <v>10002</v>
      </c>
      <c r="F194" s="173">
        <v>1</v>
      </c>
      <c r="G194" s="174">
        <v>23</v>
      </c>
      <c r="H194" s="175">
        <v>160</v>
      </c>
    </row>
    <row r="195" spans="1:8" x14ac:dyDescent="0.25">
      <c r="A195" s="172">
        <v>43000</v>
      </c>
      <c r="B195" s="358">
        <v>4772222100021</v>
      </c>
      <c r="C195" s="173">
        <v>477</v>
      </c>
      <c r="D195" s="173">
        <v>2222</v>
      </c>
      <c r="E195" s="173">
        <v>10002</v>
      </c>
      <c r="F195" s="173">
        <v>1</v>
      </c>
      <c r="G195" s="174">
        <v>18</v>
      </c>
      <c r="H195" s="175">
        <v>160</v>
      </c>
    </row>
    <row r="196" spans="1:8" x14ac:dyDescent="0.25">
      <c r="A196" s="172">
        <v>43003</v>
      </c>
      <c r="B196" s="358">
        <v>4772222100021</v>
      </c>
      <c r="C196" s="173">
        <v>477</v>
      </c>
      <c r="D196" s="173">
        <v>2222</v>
      </c>
      <c r="E196" s="173">
        <v>10002</v>
      </c>
      <c r="F196" s="173">
        <v>1</v>
      </c>
      <c r="G196" s="174">
        <v>16</v>
      </c>
      <c r="H196" s="175">
        <v>160</v>
      </c>
    </row>
    <row r="197" spans="1:8" x14ac:dyDescent="0.25">
      <c r="A197" s="172">
        <v>43004</v>
      </c>
      <c r="B197" s="358">
        <v>4772222100061</v>
      </c>
      <c r="C197" s="173">
        <v>477</v>
      </c>
      <c r="D197" s="173">
        <v>2222</v>
      </c>
      <c r="E197" s="173">
        <v>10006</v>
      </c>
      <c r="F197" s="173">
        <v>1</v>
      </c>
      <c r="G197" s="174">
        <v>19</v>
      </c>
      <c r="H197" s="175">
        <v>110.00000000000001</v>
      </c>
    </row>
    <row r="198" spans="1:8" x14ac:dyDescent="0.25">
      <c r="A198" s="172">
        <v>43005</v>
      </c>
      <c r="B198" s="358">
        <v>4772222100021</v>
      </c>
      <c r="C198" s="173">
        <v>477</v>
      </c>
      <c r="D198" s="173">
        <v>2222</v>
      </c>
      <c r="E198" s="173">
        <v>10002</v>
      </c>
      <c r="F198" s="173">
        <v>1</v>
      </c>
      <c r="G198" s="174">
        <v>8</v>
      </c>
      <c r="H198" s="175">
        <v>160</v>
      </c>
    </row>
    <row r="199" spans="1:8" x14ac:dyDescent="0.25">
      <c r="A199" s="172">
        <v>43006</v>
      </c>
      <c r="B199" s="358">
        <v>4772222100051</v>
      </c>
      <c r="C199" s="173">
        <v>477</v>
      </c>
      <c r="D199" s="173">
        <v>2222</v>
      </c>
      <c r="E199" s="173">
        <v>10005</v>
      </c>
      <c r="F199" s="173">
        <v>1</v>
      </c>
      <c r="G199" s="174">
        <v>10</v>
      </c>
      <c r="H199" s="175">
        <v>140</v>
      </c>
    </row>
    <row r="200" spans="1:8" x14ac:dyDescent="0.25">
      <c r="A200" s="172">
        <v>43007</v>
      </c>
      <c r="B200" s="358">
        <v>4772222100051</v>
      </c>
      <c r="C200" s="173">
        <v>477</v>
      </c>
      <c r="D200" s="173">
        <v>2222</v>
      </c>
      <c r="E200" s="173">
        <v>10005</v>
      </c>
      <c r="F200" s="173">
        <v>1</v>
      </c>
      <c r="G200" s="174">
        <v>11</v>
      </c>
      <c r="H200" s="175">
        <v>140</v>
      </c>
    </row>
    <row r="201" spans="1:8" x14ac:dyDescent="0.25">
      <c r="A201" s="172">
        <v>43010</v>
      </c>
      <c r="B201" s="358">
        <v>4772222100061</v>
      </c>
      <c r="C201" s="173">
        <v>477</v>
      </c>
      <c r="D201" s="173">
        <v>2222</v>
      </c>
      <c r="E201" s="173">
        <v>10006</v>
      </c>
      <c r="F201" s="173">
        <v>1</v>
      </c>
      <c r="G201" s="174">
        <v>22</v>
      </c>
      <c r="H201" s="175">
        <v>110.00000000000001</v>
      </c>
    </row>
    <row r="202" spans="1:8" x14ac:dyDescent="0.25">
      <c r="A202" s="172">
        <v>43011</v>
      </c>
      <c r="B202" s="358">
        <v>4772222100021</v>
      </c>
      <c r="C202" s="173">
        <v>477</v>
      </c>
      <c r="D202" s="173">
        <v>2222</v>
      </c>
      <c r="E202" s="173">
        <v>10002</v>
      </c>
      <c r="F202" s="173">
        <v>1</v>
      </c>
      <c r="G202" s="174">
        <v>9</v>
      </c>
      <c r="H202" s="175">
        <v>160</v>
      </c>
    </row>
    <row r="203" spans="1:8" x14ac:dyDescent="0.25">
      <c r="A203" s="172">
        <v>43012</v>
      </c>
      <c r="B203" s="358">
        <v>5023333100041</v>
      </c>
      <c r="C203" s="173">
        <v>502</v>
      </c>
      <c r="D203" s="173">
        <v>3333</v>
      </c>
      <c r="E203" s="173">
        <v>10004</v>
      </c>
      <c r="F203" s="173">
        <v>1</v>
      </c>
      <c r="G203" s="174">
        <v>24</v>
      </c>
      <c r="H203" s="175">
        <v>200</v>
      </c>
    </row>
    <row r="204" spans="1:8" x14ac:dyDescent="0.25">
      <c r="A204" s="172">
        <v>43013</v>
      </c>
      <c r="B204" s="358">
        <v>4772222100021</v>
      </c>
      <c r="C204" s="173">
        <v>477</v>
      </c>
      <c r="D204" s="173">
        <v>2222</v>
      </c>
      <c r="E204" s="173">
        <v>10002</v>
      </c>
      <c r="F204" s="173">
        <v>1</v>
      </c>
      <c r="G204" s="174">
        <v>23</v>
      </c>
      <c r="H204" s="175">
        <v>160</v>
      </c>
    </row>
    <row r="205" spans="1:8" x14ac:dyDescent="0.25">
      <c r="A205" s="172">
        <v>43014</v>
      </c>
      <c r="B205" s="358">
        <v>4772222100051</v>
      </c>
      <c r="C205" s="173">
        <v>477</v>
      </c>
      <c r="D205" s="173">
        <v>2222</v>
      </c>
      <c r="E205" s="173">
        <v>10005</v>
      </c>
      <c r="F205" s="173">
        <v>1</v>
      </c>
      <c r="G205" s="174">
        <v>17</v>
      </c>
      <c r="H205" s="175">
        <v>140</v>
      </c>
    </row>
    <row r="206" spans="1:8" x14ac:dyDescent="0.25">
      <c r="A206" s="172">
        <v>43017</v>
      </c>
      <c r="B206" s="358">
        <v>4772222100061</v>
      </c>
      <c r="C206" s="173">
        <v>477</v>
      </c>
      <c r="D206" s="173">
        <v>2222</v>
      </c>
      <c r="E206" s="173">
        <v>10006</v>
      </c>
      <c r="F206" s="173">
        <v>1</v>
      </c>
      <c r="G206" s="174">
        <v>12</v>
      </c>
      <c r="H206" s="175">
        <v>110.00000000000001</v>
      </c>
    </row>
    <row r="207" spans="1:8" x14ac:dyDescent="0.25">
      <c r="A207" s="172">
        <v>43018</v>
      </c>
      <c r="B207" s="358">
        <v>4774444100071</v>
      </c>
      <c r="C207" s="173">
        <v>477</v>
      </c>
      <c r="D207" s="173">
        <v>4444</v>
      </c>
      <c r="E207" s="173">
        <v>10007</v>
      </c>
      <c r="F207" s="173">
        <v>1</v>
      </c>
      <c r="G207" s="174">
        <v>26</v>
      </c>
      <c r="H207" s="175">
        <v>140</v>
      </c>
    </row>
    <row r="208" spans="1:8" x14ac:dyDescent="0.25">
      <c r="A208" s="172">
        <v>43020</v>
      </c>
      <c r="B208" s="358">
        <v>5023333100041</v>
      </c>
      <c r="C208" s="173">
        <v>502</v>
      </c>
      <c r="D208" s="173">
        <v>3333</v>
      </c>
      <c r="E208" s="173">
        <v>10004</v>
      </c>
      <c r="F208" s="173">
        <v>1</v>
      </c>
      <c r="G208" s="174">
        <v>26</v>
      </c>
      <c r="H208" s="175">
        <v>200</v>
      </c>
    </row>
    <row r="209" spans="1:8" x14ac:dyDescent="0.25">
      <c r="A209" s="172">
        <v>43021</v>
      </c>
      <c r="B209" s="358">
        <v>4772222100021</v>
      </c>
      <c r="C209" s="173">
        <v>477</v>
      </c>
      <c r="D209" s="173">
        <v>2222</v>
      </c>
      <c r="E209" s="173">
        <v>10002</v>
      </c>
      <c r="F209" s="173">
        <v>1</v>
      </c>
      <c r="G209" s="174">
        <v>10</v>
      </c>
      <c r="H209" s="175">
        <v>160</v>
      </c>
    </row>
    <row r="210" spans="1:8" x14ac:dyDescent="0.25">
      <c r="A210" s="172">
        <v>43024</v>
      </c>
      <c r="B210" s="358">
        <v>4772222100021</v>
      </c>
      <c r="C210" s="173">
        <v>477</v>
      </c>
      <c r="D210" s="173">
        <v>2222</v>
      </c>
      <c r="E210" s="173">
        <v>10002</v>
      </c>
      <c r="F210" s="173">
        <v>1</v>
      </c>
      <c r="G210" s="174">
        <v>19</v>
      </c>
      <c r="H210" s="175">
        <v>160</v>
      </c>
    </row>
    <row r="211" spans="1:8" x14ac:dyDescent="0.25">
      <c r="A211" s="172">
        <v>43027</v>
      </c>
      <c r="B211" s="358">
        <v>4772222100061</v>
      </c>
      <c r="C211" s="173">
        <v>477</v>
      </c>
      <c r="D211" s="173">
        <v>2222</v>
      </c>
      <c r="E211" s="173">
        <v>10006</v>
      </c>
      <c r="F211" s="173">
        <v>1</v>
      </c>
      <c r="G211" s="174">
        <v>10</v>
      </c>
      <c r="H211" s="175">
        <v>110.00000000000001</v>
      </c>
    </row>
    <row r="212" spans="1:8" x14ac:dyDescent="0.25">
      <c r="A212" s="172">
        <v>43028</v>
      </c>
      <c r="B212" s="358">
        <v>4772222100061</v>
      </c>
      <c r="C212" s="173">
        <v>477</v>
      </c>
      <c r="D212" s="173">
        <v>2222</v>
      </c>
      <c r="E212" s="173">
        <v>10006</v>
      </c>
      <c r="F212" s="173">
        <v>1</v>
      </c>
      <c r="G212" s="174">
        <v>10</v>
      </c>
      <c r="H212" s="175">
        <v>110.00000000000001</v>
      </c>
    </row>
    <row r="213" spans="1:8" x14ac:dyDescent="0.25">
      <c r="A213" s="172">
        <v>43031</v>
      </c>
      <c r="B213" s="358">
        <v>5013333100031</v>
      </c>
      <c r="C213" s="173">
        <v>501</v>
      </c>
      <c r="D213" s="173">
        <v>3333</v>
      </c>
      <c r="E213" s="173">
        <v>10003</v>
      </c>
      <c r="F213" s="173">
        <v>1</v>
      </c>
      <c r="G213" s="174">
        <v>26</v>
      </c>
      <c r="H213" s="175">
        <v>210</v>
      </c>
    </row>
    <row r="214" spans="1:8" x14ac:dyDescent="0.25">
      <c r="A214" s="172">
        <v>43032</v>
      </c>
      <c r="B214" s="358">
        <v>4772222100061</v>
      </c>
      <c r="C214" s="173">
        <v>477</v>
      </c>
      <c r="D214" s="173">
        <v>2222</v>
      </c>
      <c r="E214" s="173">
        <v>10006</v>
      </c>
      <c r="F214" s="173">
        <v>1</v>
      </c>
      <c r="G214" s="174">
        <v>12</v>
      </c>
      <c r="H214" s="175">
        <v>110.00000000000001</v>
      </c>
    </row>
    <row r="215" spans="1:8" x14ac:dyDescent="0.25">
      <c r="A215" s="172">
        <v>43033</v>
      </c>
      <c r="B215" s="358">
        <v>4772222100021</v>
      </c>
      <c r="C215" s="173">
        <v>477</v>
      </c>
      <c r="D215" s="173">
        <v>2222</v>
      </c>
      <c r="E215" s="173">
        <v>10002</v>
      </c>
      <c r="F215" s="173">
        <v>1</v>
      </c>
      <c r="G215" s="174">
        <v>23</v>
      </c>
      <c r="H215" s="175">
        <v>160</v>
      </c>
    </row>
    <row r="216" spans="1:8" x14ac:dyDescent="0.25">
      <c r="A216" s="172">
        <v>43038</v>
      </c>
      <c r="B216" s="358">
        <v>4772222100021</v>
      </c>
      <c r="C216" s="173">
        <v>477</v>
      </c>
      <c r="D216" s="173">
        <v>2222</v>
      </c>
      <c r="E216" s="173">
        <v>10002</v>
      </c>
      <c r="F216" s="173">
        <v>1</v>
      </c>
      <c r="G216" s="174">
        <v>26</v>
      </c>
      <c r="H216" s="175">
        <v>160</v>
      </c>
    </row>
    <row r="217" spans="1:8" x14ac:dyDescent="0.25">
      <c r="A217" s="172">
        <v>43039</v>
      </c>
      <c r="B217" s="358">
        <v>3011111100011</v>
      </c>
      <c r="C217" s="173">
        <v>301</v>
      </c>
      <c r="D217" s="173">
        <v>1111</v>
      </c>
      <c r="E217" s="173">
        <v>10001</v>
      </c>
      <c r="F217" s="173">
        <v>1</v>
      </c>
      <c r="G217" s="174">
        <v>12</v>
      </c>
      <c r="H217" s="175">
        <v>210</v>
      </c>
    </row>
    <row r="218" spans="1:8" x14ac:dyDescent="0.25">
      <c r="A218" s="172">
        <v>43038</v>
      </c>
      <c r="B218" s="358">
        <v>5023333100041</v>
      </c>
      <c r="C218" s="173">
        <v>502</v>
      </c>
      <c r="D218" s="173">
        <v>3333</v>
      </c>
      <c r="E218" s="173">
        <v>10004</v>
      </c>
      <c r="F218" s="173">
        <v>1</v>
      </c>
      <c r="G218" s="174">
        <v>11</v>
      </c>
      <c r="H218" s="175">
        <v>200</v>
      </c>
    </row>
    <row r="219" spans="1:8" x14ac:dyDescent="0.25">
      <c r="A219" s="172">
        <v>43039</v>
      </c>
      <c r="B219" s="358">
        <v>5013333100031</v>
      </c>
      <c r="C219" s="173">
        <v>501</v>
      </c>
      <c r="D219" s="173">
        <v>3333</v>
      </c>
      <c r="E219" s="173">
        <v>10003</v>
      </c>
      <c r="F219" s="173">
        <v>1</v>
      </c>
      <c r="G219" s="174">
        <v>19</v>
      </c>
      <c r="H219" s="175">
        <v>210</v>
      </c>
    </row>
    <row r="220" spans="1:8" x14ac:dyDescent="0.25">
      <c r="A220" s="172">
        <v>43042</v>
      </c>
      <c r="B220" s="358">
        <v>4772222100021</v>
      </c>
      <c r="C220" s="173">
        <v>477</v>
      </c>
      <c r="D220" s="173">
        <v>2222</v>
      </c>
      <c r="E220" s="173">
        <v>10002</v>
      </c>
      <c r="F220" s="173">
        <v>1</v>
      </c>
      <c r="G220" s="174">
        <v>17</v>
      </c>
      <c r="H220" s="175">
        <v>160</v>
      </c>
    </row>
    <row r="221" spans="1:8" x14ac:dyDescent="0.25">
      <c r="A221" s="172">
        <v>43045</v>
      </c>
      <c r="B221" s="358">
        <v>4772222100021</v>
      </c>
      <c r="C221" s="173">
        <v>477</v>
      </c>
      <c r="D221" s="173">
        <v>2222</v>
      </c>
      <c r="E221" s="173">
        <v>10002</v>
      </c>
      <c r="F221" s="173">
        <v>1</v>
      </c>
      <c r="G221" s="174">
        <v>17</v>
      </c>
      <c r="H221" s="175">
        <v>160</v>
      </c>
    </row>
    <row r="222" spans="1:8" x14ac:dyDescent="0.25">
      <c r="A222" s="172">
        <v>43046</v>
      </c>
      <c r="B222" s="358">
        <v>4774444100071</v>
      </c>
      <c r="C222" s="173">
        <v>477</v>
      </c>
      <c r="D222" s="173">
        <v>4444</v>
      </c>
      <c r="E222" s="173">
        <v>10007</v>
      </c>
      <c r="F222" s="173">
        <v>1</v>
      </c>
      <c r="G222" s="174">
        <v>23</v>
      </c>
      <c r="H222" s="175">
        <v>140</v>
      </c>
    </row>
    <row r="223" spans="1:8" x14ac:dyDescent="0.25">
      <c r="A223" s="172">
        <v>43047</v>
      </c>
      <c r="B223" s="358">
        <v>4772222100061</v>
      </c>
      <c r="C223" s="173">
        <v>477</v>
      </c>
      <c r="D223" s="173">
        <v>2222</v>
      </c>
      <c r="E223" s="173">
        <v>10006</v>
      </c>
      <c r="F223" s="173">
        <v>1</v>
      </c>
      <c r="G223" s="174">
        <v>22</v>
      </c>
      <c r="H223" s="175">
        <v>110.00000000000001</v>
      </c>
    </row>
    <row r="224" spans="1:8" x14ac:dyDescent="0.25">
      <c r="A224" s="172">
        <v>43048</v>
      </c>
      <c r="B224" s="358">
        <v>4774444100071</v>
      </c>
      <c r="C224" s="173">
        <v>477</v>
      </c>
      <c r="D224" s="173">
        <v>4444</v>
      </c>
      <c r="E224" s="173">
        <v>10007</v>
      </c>
      <c r="F224" s="173">
        <v>1</v>
      </c>
      <c r="G224" s="174">
        <v>13</v>
      </c>
      <c r="H224" s="175">
        <v>140</v>
      </c>
    </row>
    <row r="225" spans="1:8" x14ac:dyDescent="0.25">
      <c r="A225" s="172">
        <v>43049</v>
      </c>
      <c r="B225" s="358">
        <v>5013333100031</v>
      </c>
      <c r="C225" s="173">
        <v>501</v>
      </c>
      <c r="D225" s="173">
        <v>3333</v>
      </c>
      <c r="E225" s="173">
        <v>10003</v>
      </c>
      <c r="F225" s="173">
        <v>1</v>
      </c>
      <c r="G225" s="174">
        <v>18</v>
      </c>
      <c r="H225" s="175">
        <v>210</v>
      </c>
    </row>
    <row r="226" spans="1:8" x14ac:dyDescent="0.25">
      <c r="A226" s="172">
        <v>43052</v>
      </c>
      <c r="B226" s="358">
        <v>5013333100031</v>
      </c>
      <c r="C226" s="173">
        <v>501</v>
      </c>
      <c r="D226" s="173">
        <v>3333</v>
      </c>
      <c r="E226" s="173">
        <v>10003</v>
      </c>
      <c r="F226" s="173">
        <v>1</v>
      </c>
      <c r="G226" s="174">
        <v>16</v>
      </c>
      <c r="H226" s="175">
        <v>210</v>
      </c>
    </row>
    <row r="227" spans="1:8" x14ac:dyDescent="0.25">
      <c r="A227" s="172">
        <v>43053</v>
      </c>
      <c r="B227" s="358">
        <v>4774444100071</v>
      </c>
      <c r="C227" s="173">
        <v>477</v>
      </c>
      <c r="D227" s="173">
        <v>4444</v>
      </c>
      <c r="E227" s="173">
        <v>10007</v>
      </c>
      <c r="F227" s="173">
        <v>1</v>
      </c>
      <c r="G227" s="174">
        <v>6</v>
      </c>
      <c r="H227" s="175">
        <v>140</v>
      </c>
    </row>
    <row r="228" spans="1:8" x14ac:dyDescent="0.25">
      <c r="A228" s="172">
        <v>43054</v>
      </c>
      <c r="B228" s="358">
        <v>3011111100011</v>
      </c>
      <c r="C228" s="173">
        <v>301</v>
      </c>
      <c r="D228" s="173">
        <v>1111</v>
      </c>
      <c r="E228" s="173">
        <v>10001</v>
      </c>
      <c r="F228" s="173">
        <v>1</v>
      </c>
      <c r="G228" s="174">
        <v>8</v>
      </c>
      <c r="H228" s="175">
        <v>210</v>
      </c>
    </row>
    <row r="229" spans="1:8" x14ac:dyDescent="0.25">
      <c r="A229" s="172">
        <v>43055</v>
      </c>
      <c r="B229" s="358">
        <v>4772222100061</v>
      </c>
      <c r="C229" s="173">
        <v>477</v>
      </c>
      <c r="D229" s="173">
        <v>2222</v>
      </c>
      <c r="E229" s="173">
        <v>10006</v>
      </c>
      <c r="F229" s="173">
        <v>1</v>
      </c>
      <c r="G229" s="174">
        <v>16</v>
      </c>
      <c r="H229" s="175">
        <v>110.00000000000001</v>
      </c>
    </row>
    <row r="230" spans="1:8" x14ac:dyDescent="0.25">
      <c r="A230" s="172">
        <v>43056</v>
      </c>
      <c r="B230" s="358">
        <v>5023333100041</v>
      </c>
      <c r="C230" s="173">
        <v>502</v>
      </c>
      <c r="D230" s="173">
        <v>3333</v>
      </c>
      <c r="E230" s="173">
        <v>10004</v>
      </c>
      <c r="F230" s="173">
        <v>1</v>
      </c>
      <c r="G230" s="174">
        <v>10</v>
      </c>
      <c r="H230" s="175">
        <v>200</v>
      </c>
    </row>
    <row r="231" spans="1:8" x14ac:dyDescent="0.25">
      <c r="A231" s="172">
        <v>43059</v>
      </c>
      <c r="B231" s="358">
        <v>4772222100021</v>
      </c>
      <c r="C231" s="173">
        <v>477</v>
      </c>
      <c r="D231" s="173">
        <v>2222</v>
      </c>
      <c r="E231" s="173">
        <v>10002</v>
      </c>
      <c r="F231" s="173">
        <v>1</v>
      </c>
      <c r="G231" s="174">
        <v>23</v>
      </c>
      <c r="H231" s="175">
        <v>160</v>
      </c>
    </row>
    <row r="232" spans="1:8" x14ac:dyDescent="0.25">
      <c r="A232" s="172">
        <v>43060</v>
      </c>
      <c r="B232" s="358">
        <v>4772222100061</v>
      </c>
      <c r="C232" s="173">
        <v>477</v>
      </c>
      <c r="D232" s="173">
        <v>2222</v>
      </c>
      <c r="E232" s="173">
        <v>10006</v>
      </c>
      <c r="F232" s="173">
        <v>1</v>
      </c>
      <c r="G232" s="174">
        <v>25</v>
      </c>
      <c r="H232" s="175">
        <v>110.00000000000001</v>
      </c>
    </row>
    <row r="233" spans="1:8" x14ac:dyDescent="0.25">
      <c r="A233" s="172">
        <v>43061</v>
      </c>
      <c r="B233" s="358">
        <v>4772222100021</v>
      </c>
      <c r="C233" s="173">
        <v>477</v>
      </c>
      <c r="D233" s="173">
        <v>2222</v>
      </c>
      <c r="E233" s="173">
        <v>10002</v>
      </c>
      <c r="F233" s="173">
        <v>1</v>
      </c>
      <c r="G233" s="174">
        <v>17</v>
      </c>
      <c r="H233" s="175">
        <v>160</v>
      </c>
    </row>
    <row r="234" spans="1:8" x14ac:dyDescent="0.25">
      <c r="A234" s="172">
        <v>43062</v>
      </c>
      <c r="B234" s="358">
        <v>5023333100041</v>
      </c>
      <c r="C234" s="173">
        <v>502</v>
      </c>
      <c r="D234" s="173">
        <v>3333</v>
      </c>
      <c r="E234" s="173">
        <v>10004</v>
      </c>
      <c r="F234" s="173">
        <v>1</v>
      </c>
      <c r="G234" s="174">
        <v>15</v>
      </c>
      <c r="H234" s="175">
        <v>200</v>
      </c>
    </row>
    <row r="235" spans="1:8" x14ac:dyDescent="0.25">
      <c r="A235" s="172">
        <v>43063</v>
      </c>
      <c r="B235" s="358">
        <v>4772222100021</v>
      </c>
      <c r="C235" s="173">
        <v>477</v>
      </c>
      <c r="D235" s="173">
        <v>2222</v>
      </c>
      <c r="E235" s="173">
        <v>10002</v>
      </c>
      <c r="F235" s="173">
        <v>1</v>
      </c>
      <c r="G235" s="174">
        <v>11</v>
      </c>
      <c r="H235" s="175">
        <v>160</v>
      </c>
    </row>
    <row r="236" spans="1:8" x14ac:dyDescent="0.25">
      <c r="A236" s="172">
        <v>43066</v>
      </c>
      <c r="B236" s="358">
        <v>4772222100021</v>
      </c>
      <c r="C236" s="173">
        <v>477</v>
      </c>
      <c r="D236" s="173">
        <v>2222</v>
      </c>
      <c r="E236" s="173">
        <v>10002</v>
      </c>
      <c r="F236" s="173">
        <v>1</v>
      </c>
      <c r="G236" s="174">
        <v>17</v>
      </c>
      <c r="H236" s="175">
        <v>160</v>
      </c>
    </row>
    <row r="237" spans="1:8" x14ac:dyDescent="0.25">
      <c r="A237" s="172">
        <v>43067</v>
      </c>
      <c r="B237" s="358">
        <v>4772222100061</v>
      </c>
      <c r="C237" s="173">
        <v>477</v>
      </c>
      <c r="D237" s="173">
        <v>2222</v>
      </c>
      <c r="E237" s="173">
        <v>10006</v>
      </c>
      <c r="F237" s="173">
        <v>1</v>
      </c>
      <c r="G237" s="174">
        <v>20</v>
      </c>
      <c r="H237" s="175">
        <v>110.00000000000001</v>
      </c>
    </row>
    <row r="238" spans="1:8" x14ac:dyDescent="0.25">
      <c r="A238" s="172">
        <v>43068</v>
      </c>
      <c r="B238" s="358">
        <v>4772222100051</v>
      </c>
      <c r="C238" s="173">
        <v>477</v>
      </c>
      <c r="D238" s="173">
        <v>2222</v>
      </c>
      <c r="E238" s="173">
        <v>10005</v>
      </c>
      <c r="F238" s="173">
        <v>1</v>
      </c>
      <c r="G238" s="174">
        <v>6</v>
      </c>
      <c r="H238" s="175">
        <v>140</v>
      </c>
    </row>
    <row r="239" spans="1:8" x14ac:dyDescent="0.25">
      <c r="A239" s="172">
        <v>43069</v>
      </c>
      <c r="B239" s="358">
        <v>4774444100071</v>
      </c>
      <c r="C239" s="173">
        <v>477</v>
      </c>
      <c r="D239" s="173">
        <v>4444</v>
      </c>
      <c r="E239" s="173">
        <v>10007</v>
      </c>
      <c r="F239" s="173">
        <v>1</v>
      </c>
      <c r="G239" s="174">
        <v>23</v>
      </c>
      <c r="H239" s="175">
        <v>140</v>
      </c>
    </row>
    <row r="240" spans="1:8" x14ac:dyDescent="0.25">
      <c r="A240" s="172">
        <v>43070</v>
      </c>
      <c r="B240" s="358">
        <v>5013333100031</v>
      </c>
      <c r="C240" s="173">
        <v>501</v>
      </c>
      <c r="D240" s="173">
        <v>3333</v>
      </c>
      <c r="E240" s="173">
        <v>10003</v>
      </c>
      <c r="F240" s="173">
        <v>1</v>
      </c>
      <c r="G240" s="174">
        <v>26</v>
      </c>
      <c r="H240" s="175">
        <v>210</v>
      </c>
    </row>
    <row r="241" spans="1:8" x14ac:dyDescent="0.25">
      <c r="A241" s="172">
        <v>43073</v>
      </c>
      <c r="B241" s="358">
        <v>4772222100021</v>
      </c>
      <c r="C241" s="173">
        <v>477</v>
      </c>
      <c r="D241" s="173">
        <v>2222</v>
      </c>
      <c r="E241" s="173">
        <v>10002</v>
      </c>
      <c r="F241" s="173">
        <v>1</v>
      </c>
      <c r="G241" s="174">
        <v>10</v>
      </c>
      <c r="H241" s="175">
        <v>160</v>
      </c>
    </row>
    <row r="242" spans="1:8" x14ac:dyDescent="0.25">
      <c r="A242" s="172">
        <v>43074</v>
      </c>
      <c r="B242" s="358">
        <v>5023333100041</v>
      </c>
      <c r="C242" s="173">
        <v>502</v>
      </c>
      <c r="D242" s="173">
        <v>3333</v>
      </c>
      <c r="E242" s="173">
        <v>10004</v>
      </c>
      <c r="F242" s="173">
        <v>1</v>
      </c>
      <c r="G242" s="174">
        <v>13</v>
      </c>
      <c r="H242" s="175">
        <v>200</v>
      </c>
    </row>
    <row r="243" spans="1:8" x14ac:dyDescent="0.25">
      <c r="A243" s="172">
        <v>43075</v>
      </c>
      <c r="B243" s="358">
        <v>5013333100031</v>
      </c>
      <c r="C243" s="173">
        <v>501</v>
      </c>
      <c r="D243" s="173">
        <v>3333</v>
      </c>
      <c r="E243" s="173">
        <v>10003</v>
      </c>
      <c r="F243" s="173">
        <v>1</v>
      </c>
      <c r="G243" s="174">
        <v>14</v>
      </c>
      <c r="H243" s="175">
        <v>210</v>
      </c>
    </row>
    <row r="244" spans="1:8" x14ac:dyDescent="0.25">
      <c r="A244" s="172">
        <v>43076</v>
      </c>
      <c r="B244" s="358">
        <v>5013333100031</v>
      </c>
      <c r="C244" s="173">
        <v>501</v>
      </c>
      <c r="D244" s="173">
        <v>3333</v>
      </c>
      <c r="E244" s="173">
        <v>10003</v>
      </c>
      <c r="F244" s="173">
        <v>1</v>
      </c>
      <c r="G244" s="174">
        <v>18</v>
      </c>
      <c r="H244" s="175">
        <v>210</v>
      </c>
    </row>
    <row r="245" spans="1:8" x14ac:dyDescent="0.25">
      <c r="A245" s="172">
        <v>43077</v>
      </c>
      <c r="B245" s="358">
        <v>4772222100021</v>
      </c>
      <c r="C245" s="173">
        <v>477</v>
      </c>
      <c r="D245" s="173">
        <v>2222</v>
      </c>
      <c r="E245" s="173">
        <v>10002</v>
      </c>
      <c r="F245" s="173">
        <v>1</v>
      </c>
      <c r="G245" s="174">
        <v>14</v>
      </c>
      <c r="H245" s="175">
        <v>160</v>
      </c>
    </row>
    <row r="246" spans="1:8" x14ac:dyDescent="0.25">
      <c r="A246" s="172">
        <v>43080</v>
      </c>
      <c r="B246" s="358">
        <v>4772222100021</v>
      </c>
      <c r="C246" s="173">
        <v>477</v>
      </c>
      <c r="D246" s="173">
        <v>2222</v>
      </c>
      <c r="E246" s="173">
        <v>10002</v>
      </c>
      <c r="F246" s="173">
        <v>1</v>
      </c>
      <c r="G246" s="174">
        <v>20</v>
      </c>
      <c r="H246" s="175">
        <v>160</v>
      </c>
    </row>
    <row r="247" spans="1:8" x14ac:dyDescent="0.25">
      <c r="A247" s="172">
        <v>43081</v>
      </c>
      <c r="B247" s="358">
        <v>4772222100021</v>
      </c>
      <c r="C247" s="173">
        <v>477</v>
      </c>
      <c r="D247" s="173">
        <v>2222</v>
      </c>
      <c r="E247" s="173">
        <v>10002</v>
      </c>
      <c r="F247" s="173">
        <v>1</v>
      </c>
      <c r="G247" s="174">
        <v>19</v>
      </c>
      <c r="H247" s="175">
        <v>160</v>
      </c>
    </row>
    <row r="248" spans="1:8" x14ac:dyDescent="0.25">
      <c r="A248" s="172">
        <v>43082</v>
      </c>
      <c r="B248" s="358">
        <v>5013333100031</v>
      </c>
      <c r="C248" s="173">
        <v>501</v>
      </c>
      <c r="D248" s="173">
        <v>3333</v>
      </c>
      <c r="E248" s="173">
        <v>10003</v>
      </c>
      <c r="F248" s="173">
        <v>1</v>
      </c>
      <c r="G248" s="174">
        <v>25</v>
      </c>
      <c r="H248" s="175">
        <v>210</v>
      </c>
    </row>
    <row r="249" spans="1:8" x14ac:dyDescent="0.25">
      <c r="A249" s="172">
        <v>43083</v>
      </c>
      <c r="B249" s="358">
        <v>4772222100021</v>
      </c>
      <c r="C249" s="173">
        <v>477</v>
      </c>
      <c r="D249" s="173">
        <v>2222</v>
      </c>
      <c r="E249" s="173">
        <v>10002</v>
      </c>
      <c r="F249" s="173">
        <v>1</v>
      </c>
      <c r="G249" s="174">
        <v>24</v>
      </c>
      <c r="H249" s="175">
        <v>160</v>
      </c>
    </row>
    <row r="250" spans="1:8" x14ac:dyDescent="0.25">
      <c r="A250" s="172">
        <v>43084</v>
      </c>
      <c r="B250" s="358">
        <v>4774444100071</v>
      </c>
      <c r="C250" s="173">
        <v>477</v>
      </c>
      <c r="D250" s="173">
        <v>4444</v>
      </c>
      <c r="E250" s="173">
        <v>10007</v>
      </c>
      <c r="F250" s="173">
        <v>1</v>
      </c>
      <c r="G250" s="174">
        <v>20</v>
      </c>
      <c r="H250" s="175">
        <v>140</v>
      </c>
    </row>
    <row r="251" spans="1:8" x14ac:dyDescent="0.25">
      <c r="A251" s="172">
        <v>43087</v>
      </c>
      <c r="B251" s="358">
        <v>4772222100051</v>
      </c>
      <c r="C251" s="173">
        <v>477</v>
      </c>
      <c r="D251" s="173">
        <v>2222</v>
      </c>
      <c r="E251" s="173">
        <v>10005</v>
      </c>
      <c r="F251" s="173">
        <v>1</v>
      </c>
      <c r="G251" s="174">
        <v>19</v>
      </c>
      <c r="H251" s="175">
        <v>140</v>
      </c>
    </row>
    <row r="252" spans="1:8" x14ac:dyDescent="0.25">
      <c r="A252" s="172">
        <v>43088</v>
      </c>
      <c r="B252" s="358">
        <v>4772222100021</v>
      </c>
      <c r="C252" s="173">
        <v>477</v>
      </c>
      <c r="D252" s="173">
        <v>2222</v>
      </c>
      <c r="E252" s="173">
        <v>10002</v>
      </c>
      <c r="F252" s="173">
        <v>1</v>
      </c>
      <c r="G252" s="174">
        <v>9</v>
      </c>
      <c r="H252" s="175">
        <v>160</v>
      </c>
    </row>
    <row r="253" spans="1:8" x14ac:dyDescent="0.25">
      <c r="A253" s="172">
        <v>43089</v>
      </c>
      <c r="B253" s="358">
        <v>4772222100021</v>
      </c>
      <c r="C253" s="173">
        <v>477</v>
      </c>
      <c r="D253" s="173">
        <v>2222</v>
      </c>
      <c r="E253" s="173">
        <v>10002</v>
      </c>
      <c r="F253" s="173">
        <v>1</v>
      </c>
      <c r="G253" s="174">
        <v>14</v>
      </c>
      <c r="H253" s="175">
        <v>160</v>
      </c>
    </row>
    <row r="254" spans="1:8" x14ac:dyDescent="0.25">
      <c r="A254" s="172">
        <v>43090</v>
      </c>
      <c r="B254" s="358">
        <v>4772222100051</v>
      </c>
      <c r="C254" s="173">
        <v>477</v>
      </c>
      <c r="D254" s="173">
        <v>2222</v>
      </c>
      <c r="E254" s="173">
        <v>10005</v>
      </c>
      <c r="F254" s="173">
        <v>1</v>
      </c>
      <c r="G254" s="174">
        <v>6</v>
      </c>
      <c r="H254" s="175">
        <v>140</v>
      </c>
    </row>
    <row r="255" spans="1:8" x14ac:dyDescent="0.25">
      <c r="A255" s="172">
        <v>43091</v>
      </c>
      <c r="B255" s="358">
        <v>4772222100021</v>
      </c>
      <c r="C255" s="173">
        <v>477</v>
      </c>
      <c r="D255" s="173">
        <v>2222</v>
      </c>
      <c r="E255" s="173">
        <v>10002</v>
      </c>
      <c r="F255" s="173">
        <v>1</v>
      </c>
      <c r="G255" s="174">
        <v>26</v>
      </c>
      <c r="H255" s="175">
        <v>160</v>
      </c>
    </row>
    <row r="256" spans="1:8" x14ac:dyDescent="0.25">
      <c r="A256" s="172">
        <v>43094</v>
      </c>
      <c r="B256" s="358">
        <v>4772222100021</v>
      </c>
      <c r="C256" s="173">
        <v>477</v>
      </c>
      <c r="D256" s="173">
        <v>2222</v>
      </c>
      <c r="E256" s="173">
        <v>10002</v>
      </c>
      <c r="F256" s="173">
        <v>1</v>
      </c>
      <c r="G256" s="174">
        <v>22</v>
      </c>
      <c r="H256" s="175">
        <v>160</v>
      </c>
    </row>
    <row r="257" spans="1:8" x14ac:dyDescent="0.25">
      <c r="A257" s="172">
        <v>43095</v>
      </c>
      <c r="B257" s="358">
        <v>4772222100021</v>
      </c>
      <c r="C257" s="173">
        <v>477</v>
      </c>
      <c r="D257" s="173">
        <v>2222</v>
      </c>
      <c r="E257" s="173">
        <v>10002</v>
      </c>
      <c r="F257" s="173">
        <v>1</v>
      </c>
      <c r="G257" s="174">
        <v>24</v>
      </c>
      <c r="H257" s="175">
        <v>160</v>
      </c>
    </row>
    <row r="258" spans="1:8" x14ac:dyDescent="0.25">
      <c r="A258" s="172">
        <v>43096</v>
      </c>
      <c r="B258" s="358">
        <v>5023333100041</v>
      </c>
      <c r="C258" s="173">
        <v>502</v>
      </c>
      <c r="D258" s="173">
        <v>3333</v>
      </c>
      <c r="E258" s="173">
        <v>10004</v>
      </c>
      <c r="F258" s="173">
        <v>1</v>
      </c>
      <c r="G258" s="174">
        <v>10</v>
      </c>
      <c r="H258" s="175">
        <v>200</v>
      </c>
    </row>
    <row r="259" spans="1:8" x14ac:dyDescent="0.25">
      <c r="A259" s="172">
        <v>43097</v>
      </c>
      <c r="B259" s="358">
        <v>5023333100041</v>
      </c>
      <c r="C259" s="173">
        <v>502</v>
      </c>
      <c r="D259" s="173">
        <v>3333</v>
      </c>
      <c r="E259" s="173">
        <v>10004</v>
      </c>
      <c r="F259" s="173">
        <v>1</v>
      </c>
      <c r="G259" s="174">
        <v>9</v>
      </c>
      <c r="H259" s="175">
        <v>200</v>
      </c>
    </row>
    <row r="260" spans="1:8" x14ac:dyDescent="0.25">
      <c r="A260" s="172">
        <v>43098</v>
      </c>
      <c r="B260" s="358">
        <v>4774444100071</v>
      </c>
      <c r="C260" s="173">
        <v>477</v>
      </c>
      <c r="D260" s="173">
        <v>4444</v>
      </c>
      <c r="E260" s="173">
        <v>10007</v>
      </c>
      <c r="F260" s="173">
        <v>1</v>
      </c>
      <c r="G260" s="174">
        <v>12</v>
      </c>
      <c r="H260" s="175">
        <v>140</v>
      </c>
    </row>
    <row r="261" spans="1:8" x14ac:dyDescent="0.25">
      <c r="A261" s="172">
        <v>43101</v>
      </c>
      <c r="B261" s="358">
        <v>3021111100011</v>
      </c>
      <c r="C261" s="173">
        <v>302</v>
      </c>
      <c r="D261" s="173">
        <v>1111</v>
      </c>
      <c r="E261" s="173">
        <v>10001</v>
      </c>
      <c r="F261" s="173">
        <v>1</v>
      </c>
      <c r="G261" s="174">
        <v>23</v>
      </c>
      <c r="H261" s="175">
        <v>210</v>
      </c>
    </row>
    <row r="262" spans="1:8" x14ac:dyDescent="0.25">
      <c r="A262" s="172">
        <v>43102</v>
      </c>
      <c r="B262" s="358">
        <v>4772222100061</v>
      </c>
      <c r="C262" s="173">
        <v>477</v>
      </c>
      <c r="D262" s="173">
        <v>2222</v>
      </c>
      <c r="E262" s="173">
        <v>10006</v>
      </c>
      <c r="F262" s="173">
        <v>1</v>
      </c>
      <c r="G262" s="174">
        <v>26</v>
      </c>
      <c r="H262" s="175">
        <v>110.00000000000001</v>
      </c>
    </row>
    <row r="263" spans="1:8" x14ac:dyDescent="0.25">
      <c r="A263" s="172">
        <v>43103</v>
      </c>
      <c r="B263" s="358">
        <v>4772222100021</v>
      </c>
      <c r="C263" s="173">
        <v>477</v>
      </c>
      <c r="D263" s="173">
        <v>2222</v>
      </c>
      <c r="E263" s="173">
        <v>10002</v>
      </c>
      <c r="F263" s="173">
        <v>1</v>
      </c>
      <c r="G263" s="174">
        <v>11</v>
      </c>
      <c r="H263" s="175">
        <v>160</v>
      </c>
    </row>
    <row r="264" spans="1:8" x14ac:dyDescent="0.25">
      <c r="A264" s="172">
        <v>43104</v>
      </c>
      <c r="B264" s="358">
        <v>5023333100041</v>
      </c>
      <c r="C264" s="173">
        <v>502</v>
      </c>
      <c r="D264" s="173">
        <v>3333</v>
      </c>
      <c r="E264" s="173">
        <v>10004</v>
      </c>
      <c r="F264" s="173">
        <v>1</v>
      </c>
      <c r="G264" s="174">
        <v>24</v>
      </c>
      <c r="H264" s="175">
        <v>200</v>
      </c>
    </row>
    <row r="265" spans="1:8" x14ac:dyDescent="0.25">
      <c r="A265" s="172">
        <v>43105</v>
      </c>
      <c r="B265" s="358">
        <v>4772222100061</v>
      </c>
      <c r="C265" s="173">
        <v>477</v>
      </c>
      <c r="D265" s="173">
        <v>2222</v>
      </c>
      <c r="E265" s="173">
        <v>10006</v>
      </c>
      <c r="F265" s="173">
        <v>1</v>
      </c>
      <c r="G265" s="174">
        <v>26</v>
      </c>
      <c r="H265" s="175">
        <v>110.00000000000001</v>
      </c>
    </row>
    <row r="266" spans="1:8" x14ac:dyDescent="0.25">
      <c r="A266" s="172">
        <v>43108</v>
      </c>
      <c r="B266" s="358">
        <v>4772222100061</v>
      </c>
      <c r="C266" s="173">
        <v>477</v>
      </c>
      <c r="D266" s="173">
        <v>2222</v>
      </c>
      <c r="E266" s="173">
        <v>10006</v>
      </c>
      <c r="F266" s="173">
        <v>1</v>
      </c>
      <c r="G266" s="174">
        <v>16</v>
      </c>
      <c r="H266" s="175">
        <v>110.00000000000001</v>
      </c>
    </row>
    <row r="267" spans="1:8" x14ac:dyDescent="0.25">
      <c r="A267" s="172">
        <v>43109</v>
      </c>
      <c r="B267" s="358">
        <v>4772222100021</v>
      </c>
      <c r="C267" s="173">
        <v>477</v>
      </c>
      <c r="D267" s="173">
        <v>2222</v>
      </c>
      <c r="E267" s="173">
        <v>10002</v>
      </c>
      <c r="F267" s="173">
        <v>1</v>
      </c>
      <c r="G267" s="174">
        <v>26</v>
      </c>
      <c r="H267" s="175">
        <v>160</v>
      </c>
    </row>
    <row r="268" spans="1:8" x14ac:dyDescent="0.25">
      <c r="A268" s="172">
        <v>43108</v>
      </c>
      <c r="B268" s="358">
        <v>4772222100021</v>
      </c>
      <c r="C268" s="173">
        <v>477</v>
      </c>
      <c r="D268" s="173">
        <v>2222</v>
      </c>
      <c r="E268" s="173">
        <v>10002</v>
      </c>
      <c r="F268" s="173">
        <v>1</v>
      </c>
      <c r="G268" s="174">
        <v>8</v>
      </c>
      <c r="H268" s="175">
        <v>160</v>
      </c>
    </row>
    <row r="269" spans="1:8" x14ac:dyDescent="0.25">
      <c r="A269" s="172">
        <v>43108</v>
      </c>
      <c r="B269" s="358">
        <v>4772222100061</v>
      </c>
      <c r="C269" s="173">
        <v>477</v>
      </c>
      <c r="D269" s="173">
        <v>2222</v>
      </c>
      <c r="E269" s="173">
        <v>10006</v>
      </c>
      <c r="F269" s="173">
        <v>1</v>
      </c>
      <c r="G269" s="174">
        <v>26</v>
      </c>
      <c r="H269" s="175">
        <v>110.00000000000001</v>
      </c>
    </row>
    <row r="270" spans="1:8" x14ac:dyDescent="0.25">
      <c r="A270" s="172">
        <v>43109</v>
      </c>
      <c r="B270" s="358">
        <v>5013333100031</v>
      </c>
      <c r="C270" s="173">
        <v>501</v>
      </c>
      <c r="D270" s="173">
        <v>3333</v>
      </c>
      <c r="E270" s="173">
        <v>10003</v>
      </c>
      <c r="F270" s="173">
        <v>1</v>
      </c>
      <c r="G270" s="174">
        <v>25</v>
      </c>
      <c r="H270" s="175">
        <v>210</v>
      </c>
    </row>
    <row r="271" spans="1:8" x14ac:dyDescent="0.25">
      <c r="A271" s="172">
        <v>43115</v>
      </c>
      <c r="B271" s="358">
        <v>4772222100051</v>
      </c>
      <c r="C271" s="173">
        <v>477</v>
      </c>
      <c r="D271" s="173">
        <v>2222</v>
      </c>
      <c r="E271" s="173">
        <v>10005</v>
      </c>
      <c r="F271" s="173">
        <v>1</v>
      </c>
      <c r="G271" s="174">
        <v>11</v>
      </c>
      <c r="H271" s="175">
        <v>140</v>
      </c>
    </row>
    <row r="272" spans="1:8" x14ac:dyDescent="0.25">
      <c r="A272" s="172">
        <v>43116</v>
      </c>
      <c r="B272" s="358">
        <v>4772222100061</v>
      </c>
      <c r="C272" s="173">
        <v>477</v>
      </c>
      <c r="D272" s="173">
        <v>2222</v>
      </c>
      <c r="E272" s="173">
        <v>10006</v>
      </c>
      <c r="F272" s="173">
        <v>1</v>
      </c>
      <c r="G272" s="174">
        <v>16</v>
      </c>
      <c r="H272" s="175">
        <v>110.00000000000001</v>
      </c>
    </row>
    <row r="273" spans="1:8" x14ac:dyDescent="0.25">
      <c r="A273" s="172">
        <v>43117</v>
      </c>
      <c r="B273" s="358">
        <v>4772222100061</v>
      </c>
      <c r="C273" s="173">
        <v>477</v>
      </c>
      <c r="D273" s="173">
        <v>2222</v>
      </c>
      <c r="E273" s="173">
        <v>10006</v>
      </c>
      <c r="F273" s="173">
        <v>1</v>
      </c>
      <c r="G273" s="174">
        <v>26</v>
      </c>
      <c r="H273" s="175">
        <v>110.00000000000001</v>
      </c>
    </row>
    <row r="274" spans="1:8" x14ac:dyDescent="0.25">
      <c r="A274" s="172">
        <v>43118</v>
      </c>
      <c r="B274" s="358">
        <v>4772222100061</v>
      </c>
      <c r="C274" s="173">
        <v>477</v>
      </c>
      <c r="D274" s="173">
        <v>2222</v>
      </c>
      <c r="E274" s="173">
        <v>10006</v>
      </c>
      <c r="F274" s="173">
        <v>1</v>
      </c>
      <c r="G274" s="174">
        <v>16</v>
      </c>
      <c r="H274" s="175">
        <v>110.00000000000001</v>
      </c>
    </row>
    <row r="275" spans="1:8" x14ac:dyDescent="0.25">
      <c r="A275" s="172">
        <v>43119</v>
      </c>
      <c r="B275" s="358">
        <v>4772222100051</v>
      </c>
      <c r="C275" s="173">
        <v>477</v>
      </c>
      <c r="D275" s="173">
        <v>2222</v>
      </c>
      <c r="E275" s="173">
        <v>10005</v>
      </c>
      <c r="F275" s="173">
        <v>1</v>
      </c>
      <c r="G275" s="174">
        <v>13</v>
      </c>
      <c r="H275" s="175">
        <v>140</v>
      </c>
    </row>
    <row r="276" spans="1:8" x14ac:dyDescent="0.25">
      <c r="A276" s="172">
        <v>43122</v>
      </c>
      <c r="B276" s="358">
        <v>4772222100021</v>
      </c>
      <c r="C276" s="173">
        <v>477</v>
      </c>
      <c r="D276" s="173">
        <v>2222</v>
      </c>
      <c r="E276" s="173">
        <v>10002</v>
      </c>
      <c r="F276" s="173">
        <v>1</v>
      </c>
      <c r="G276" s="174">
        <v>24</v>
      </c>
      <c r="H276" s="175">
        <v>160</v>
      </c>
    </row>
    <row r="277" spans="1:8" x14ac:dyDescent="0.25">
      <c r="A277" s="172">
        <v>43123</v>
      </c>
      <c r="B277" s="358">
        <v>4772222100061</v>
      </c>
      <c r="C277" s="173">
        <v>477</v>
      </c>
      <c r="D277" s="173">
        <v>2222</v>
      </c>
      <c r="E277" s="173">
        <v>10006</v>
      </c>
      <c r="F277" s="173">
        <v>1</v>
      </c>
      <c r="G277" s="174">
        <v>9</v>
      </c>
      <c r="H277" s="175">
        <v>110.00000000000001</v>
      </c>
    </row>
    <row r="278" spans="1:8" x14ac:dyDescent="0.25">
      <c r="A278" s="172">
        <v>43124</v>
      </c>
      <c r="B278" s="358">
        <v>4772222100021</v>
      </c>
      <c r="C278" s="173">
        <v>477</v>
      </c>
      <c r="D278" s="173">
        <v>2222</v>
      </c>
      <c r="E278" s="173">
        <v>10002</v>
      </c>
      <c r="F278" s="173">
        <v>1</v>
      </c>
      <c r="G278" s="174">
        <v>10</v>
      </c>
      <c r="H278" s="175">
        <v>160</v>
      </c>
    </row>
    <row r="279" spans="1:8" x14ac:dyDescent="0.25">
      <c r="A279" s="172">
        <v>43125</v>
      </c>
      <c r="B279" s="358">
        <v>4772222100061</v>
      </c>
      <c r="C279" s="173">
        <v>477</v>
      </c>
      <c r="D279" s="173">
        <v>2222</v>
      </c>
      <c r="E279" s="173">
        <v>10006</v>
      </c>
      <c r="F279" s="173">
        <v>1</v>
      </c>
      <c r="G279" s="174">
        <v>22</v>
      </c>
      <c r="H279" s="175">
        <v>110.00000000000001</v>
      </c>
    </row>
    <row r="280" spans="1:8" x14ac:dyDescent="0.25">
      <c r="A280" s="172">
        <v>43126</v>
      </c>
      <c r="B280" s="358">
        <v>4772222100061</v>
      </c>
      <c r="C280" s="173">
        <v>477</v>
      </c>
      <c r="D280" s="173">
        <v>2222</v>
      </c>
      <c r="E280" s="173">
        <v>10006</v>
      </c>
      <c r="F280" s="173">
        <v>1</v>
      </c>
      <c r="G280" s="174">
        <v>11</v>
      </c>
      <c r="H280" s="175">
        <v>110.00000000000001</v>
      </c>
    </row>
    <row r="281" spans="1:8" x14ac:dyDescent="0.25">
      <c r="A281" s="172">
        <v>43129</v>
      </c>
      <c r="B281" s="358">
        <v>4772222100051</v>
      </c>
      <c r="C281" s="173">
        <v>477</v>
      </c>
      <c r="D281" s="173">
        <v>2222</v>
      </c>
      <c r="E281" s="173">
        <v>10005</v>
      </c>
      <c r="F281" s="173">
        <v>1</v>
      </c>
      <c r="G281" s="174">
        <v>10</v>
      </c>
      <c r="H281" s="175">
        <v>140</v>
      </c>
    </row>
    <row r="282" spans="1:8" x14ac:dyDescent="0.25">
      <c r="A282" s="172">
        <v>43130</v>
      </c>
      <c r="B282" s="358">
        <v>4774444100071</v>
      </c>
      <c r="C282" s="173">
        <v>477</v>
      </c>
      <c r="D282" s="173">
        <v>4444</v>
      </c>
      <c r="E282" s="173">
        <v>10007</v>
      </c>
      <c r="F282" s="173">
        <v>1</v>
      </c>
      <c r="G282" s="174">
        <v>17</v>
      </c>
      <c r="H282" s="175">
        <v>140</v>
      </c>
    </row>
    <row r="283" spans="1:8" x14ac:dyDescent="0.25">
      <c r="A283" s="172">
        <v>43131</v>
      </c>
      <c r="B283" s="358">
        <v>4772222100051</v>
      </c>
      <c r="C283" s="173">
        <v>477</v>
      </c>
      <c r="D283" s="173">
        <v>2222</v>
      </c>
      <c r="E283" s="173">
        <v>10005</v>
      </c>
      <c r="F283" s="173">
        <v>1</v>
      </c>
      <c r="G283" s="174">
        <v>14</v>
      </c>
      <c r="H283" s="175">
        <v>140</v>
      </c>
    </row>
    <row r="284" spans="1:8" x14ac:dyDescent="0.25">
      <c r="A284" s="172">
        <v>43132</v>
      </c>
      <c r="B284" s="358">
        <v>4772222100021</v>
      </c>
      <c r="C284" s="173">
        <v>477</v>
      </c>
      <c r="D284" s="173">
        <v>2222</v>
      </c>
      <c r="E284" s="173">
        <v>10002</v>
      </c>
      <c r="F284" s="173">
        <v>1</v>
      </c>
      <c r="G284" s="174">
        <v>12</v>
      </c>
      <c r="H284" s="175">
        <v>160</v>
      </c>
    </row>
    <row r="285" spans="1:8" x14ac:dyDescent="0.25">
      <c r="A285" s="172">
        <v>43133</v>
      </c>
      <c r="B285" s="358">
        <v>4772222100021</v>
      </c>
      <c r="C285" s="173">
        <v>477</v>
      </c>
      <c r="D285" s="173">
        <v>2222</v>
      </c>
      <c r="E285" s="173">
        <v>10002</v>
      </c>
      <c r="F285" s="173">
        <v>1</v>
      </c>
      <c r="G285" s="174">
        <v>25</v>
      </c>
      <c r="H285" s="175">
        <v>160</v>
      </c>
    </row>
    <row r="286" spans="1:8" x14ac:dyDescent="0.25">
      <c r="A286" s="172">
        <v>43136</v>
      </c>
      <c r="B286" s="358">
        <v>4772222100061</v>
      </c>
      <c r="C286" s="173">
        <v>477</v>
      </c>
      <c r="D286" s="173">
        <v>2222</v>
      </c>
      <c r="E286" s="173">
        <v>10006</v>
      </c>
      <c r="F286" s="173">
        <v>1</v>
      </c>
      <c r="G286" s="174">
        <v>25</v>
      </c>
      <c r="H286" s="175">
        <v>110.00000000000001</v>
      </c>
    </row>
    <row r="287" spans="1:8" x14ac:dyDescent="0.25">
      <c r="A287" s="172">
        <v>43137</v>
      </c>
      <c r="B287" s="358">
        <v>4772222100021</v>
      </c>
      <c r="C287" s="173">
        <v>477</v>
      </c>
      <c r="D287" s="173">
        <v>2222</v>
      </c>
      <c r="E287" s="173">
        <v>10002</v>
      </c>
      <c r="F287" s="173">
        <v>1</v>
      </c>
      <c r="G287" s="174">
        <v>9</v>
      </c>
      <c r="H287" s="175">
        <v>160</v>
      </c>
    </row>
    <row r="288" spans="1:8" x14ac:dyDescent="0.25">
      <c r="A288" s="172">
        <v>43138</v>
      </c>
      <c r="B288" s="358">
        <v>4772222100021</v>
      </c>
      <c r="C288" s="173">
        <v>477</v>
      </c>
      <c r="D288" s="173">
        <v>2222</v>
      </c>
      <c r="E288" s="173">
        <v>10002</v>
      </c>
      <c r="F288" s="173">
        <v>1</v>
      </c>
      <c r="G288" s="174">
        <v>14</v>
      </c>
      <c r="H288" s="175">
        <v>160</v>
      </c>
    </row>
    <row r="289" spans="1:8" x14ac:dyDescent="0.25">
      <c r="A289" s="172">
        <v>43139</v>
      </c>
      <c r="B289" s="358">
        <v>4772222100021</v>
      </c>
      <c r="C289" s="173">
        <v>477</v>
      </c>
      <c r="D289" s="173">
        <v>2222</v>
      </c>
      <c r="E289" s="173">
        <v>10002</v>
      </c>
      <c r="F289" s="173">
        <v>1</v>
      </c>
      <c r="G289" s="174">
        <v>11</v>
      </c>
      <c r="H289" s="175">
        <v>160</v>
      </c>
    </row>
    <row r="290" spans="1:8" x14ac:dyDescent="0.25">
      <c r="A290" s="172">
        <v>43140</v>
      </c>
      <c r="B290" s="358">
        <v>4772222100061</v>
      </c>
      <c r="C290" s="173">
        <v>477</v>
      </c>
      <c r="D290" s="173">
        <v>2222</v>
      </c>
      <c r="E290" s="173">
        <v>10006</v>
      </c>
      <c r="F290" s="173">
        <v>1</v>
      </c>
      <c r="G290" s="174">
        <v>26</v>
      </c>
      <c r="H290" s="175">
        <v>110.00000000000001</v>
      </c>
    </row>
    <row r="291" spans="1:8" x14ac:dyDescent="0.25">
      <c r="A291" s="172">
        <v>43137</v>
      </c>
      <c r="B291" s="358">
        <v>4772222100051</v>
      </c>
      <c r="C291" s="173">
        <v>477</v>
      </c>
      <c r="D291" s="173">
        <v>2222</v>
      </c>
      <c r="E291" s="173">
        <v>10005</v>
      </c>
      <c r="F291" s="173">
        <v>1</v>
      </c>
      <c r="G291" s="174">
        <v>11</v>
      </c>
      <c r="H291" s="175">
        <v>140</v>
      </c>
    </row>
    <row r="292" spans="1:8" x14ac:dyDescent="0.25">
      <c r="A292" s="172">
        <v>43138</v>
      </c>
      <c r="B292" s="358">
        <v>5023333100041</v>
      </c>
      <c r="C292" s="173">
        <v>502</v>
      </c>
      <c r="D292" s="173">
        <v>3333</v>
      </c>
      <c r="E292" s="173">
        <v>10004</v>
      </c>
      <c r="F292" s="173">
        <v>1</v>
      </c>
      <c r="G292" s="174">
        <v>13</v>
      </c>
      <c r="H292" s="175">
        <v>200</v>
      </c>
    </row>
    <row r="293" spans="1:8" x14ac:dyDescent="0.25">
      <c r="A293" s="172">
        <v>43139</v>
      </c>
      <c r="B293" s="358">
        <v>4772222100021</v>
      </c>
      <c r="C293" s="173">
        <v>477</v>
      </c>
      <c r="D293" s="173">
        <v>2222</v>
      </c>
      <c r="E293" s="173">
        <v>10002</v>
      </c>
      <c r="F293" s="173">
        <v>1</v>
      </c>
      <c r="G293" s="174">
        <v>8</v>
      </c>
      <c r="H293" s="175">
        <v>160</v>
      </c>
    </row>
    <row r="294" spans="1:8" x14ac:dyDescent="0.25">
      <c r="A294" s="172">
        <v>43140</v>
      </c>
      <c r="B294" s="358">
        <v>4772222100021</v>
      </c>
      <c r="C294" s="173">
        <v>477</v>
      </c>
      <c r="D294" s="173">
        <v>2222</v>
      </c>
      <c r="E294" s="173">
        <v>10002</v>
      </c>
      <c r="F294" s="173">
        <v>1</v>
      </c>
      <c r="G294" s="174">
        <v>8</v>
      </c>
      <c r="H294" s="175">
        <v>160</v>
      </c>
    </row>
    <row r="295" spans="1:8" x14ac:dyDescent="0.25">
      <c r="A295" s="172">
        <v>43143</v>
      </c>
      <c r="B295" s="358">
        <v>4772222100021</v>
      </c>
      <c r="C295" s="173">
        <v>477</v>
      </c>
      <c r="D295" s="173">
        <v>2222</v>
      </c>
      <c r="E295" s="173">
        <v>10002</v>
      </c>
      <c r="F295" s="173">
        <v>1</v>
      </c>
      <c r="G295" s="174">
        <v>19</v>
      </c>
      <c r="H295" s="175">
        <v>160</v>
      </c>
    </row>
    <row r="296" spans="1:8" x14ac:dyDescent="0.25">
      <c r="A296" s="172">
        <v>43144</v>
      </c>
      <c r="B296" s="358">
        <v>5013333100031</v>
      </c>
      <c r="C296" s="173">
        <v>501</v>
      </c>
      <c r="D296" s="173">
        <v>3333</v>
      </c>
      <c r="E296" s="173">
        <v>10003</v>
      </c>
      <c r="F296" s="173">
        <v>1</v>
      </c>
      <c r="G296" s="174">
        <v>21</v>
      </c>
      <c r="H296" s="175">
        <v>210</v>
      </c>
    </row>
    <row r="297" spans="1:8" x14ac:dyDescent="0.25">
      <c r="A297" s="172">
        <v>43145</v>
      </c>
      <c r="B297" s="358">
        <v>5013333100031</v>
      </c>
      <c r="C297" s="173">
        <v>501</v>
      </c>
      <c r="D297" s="173">
        <v>3333</v>
      </c>
      <c r="E297" s="173">
        <v>10003</v>
      </c>
      <c r="F297" s="173">
        <v>1</v>
      </c>
      <c r="G297" s="174">
        <v>13</v>
      </c>
      <c r="H297" s="175">
        <v>210</v>
      </c>
    </row>
    <row r="298" spans="1:8" x14ac:dyDescent="0.25">
      <c r="A298" s="172">
        <v>43146</v>
      </c>
      <c r="B298" s="358">
        <v>4772222100061</v>
      </c>
      <c r="C298" s="173">
        <v>477</v>
      </c>
      <c r="D298" s="173">
        <v>2222</v>
      </c>
      <c r="E298" s="173">
        <v>10006</v>
      </c>
      <c r="F298" s="173">
        <v>1</v>
      </c>
      <c r="G298" s="174">
        <v>24</v>
      </c>
      <c r="H298" s="175">
        <v>110.00000000000001</v>
      </c>
    </row>
    <row r="299" spans="1:8" x14ac:dyDescent="0.25">
      <c r="A299" s="172">
        <v>43147</v>
      </c>
      <c r="B299" s="358">
        <v>5023333100041</v>
      </c>
      <c r="C299" s="173">
        <v>502</v>
      </c>
      <c r="D299" s="173">
        <v>3333</v>
      </c>
      <c r="E299" s="173">
        <v>10004</v>
      </c>
      <c r="F299" s="173">
        <v>1</v>
      </c>
      <c r="G299" s="174">
        <v>18</v>
      </c>
      <c r="H299" s="175">
        <v>200</v>
      </c>
    </row>
    <row r="300" spans="1:8" x14ac:dyDescent="0.25">
      <c r="A300" s="172">
        <v>43150</v>
      </c>
      <c r="B300" s="358">
        <v>4772222100021</v>
      </c>
      <c r="C300" s="173">
        <v>477</v>
      </c>
      <c r="D300" s="173">
        <v>2222</v>
      </c>
      <c r="E300" s="173">
        <v>10002</v>
      </c>
      <c r="F300" s="173">
        <v>1</v>
      </c>
      <c r="G300" s="174">
        <v>21</v>
      </c>
      <c r="H300" s="175">
        <v>160</v>
      </c>
    </row>
    <row r="301" spans="1:8" x14ac:dyDescent="0.25">
      <c r="A301" s="172">
        <v>43153</v>
      </c>
      <c r="B301" s="358">
        <v>3011111100011</v>
      </c>
      <c r="C301" s="173">
        <v>301</v>
      </c>
      <c r="D301" s="173">
        <v>1111</v>
      </c>
      <c r="E301" s="173">
        <v>10001</v>
      </c>
      <c r="F301" s="173">
        <v>1</v>
      </c>
      <c r="G301" s="174">
        <v>10</v>
      </c>
      <c r="H301" s="175">
        <v>210</v>
      </c>
    </row>
    <row r="302" spans="1:8" x14ac:dyDescent="0.25">
      <c r="A302" s="172">
        <v>43154</v>
      </c>
      <c r="B302" s="358">
        <v>4772222100021</v>
      </c>
      <c r="C302" s="173">
        <v>477</v>
      </c>
      <c r="D302" s="173">
        <v>2222</v>
      </c>
      <c r="E302" s="173">
        <v>10002</v>
      </c>
      <c r="F302" s="173">
        <v>1</v>
      </c>
      <c r="G302" s="174">
        <v>21</v>
      </c>
      <c r="H302" s="175">
        <v>160</v>
      </c>
    </row>
    <row r="303" spans="1:8" x14ac:dyDescent="0.25">
      <c r="A303" s="172">
        <v>43157</v>
      </c>
      <c r="B303" s="358">
        <v>4772222100051</v>
      </c>
      <c r="C303" s="173">
        <v>477</v>
      </c>
      <c r="D303" s="173">
        <v>2222</v>
      </c>
      <c r="E303" s="173">
        <v>10005</v>
      </c>
      <c r="F303" s="173">
        <v>1</v>
      </c>
      <c r="G303" s="174">
        <v>16</v>
      </c>
      <c r="H303" s="175">
        <v>140</v>
      </c>
    </row>
    <row r="304" spans="1:8" x14ac:dyDescent="0.25">
      <c r="A304" s="172">
        <v>43158</v>
      </c>
      <c r="B304" s="358">
        <v>4772222100061</v>
      </c>
      <c r="C304" s="173">
        <v>477</v>
      </c>
      <c r="D304" s="173">
        <v>2222</v>
      </c>
      <c r="E304" s="173">
        <v>10006</v>
      </c>
      <c r="F304" s="173">
        <v>1</v>
      </c>
      <c r="G304" s="174">
        <v>17</v>
      </c>
      <c r="H304" s="175">
        <v>110.00000000000001</v>
      </c>
    </row>
    <row r="305" spans="1:8" x14ac:dyDescent="0.25">
      <c r="A305" s="172">
        <v>43159</v>
      </c>
      <c r="B305" s="358">
        <v>4772222100061</v>
      </c>
      <c r="C305" s="173">
        <v>477</v>
      </c>
      <c r="D305" s="173">
        <v>2222</v>
      </c>
      <c r="E305" s="173">
        <v>10006</v>
      </c>
      <c r="F305" s="173">
        <v>1</v>
      </c>
      <c r="G305" s="174">
        <v>26</v>
      </c>
      <c r="H305" s="175">
        <v>110.00000000000001</v>
      </c>
    </row>
    <row r="306" spans="1:8" x14ac:dyDescent="0.25">
      <c r="A306" s="172">
        <v>43164</v>
      </c>
      <c r="B306" s="358">
        <v>4774444100071</v>
      </c>
      <c r="C306" s="173">
        <v>477</v>
      </c>
      <c r="D306" s="173">
        <v>4444</v>
      </c>
      <c r="E306" s="173">
        <v>10007</v>
      </c>
      <c r="F306" s="173">
        <v>1</v>
      </c>
      <c r="G306" s="174">
        <v>11</v>
      </c>
      <c r="H306" s="175">
        <v>140</v>
      </c>
    </row>
    <row r="307" spans="1:8" x14ac:dyDescent="0.25">
      <c r="A307" s="172">
        <v>43165</v>
      </c>
      <c r="B307" s="358">
        <v>4772222100021</v>
      </c>
      <c r="C307" s="173">
        <v>477</v>
      </c>
      <c r="D307" s="173">
        <v>2222</v>
      </c>
      <c r="E307" s="173">
        <v>10002</v>
      </c>
      <c r="F307" s="173">
        <v>1</v>
      </c>
      <c r="G307" s="174">
        <v>17</v>
      </c>
      <c r="H307" s="175">
        <v>160</v>
      </c>
    </row>
    <row r="308" spans="1:8" x14ac:dyDescent="0.25">
      <c r="A308" s="172">
        <v>43166</v>
      </c>
      <c r="B308" s="358">
        <v>4772222100021</v>
      </c>
      <c r="C308" s="173">
        <v>477</v>
      </c>
      <c r="D308" s="173">
        <v>2222</v>
      </c>
      <c r="E308" s="173">
        <v>10002</v>
      </c>
      <c r="F308" s="173">
        <v>1</v>
      </c>
      <c r="G308" s="174">
        <v>26</v>
      </c>
      <c r="H308" s="175">
        <v>160</v>
      </c>
    </row>
    <row r="309" spans="1:8" x14ac:dyDescent="0.25">
      <c r="A309" s="172">
        <v>43167</v>
      </c>
      <c r="B309" s="358">
        <v>5013333100031</v>
      </c>
      <c r="C309" s="173">
        <v>501</v>
      </c>
      <c r="D309" s="173">
        <v>3333</v>
      </c>
      <c r="E309" s="173">
        <v>10003</v>
      </c>
      <c r="F309" s="173">
        <v>1</v>
      </c>
      <c r="G309" s="174">
        <v>9</v>
      </c>
      <c r="H309" s="175">
        <v>210</v>
      </c>
    </row>
    <row r="310" spans="1:8" x14ac:dyDescent="0.25">
      <c r="A310" s="172">
        <v>43168</v>
      </c>
      <c r="B310" s="358">
        <v>5013333100031</v>
      </c>
      <c r="C310" s="173">
        <v>501</v>
      </c>
      <c r="D310" s="173">
        <v>3333</v>
      </c>
      <c r="E310" s="173">
        <v>10003</v>
      </c>
      <c r="F310" s="173">
        <v>1</v>
      </c>
      <c r="G310" s="174">
        <v>23</v>
      </c>
      <c r="H310" s="175">
        <v>210</v>
      </c>
    </row>
    <row r="311" spans="1:8" x14ac:dyDescent="0.25">
      <c r="A311" s="172">
        <v>43171</v>
      </c>
      <c r="B311" s="358">
        <v>5013333100031</v>
      </c>
      <c r="C311" s="173">
        <v>501</v>
      </c>
      <c r="D311" s="173">
        <v>3333</v>
      </c>
      <c r="E311" s="173">
        <v>10003</v>
      </c>
      <c r="F311" s="173">
        <v>1</v>
      </c>
      <c r="G311" s="174">
        <v>22</v>
      </c>
      <c r="H311" s="175">
        <v>210</v>
      </c>
    </row>
    <row r="312" spans="1:8" x14ac:dyDescent="0.25">
      <c r="A312" s="172">
        <v>43172</v>
      </c>
      <c r="B312" s="358">
        <v>4772222100051</v>
      </c>
      <c r="C312" s="173">
        <v>477</v>
      </c>
      <c r="D312" s="173">
        <v>2222</v>
      </c>
      <c r="E312" s="173">
        <v>10005</v>
      </c>
      <c r="F312" s="173">
        <v>1</v>
      </c>
      <c r="G312" s="174">
        <v>10</v>
      </c>
      <c r="H312" s="175">
        <v>140</v>
      </c>
    </row>
    <row r="313" spans="1:8" x14ac:dyDescent="0.25">
      <c r="A313" s="172">
        <v>43173</v>
      </c>
      <c r="B313" s="358">
        <v>4772222100021</v>
      </c>
      <c r="C313" s="173">
        <v>477</v>
      </c>
      <c r="D313" s="173">
        <v>2222</v>
      </c>
      <c r="E313" s="173">
        <v>10002</v>
      </c>
      <c r="F313" s="173">
        <v>1</v>
      </c>
      <c r="G313" s="174">
        <v>18</v>
      </c>
      <c r="H313" s="175">
        <v>160</v>
      </c>
    </row>
    <row r="314" spans="1:8" x14ac:dyDescent="0.25">
      <c r="A314" s="172">
        <v>43174</v>
      </c>
      <c r="B314" s="358">
        <v>4772222100021</v>
      </c>
      <c r="C314" s="173">
        <v>477</v>
      </c>
      <c r="D314" s="173">
        <v>2222</v>
      </c>
      <c r="E314" s="173">
        <v>10002</v>
      </c>
      <c r="F314" s="173">
        <v>1</v>
      </c>
      <c r="G314" s="174">
        <v>22</v>
      </c>
      <c r="H314" s="175">
        <v>160</v>
      </c>
    </row>
    <row r="315" spans="1:8" x14ac:dyDescent="0.25">
      <c r="A315" s="172">
        <v>43175</v>
      </c>
      <c r="B315" s="358">
        <v>4772222100061</v>
      </c>
      <c r="C315" s="173">
        <v>477</v>
      </c>
      <c r="D315" s="173">
        <v>2222</v>
      </c>
      <c r="E315" s="173">
        <v>10006</v>
      </c>
      <c r="F315" s="173">
        <v>1</v>
      </c>
      <c r="G315" s="174">
        <v>14</v>
      </c>
      <c r="H315" s="175">
        <v>110.00000000000001</v>
      </c>
    </row>
    <row r="316" spans="1:8" x14ac:dyDescent="0.25">
      <c r="A316" s="172">
        <v>43178</v>
      </c>
      <c r="B316" s="358">
        <v>5023333100041</v>
      </c>
      <c r="C316" s="173">
        <v>502</v>
      </c>
      <c r="D316" s="173">
        <v>3333</v>
      </c>
      <c r="E316" s="173">
        <v>10004</v>
      </c>
      <c r="F316" s="173">
        <v>1</v>
      </c>
      <c r="G316" s="174">
        <v>6</v>
      </c>
      <c r="H316" s="175">
        <v>200</v>
      </c>
    </row>
    <row r="317" spans="1:8" x14ac:dyDescent="0.25">
      <c r="A317" s="172">
        <v>43179</v>
      </c>
      <c r="B317" s="358">
        <v>5023333100041</v>
      </c>
      <c r="C317" s="173">
        <v>502</v>
      </c>
      <c r="D317" s="173">
        <v>3333</v>
      </c>
      <c r="E317" s="173">
        <v>10004</v>
      </c>
      <c r="F317" s="173">
        <v>1</v>
      </c>
      <c r="G317" s="174">
        <v>19</v>
      </c>
      <c r="H317" s="175">
        <v>200</v>
      </c>
    </row>
    <row r="318" spans="1:8" x14ac:dyDescent="0.25">
      <c r="A318" s="172">
        <v>43180</v>
      </c>
      <c r="B318" s="358">
        <v>4772222100021</v>
      </c>
      <c r="C318" s="173">
        <v>477</v>
      </c>
      <c r="D318" s="173">
        <v>2222</v>
      </c>
      <c r="E318" s="173">
        <v>10002</v>
      </c>
      <c r="F318" s="173">
        <v>1</v>
      </c>
      <c r="G318" s="174">
        <v>12</v>
      </c>
      <c r="H318" s="175">
        <v>160</v>
      </c>
    </row>
    <row r="319" spans="1:8" x14ac:dyDescent="0.25">
      <c r="A319" s="172">
        <v>43181</v>
      </c>
      <c r="B319" s="358">
        <v>4772222100021</v>
      </c>
      <c r="C319" s="173">
        <v>477</v>
      </c>
      <c r="D319" s="173">
        <v>2222</v>
      </c>
      <c r="E319" s="173">
        <v>10002</v>
      </c>
      <c r="F319" s="173">
        <v>1</v>
      </c>
      <c r="G319" s="174">
        <v>14</v>
      </c>
      <c r="H319" s="175">
        <v>160</v>
      </c>
    </row>
    <row r="320" spans="1:8" x14ac:dyDescent="0.25">
      <c r="A320" s="172">
        <v>43182</v>
      </c>
      <c r="B320" s="358">
        <v>4774444100071</v>
      </c>
      <c r="C320" s="173">
        <v>477</v>
      </c>
      <c r="D320" s="173">
        <v>4444</v>
      </c>
      <c r="E320" s="173">
        <v>10007</v>
      </c>
      <c r="F320" s="173">
        <v>1</v>
      </c>
      <c r="G320" s="174">
        <v>21</v>
      </c>
      <c r="H320" s="175">
        <v>140</v>
      </c>
    </row>
    <row r="321" spans="1:8" x14ac:dyDescent="0.25">
      <c r="A321" s="172">
        <v>43185</v>
      </c>
      <c r="B321" s="358">
        <v>3031111100011</v>
      </c>
      <c r="C321" s="173">
        <v>303</v>
      </c>
      <c r="D321" s="173">
        <v>1111</v>
      </c>
      <c r="E321" s="173">
        <v>10001</v>
      </c>
      <c r="F321" s="173">
        <v>1</v>
      </c>
      <c r="G321" s="174">
        <v>13</v>
      </c>
      <c r="H321" s="175">
        <v>210</v>
      </c>
    </row>
    <row r="322" spans="1:8" x14ac:dyDescent="0.25">
      <c r="A322" s="172">
        <v>43186</v>
      </c>
      <c r="B322" s="358">
        <v>4772222100051</v>
      </c>
      <c r="C322" s="173">
        <v>477</v>
      </c>
      <c r="D322" s="173">
        <v>2222</v>
      </c>
      <c r="E322" s="173">
        <v>10005</v>
      </c>
      <c r="F322" s="173">
        <v>1</v>
      </c>
      <c r="G322" s="174">
        <v>8</v>
      </c>
      <c r="H322" s="175">
        <v>140</v>
      </c>
    </row>
    <row r="323" spans="1:8" x14ac:dyDescent="0.25">
      <c r="A323" s="172">
        <v>43187</v>
      </c>
      <c r="B323" s="358">
        <v>4772222100061</v>
      </c>
      <c r="C323" s="173">
        <v>477</v>
      </c>
      <c r="D323" s="173">
        <v>2222</v>
      </c>
      <c r="E323" s="173">
        <v>10006</v>
      </c>
      <c r="F323" s="173">
        <v>1</v>
      </c>
      <c r="G323" s="174">
        <v>25</v>
      </c>
      <c r="H323" s="175">
        <v>110.00000000000001</v>
      </c>
    </row>
    <row r="324" spans="1:8" x14ac:dyDescent="0.25">
      <c r="A324" s="172">
        <v>43188</v>
      </c>
      <c r="B324" s="358">
        <v>4772222100021</v>
      </c>
      <c r="C324" s="173">
        <v>477</v>
      </c>
      <c r="D324" s="173">
        <v>2222</v>
      </c>
      <c r="E324" s="173">
        <v>10002</v>
      </c>
      <c r="F324" s="173">
        <v>1</v>
      </c>
      <c r="G324" s="174">
        <v>15</v>
      </c>
      <c r="H324" s="175">
        <v>160</v>
      </c>
    </row>
    <row r="325" spans="1:8" x14ac:dyDescent="0.25">
      <c r="A325" s="172">
        <v>43189</v>
      </c>
      <c r="B325" s="358">
        <v>5023333100041</v>
      </c>
      <c r="C325" s="173">
        <v>502</v>
      </c>
      <c r="D325" s="173">
        <v>3333</v>
      </c>
      <c r="E325" s="173">
        <v>10004</v>
      </c>
      <c r="F325" s="173">
        <v>1</v>
      </c>
      <c r="G325" s="174">
        <v>17</v>
      </c>
      <c r="H325" s="175">
        <v>200</v>
      </c>
    </row>
    <row r="326" spans="1:8" x14ac:dyDescent="0.25">
      <c r="A326" s="172">
        <v>43192</v>
      </c>
      <c r="B326" s="358">
        <v>5013333100031</v>
      </c>
      <c r="C326" s="173">
        <v>501</v>
      </c>
      <c r="D326" s="173">
        <v>3333</v>
      </c>
      <c r="E326" s="173">
        <v>10003</v>
      </c>
      <c r="F326" s="173">
        <v>1</v>
      </c>
      <c r="G326" s="174">
        <v>7</v>
      </c>
      <c r="H326" s="175">
        <v>210</v>
      </c>
    </row>
    <row r="327" spans="1:8" x14ac:dyDescent="0.25">
      <c r="A327" s="172">
        <v>43193</v>
      </c>
      <c r="B327" s="358">
        <v>4772222100051</v>
      </c>
      <c r="C327" s="173">
        <v>477</v>
      </c>
      <c r="D327" s="173">
        <v>2222</v>
      </c>
      <c r="E327" s="173">
        <v>10005</v>
      </c>
      <c r="F327" s="173">
        <v>1</v>
      </c>
      <c r="G327" s="174">
        <v>8</v>
      </c>
      <c r="H327" s="175">
        <v>140</v>
      </c>
    </row>
    <row r="328" spans="1:8" x14ac:dyDescent="0.25">
      <c r="A328" s="172">
        <v>43194</v>
      </c>
      <c r="B328" s="358">
        <v>4774444100071</v>
      </c>
      <c r="C328" s="173">
        <v>477</v>
      </c>
      <c r="D328" s="173">
        <v>4444</v>
      </c>
      <c r="E328" s="173">
        <v>10007</v>
      </c>
      <c r="F328" s="173">
        <v>1</v>
      </c>
      <c r="G328" s="174">
        <v>19</v>
      </c>
      <c r="H328" s="175">
        <v>140</v>
      </c>
    </row>
    <row r="329" spans="1:8" x14ac:dyDescent="0.25">
      <c r="A329" s="172">
        <v>43195</v>
      </c>
      <c r="B329" s="358">
        <v>5013333100031</v>
      </c>
      <c r="C329" s="173">
        <v>501</v>
      </c>
      <c r="D329" s="173">
        <v>3333</v>
      </c>
      <c r="E329" s="173">
        <v>10003</v>
      </c>
      <c r="F329" s="173">
        <v>1</v>
      </c>
      <c r="G329" s="174">
        <v>21</v>
      </c>
      <c r="H329" s="175">
        <v>210</v>
      </c>
    </row>
    <row r="330" spans="1:8" x14ac:dyDescent="0.25">
      <c r="A330" s="172">
        <v>43196</v>
      </c>
      <c r="B330" s="358">
        <v>4772222100021</v>
      </c>
      <c r="C330" s="173">
        <v>477</v>
      </c>
      <c r="D330" s="173">
        <v>2222</v>
      </c>
      <c r="E330" s="173">
        <v>10002</v>
      </c>
      <c r="F330" s="173">
        <v>1</v>
      </c>
      <c r="G330" s="174">
        <v>8</v>
      </c>
      <c r="H330" s="175">
        <v>160</v>
      </c>
    </row>
    <row r="331" spans="1:8" x14ac:dyDescent="0.25">
      <c r="A331" s="172">
        <v>43199</v>
      </c>
      <c r="B331" s="358">
        <v>5013333100031</v>
      </c>
      <c r="C331" s="173">
        <v>501</v>
      </c>
      <c r="D331" s="173">
        <v>3333</v>
      </c>
      <c r="E331" s="173">
        <v>10003</v>
      </c>
      <c r="F331" s="173">
        <v>1</v>
      </c>
      <c r="G331" s="174">
        <v>24</v>
      </c>
      <c r="H331" s="175">
        <v>210</v>
      </c>
    </row>
    <row r="332" spans="1:8" x14ac:dyDescent="0.25">
      <c r="A332" s="172">
        <v>43200</v>
      </c>
      <c r="B332" s="358">
        <v>5013333100031</v>
      </c>
      <c r="C332" s="173">
        <v>501</v>
      </c>
      <c r="D332" s="173">
        <v>3333</v>
      </c>
      <c r="E332" s="173">
        <v>10003</v>
      </c>
      <c r="F332" s="173">
        <v>1</v>
      </c>
      <c r="G332" s="174">
        <v>21</v>
      </c>
      <c r="H332" s="175">
        <v>210</v>
      </c>
    </row>
    <row r="333" spans="1:8" x14ac:dyDescent="0.25">
      <c r="A333" s="172">
        <v>43201</v>
      </c>
      <c r="B333" s="358">
        <v>3021111100011</v>
      </c>
      <c r="C333" s="173">
        <v>302</v>
      </c>
      <c r="D333" s="173">
        <v>1111</v>
      </c>
      <c r="E333" s="173">
        <v>10001</v>
      </c>
      <c r="F333" s="173">
        <v>1</v>
      </c>
      <c r="G333" s="174">
        <v>20</v>
      </c>
      <c r="H333" s="175">
        <v>210</v>
      </c>
    </row>
    <row r="334" spans="1:8" x14ac:dyDescent="0.25">
      <c r="A334" s="172">
        <v>43202</v>
      </c>
      <c r="B334" s="358">
        <v>4772222100021</v>
      </c>
      <c r="C334" s="173">
        <v>477</v>
      </c>
      <c r="D334" s="173">
        <v>2222</v>
      </c>
      <c r="E334" s="173">
        <v>10002</v>
      </c>
      <c r="F334" s="173">
        <v>1</v>
      </c>
      <c r="G334" s="174">
        <v>9</v>
      </c>
      <c r="H334" s="175">
        <v>160</v>
      </c>
    </row>
    <row r="335" spans="1:8" x14ac:dyDescent="0.25">
      <c r="A335" s="172">
        <v>43203</v>
      </c>
      <c r="B335" s="358">
        <v>4772222100061</v>
      </c>
      <c r="C335" s="173">
        <v>477</v>
      </c>
      <c r="D335" s="173">
        <v>2222</v>
      </c>
      <c r="E335" s="173">
        <v>10006</v>
      </c>
      <c r="F335" s="173">
        <v>1</v>
      </c>
      <c r="G335" s="174">
        <v>17</v>
      </c>
      <c r="H335" s="175">
        <v>110.00000000000001</v>
      </c>
    </row>
    <row r="336" spans="1:8" x14ac:dyDescent="0.25">
      <c r="A336" s="172">
        <v>43206</v>
      </c>
      <c r="B336" s="358">
        <v>5013333100031</v>
      </c>
      <c r="C336" s="173">
        <v>501</v>
      </c>
      <c r="D336" s="173">
        <v>3333</v>
      </c>
      <c r="E336" s="173">
        <v>10003</v>
      </c>
      <c r="F336" s="173">
        <v>1</v>
      </c>
      <c r="G336" s="174">
        <v>17</v>
      </c>
      <c r="H336" s="175">
        <v>210</v>
      </c>
    </row>
    <row r="337" spans="1:8" x14ac:dyDescent="0.25">
      <c r="A337" s="172">
        <v>43207</v>
      </c>
      <c r="B337" s="358">
        <v>5023333100041</v>
      </c>
      <c r="C337" s="173">
        <v>502</v>
      </c>
      <c r="D337" s="173">
        <v>3333</v>
      </c>
      <c r="E337" s="173">
        <v>10004</v>
      </c>
      <c r="F337" s="173">
        <v>1</v>
      </c>
      <c r="G337" s="174">
        <v>25</v>
      </c>
      <c r="H337" s="175">
        <v>200</v>
      </c>
    </row>
    <row r="338" spans="1:8" x14ac:dyDescent="0.25">
      <c r="A338" s="172">
        <v>43208</v>
      </c>
      <c r="B338" s="358">
        <v>4774444100071</v>
      </c>
      <c r="C338" s="173">
        <v>477</v>
      </c>
      <c r="D338" s="173">
        <v>4444</v>
      </c>
      <c r="E338" s="173">
        <v>10007</v>
      </c>
      <c r="F338" s="173">
        <v>1</v>
      </c>
      <c r="G338" s="174">
        <v>21</v>
      </c>
      <c r="H338" s="175">
        <v>140</v>
      </c>
    </row>
    <row r="339" spans="1:8" x14ac:dyDescent="0.25">
      <c r="A339" s="172">
        <v>43209</v>
      </c>
      <c r="B339" s="358">
        <v>5013333100031</v>
      </c>
      <c r="C339" s="173">
        <v>501</v>
      </c>
      <c r="D339" s="173">
        <v>3333</v>
      </c>
      <c r="E339" s="173">
        <v>10003</v>
      </c>
      <c r="F339" s="173">
        <v>1</v>
      </c>
      <c r="G339" s="174">
        <v>24</v>
      </c>
      <c r="H339" s="175">
        <v>210</v>
      </c>
    </row>
    <row r="340" spans="1:8" x14ac:dyDescent="0.25">
      <c r="A340" s="172">
        <v>43210</v>
      </c>
      <c r="B340" s="358">
        <v>5023333100041</v>
      </c>
      <c r="C340" s="173">
        <v>502</v>
      </c>
      <c r="D340" s="173">
        <v>3333</v>
      </c>
      <c r="E340" s="173">
        <v>10004</v>
      </c>
      <c r="F340" s="173">
        <v>1</v>
      </c>
      <c r="G340" s="174">
        <v>18</v>
      </c>
      <c r="H340" s="175">
        <v>200</v>
      </c>
    </row>
    <row r="341" spans="1:8" x14ac:dyDescent="0.25">
      <c r="A341" s="172">
        <v>43213</v>
      </c>
      <c r="B341" s="358">
        <v>4774444100071</v>
      </c>
      <c r="C341" s="173">
        <v>477</v>
      </c>
      <c r="D341" s="173">
        <v>4444</v>
      </c>
      <c r="E341" s="173">
        <v>10007</v>
      </c>
      <c r="F341" s="173">
        <v>1</v>
      </c>
      <c r="G341" s="174">
        <v>6</v>
      </c>
      <c r="H341" s="175">
        <v>140</v>
      </c>
    </row>
    <row r="342" spans="1:8" x14ac:dyDescent="0.25">
      <c r="A342" s="172">
        <v>43214</v>
      </c>
      <c r="B342" s="358">
        <v>4772222100061</v>
      </c>
      <c r="C342" s="173">
        <v>477</v>
      </c>
      <c r="D342" s="173">
        <v>2222</v>
      </c>
      <c r="E342" s="173">
        <v>10006</v>
      </c>
      <c r="F342" s="173">
        <v>1</v>
      </c>
      <c r="G342" s="174">
        <v>7</v>
      </c>
      <c r="H342" s="175">
        <v>110.00000000000001</v>
      </c>
    </row>
    <row r="343" spans="1:8" x14ac:dyDescent="0.25">
      <c r="A343" s="172">
        <v>43215</v>
      </c>
      <c r="B343" s="358">
        <v>5023333100041</v>
      </c>
      <c r="C343" s="173">
        <v>502</v>
      </c>
      <c r="D343" s="173">
        <v>3333</v>
      </c>
      <c r="E343" s="173">
        <v>10004</v>
      </c>
      <c r="F343" s="173">
        <v>1</v>
      </c>
      <c r="G343" s="174">
        <v>8</v>
      </c>
      <c r="H343" s="175">
        <v>200</v>
      </c>
    </row>
    <row r="344" spans="1:8" x14ac:dyDescent="0.25">
      <c r="A344" s="172">
        <v>43216</v>
      </c>
      <c r="B344" s="358">
        <v>4772222100061</v>
      </c>
      <c r="C344" s="173">
        <v>477</v>
      </c>
      <c r="D344" s="173">
        <v>2222</v>
      </c>
      <c r="E344" s="173">
        <v>10006</v>
      </c>
      <c r="F344" s="173">
        <v>1</v>
      </c>
      <c r="G344" s="174">
        <v>23</v>
      </c>
      <c r="H344" s="175">
        <v>110.00000000000001</v>
      </c>
    </row>
    <row r="345" spans="1:8" x14ac:dyDescent="0.25">
      <c r="A345" s="172">
        <v>43217</v>
      </c>
      <c r="B345" s="358">
        <v>4772222100051</v>
      </c>
      <c r="C345" s="173">
        <v>477</v>
      </c>
      <c r="D345" s="173">
        <v>2222</v>
      </c>
      <c r="E345" s="173">
        <v>10005</v>
      </c>
      <c r="F345" s="173">
        <v>1</v>
      </c>
      <c r="G345" s="174">
        <v>21</v>
      </c>
      <c r="H345" s="175">
        <v>140</v>
      </c>
    </row>
    <row r="346" spans="1:8" x14ac:dyDescent="0.25">
      <c r="A346" s="172">
        <v>43220</v>
      </c>
      <c r="B346" s="358">
        <v>4772222100021</v>
      </c>
      <c r="C346" s="173">
        <v>477</v>
      </c>
      <c r="D346" s="173">
        <v>2222</v>
      </c>
      <c r="E346" s="173">
        <v>10002</v>
      </c>
      <c r="F346" s="173">
        <v>1</v>
      </c>
      <c r="G346" s="174">
        <v>23</v>
      </c>
      <c r="H346" s="175">
        <v>160</v>
      </c>
    </row>
    <row r="347" spans="1:8" x14ac:dyDescent="0.25">
      <c r="A347" s="172">
        <v>43221</v>
      </c>
      <c r="B347" s="358">
        <v>5013333100031</v>
      </c>
      <c r="C347" s="173">
        <v>501</v>
      </c>
      <c r="D347" s="173">
        <v>3333</v>
      </c>
      <c r="E347" s="173">
        <v>10003</v>
      </c>
      <c r="F347" s="173">
        <v>1</v>
      </c>
      <c r="G347" s="174">
        <v>15</v>
      </c>
      <c r="H347" s="175">
        <v>210</v>
      </c>
    </row>
    <row r="348" spans="1:8" x14ac:dyDescent="0.25">
      <c r="A348" s="172">
        <v>43222</v>
      </c>
      <c r="B348" s="358">
        <v>5023333100041</v>
      </c>
      <c r="C348" s="173">
        <v>502</v>
      </c>
      <c r="D348" s="173">
        <v>3333</v>
      </c>
      <c r="E348" s="173">
        <v>10004</v>
      </c>
      <c r="F348" s="173">
        <v>1</v>
      </c>
      <c r="G348" s="174">
        <v>26</v>
      </c>
      <c r="H348" s="175">
        <v>200</v>
      </c>
    </row>
    <row r="349" spans="1:8" x14ac:dyDescent="0.25">
      <c r="A349" s="172">
        <v>43223</v>
      </c>
      <c r="B349" s="358">
        <v>4772222100051</v>
      </c>
      <c r="C349" s="173">
        <v>477</v>
      </c>
      <c r="D349" s="173">
        <v>2222</v>
      </c>
      <c r="E349" s="173">
        <v>10005</v>
      </c>
      <c r="F349" s="173">
        <v>1</v>
      </c>
      <c r="G349" s="174">
        <v>18</v>
      </c>
      <c r="H349" s="175">
        <v>140</v>
      </c>
    </row>
    <row r="350" spans="1:8" x14ac:dyDescent="0.25">
      <c r="A350" s="172">
        <v>43224</v>
      </c>
      <c r="B350" s="358">
        <v>4772222100051</v>
      </c>
      <c r="C350" s="173">
        <v>477</v>
      </c>
      <c r="D350" s="173">
        <v>2222</v>
      </c>
      <c r="E350" s="173">
        <v>10005</v>
      </c>
      <c r="F350" s="173">
        <v>1</v>
      </c>
      <c r="G350" s="174">
        <v>9</v>
      </c>
      <c r="H350" s="175">
        <v>140</v>
      </c>
    </row>
    <row r="351" spans="1:8" x14ac:dyDescent="0.25">
      <c r="A351" s="172">
        <v>43227</v>
      </c>
      <c r="B351" s="358">
        <v>4772222100021</v>
      </c>
      <c r="C351" s="173">
        <v>477</v>
      </c>
      <c r="D351" s="173">
        <v>2222</v>
      </c>
      <c r="E351" s="173">
        <v>10002</v>
      </c>
      <c r="F351" s="173">
        <v>1</v>
      </c>
      <c r="G351" s="174">
        <v>21</v>
      </c>
      <c r="H351" s="175">
        <v>160</v>
      </c>
    </row>
    <row r="352" spans="1:8" x14ac:dyDescent="0.25">
      <c r="A352" s="172">
        <v>43228</v>
      </c>
      <c r="B352" s="358">
        <v>4772222100061</v>
      </c>
      <c r="C352" s="173">
        <v>477</v>
      </c>
      <c r="D352" s="173">
        <v>2222</v>
      </c>
      <c r="E352" s="173">
        <v>10006</v>
      </c>
      <c r="F352" s="173">
        <v>1</v>
      </c>
      <c r="G352" s="174">
        <v>8</v>
      </c>
      <c r="H352" s="175">
        <v>110.00000000000001</v>
      </c>
    </row>
    <row r="353" spans="1:8" x14ac:dyDescent="0.25">
      <c r="A353" s="172">
        <v>43229</v>
      </c>
      <c r="B353" s="358">
        <v>5023333100041</v>
      </c>
      <c r="C353" s="173">
        <v>502</v>
      </c>
      <c r="D353" s="173">
        <v>3333</v>
      </c>
      <c r="E353" s="173">
        <v>10004</v>
      </c>
      <c r="F353" s="173">
        <v>1</v>
      </c>
      <c r="G353" s="174">
        <v>17</v>
      </c>
      <c r="H353" s="175">
        <v>200</v>
      </c>
    </row>
    <row r="354" spans="1:8" x14ac:dyDescent="0.25">
      <c r="A354" s="172">
        <v>43230</v>
      </c>
      <c r="B354" s="358">
        <v>5013333100031</v>
      </c>
      <c r="C354" s="173">
        <v>501</v>
      </c>
      <c r="D354" s="173">
        <v>3333</v>
      </c>
      <c r="E354" s="173">
        <v>10003</v>
      </c>
      <c r="F354" s="173">
        <v>1</v>
      </c>
      <c r="G354" s="174">
        <v>19</v>
      </c>
      <c r="H354" s="175">
        <v>210</v>
      </c>
    </row>
    <row r="355" spans="1:8" x14ac:dyDescent="0.25">
      <c r="A355" s="172">
        <v>43231</v>
      </c>
      <c r="B355" s="358">
        <v>4772222100021</v>
      </c>
      <c r="C355" s="173">
        <v>477</v>
      </c>
      <c r="D355" s="173">
        <v>2222</v>
      </c>
      <c r="E355" s="173">
        <v>10002</v>
      </c>
      <c r="F355" s="173">
        <v>1</v>
      </c>
      <c r="G355" s="174">
        <v>10</v>
      </c>
      <c r="H355" s="175">
        <v>160</v>
      </c>
    </row>
    <row r="356" spans="1:8" x14ac:dyDescent="0.25">
      <c r="A356" s="172">
        <v>43234</v>
      </c>
      <c r="B356" s="358">
        <v>4772222100021</v>
      </c>
      <c r="C356" s="173">
        <v>477</v>
      </c>
      <c r="D356" s="173">
        <v>2222</v>
      </c>
      <c r="E356" s="173">
        <v>10002</v>
      </c>
      <c r="F356" s="173">
        <v>1</v>
      </c>
      <c r="G356" s="174">
        <v>8</v>
      </c>
      <c r="H356" s="175">
        <v>160</v>
      </c>
    </row>
    <row r="357" spans="1:8" x14ac:dyDescent="0.25">
      <c r="A357" s="172">
        <v>43235</v>
      </c>
      <c r="B357" s="358">
        <v>4772222100021</v>
      </c>
      <c r="C357" s="173">
        <v>477</v>
      </c>
      <c r="D357" s="173">
        <v>2222</v>
      </c>
      <c r="E357" s="173">
        <v>10002</v>
      </c>
      <c r="F357" s="173">
        <v>1</v>
      </c>
      <c r="G357" s="174">
        <v>16</v>
      </c>
      <c r="H357" s="175">
        <v>160</v>
      </c>
    </row>
    <row r="358" spans="1:8" x14ac:dyDescent="0.25">
      <c r="A358" s="172">
        <v>43236</v>
      </c>
      <c r="B358" s="358">
        <v>4772222100021</v>
      </c>
      <c r="C358" s="173">
        <v>477</v>
      </c>
      <c r="D358" s="173">
        <v>2222</v>
      </c>
      <c r="E358" s="173">
        <v>10002</v>
      </c>
      <c r="F358" s="173">
        <v>1</v>
      </c>
      <c r="G358" s="174">
        <v>23</v>
      </c>
      <c r="H358" s="175">
        <v>160</v>
      </c>
    </row>
    <row r="359" spans="1:8" x14ac:dyDescent="0.25">
      <c r="A359" s="172">
        <v>43237</v>
      </c>
      <c r="B359" s="358">
        <v>4772222100021</v>
      </c>
      <c r="C359" s="173">
        <v>477</v>
      </c>
      <c r="D359" s="173">
        <v>2222</v>
      </c>
      <c r="E359" s="173">
        <v>10002</v>
      </c>
      <c r="F359" s="173">
        <v>1</v>
      </c>
      <c r="G359" s="174">
        <v>17</v>
      </c>
      <c r="H359" s="175">
        <v>160</v>
      </c>
    </row>
    <row r="360" spans="1:8" x14ac:dyDescent="0.25">
      <c r="A360" s="172">
        <v>43238</v>
      </c>
      <c r="B360" s="358">
        <v>4772222100051</v>
      </c>
      <c r="C360" s="173">
        <v>477</v>
      </c>
      <c r="D360" s="173">
        <v>2222</v>
      </c>
      <c r="E360" s="173">
        <v>10005</v>
      </c>
      <c r="F360" s="173">
        <v>1</v>
      </c>
      <c r="G360" s="174">
        <v>23</v>
      </c>
      <c r="H360" s="175">
        <v>140</v>
      </c>
    </row>
    <row r="361" spans="1:8" x14ac:dyDescent="0.25">
      <c r="A361" s="172">
        <v>43241</v>
      </c>
      <c r="B361" s="358">
        <v>5013333100031</v>
      </c>
      <c r="C361" s="173">
        <v>501</v>
      </c>
      <c r="D361" s="173">
        <v>3333</v>
      </c>
      <c r="E361" s="173">
        <v>10003</v>
      </c>
      <c r="F361" s="173">
        <v>1</v>
      </c>
      <c r="G361" s="174">
        <v>16</v>
      </c>
      <c r="H361" s="175">
        <v>210</v>
      </c>
    </row>
    <row r="362" spans="1:8" x14ac:dyDescent="0.25">
      <c r="A362" s="172">
        <v>43242</v>
      </c>
      <c r="B362" s="358">
        <v>5023333100041</v>
      </c>
      <c r="C362" s="173">
        <v>502</v>
      </c>
      <c r="D362" s="173">
        <v>3333</v>
      </c>
      <c r="E362" s="173">
        <v>10004</v>
      </c>
      <c r="F362" s="173">
        <v>1</v>
      </c>
      <c r="G362" s="174">
        <v>8</v>
      </c>
      <c r="H362" s="175">
        <v>200</v>
      </c>
    </row>
    <row r="363" spans="1:8" x14ac:dyDescent="0.25">
      <c r="A363" s="172">
        <v>43243</v>
      </c>
      <c r="B363" s="358">
        <v>5013333100031</v>
      </c>
      <c r="C363" s="173">
        <v>501</v>
      </c>
      <c r="D363" s="173">
        <v>3333</v>
      </c>
      <c r="E363" s="173">
        <v>10003</v>
      </c>
      <c r="F363" s="173">
        <v>1</v>
      </c>
      <c r="G363" s="174">
        <v>16</v>
      </c>
      <c r="H363" s="175">
        <v>210</v>
      </c>
    </row>
    <row r="364" spans="1:8" x14ac:dyDescent="0.25">
      <c r="A364" s="172">
        <v>43244</v>
      </c>
      <c r="B364" s="358">
        <v>5013333100031</v>
      </c>
      <c r="C364" s="173">
        <v>501</v>
      </c>
      <c r="D364" s="173">
        <v>3333</v>
      </c>
      <c r="E364" s="173">
        <v>10003</v>
      </c>
      <c r="F364" s="173">
        <v>1</v>
      </c>
      <c r="G364" s="174">
        <v>25</v>
      </c>
      <c r="H364" s="175">
        <v>210</v>
      </c>
    </row>
    <row r="365" spans="1:8" x14ac:dyDescent="0.25">
      <c r="A365" s="172">
        <v>43245</v>
      </c>
      <c r="B365" s="358">
        <v>4772222100061</v>
      </c>
      <c r="C365" s="173">
        <v>477</v>
      </c>
      <c r="D365" s="173">
        <v>2222</v>
      </c>
      <c r="E365" s="173">
        <v>10006</v>
      </c>
      <c r="F365" s="173">
        <v>1</v>
      </c>
      <c r="G365" s="174">
        <v>13</v>
      </c>
      <c r="H365" s="175">
        <v>110.00000000000001</v>
      </c>
    </row>
    <row r="366" spans="1:8" x14ac:dyDescent="0.25">
      <c r="A366" s="172">
        <v>43248</v>
      </c>
      <c r="B366" s="358">
        <v>4772222100021</v>
      </c>
      <c r="C366" s="173">
        <v>477</v>
      </c>
      <c r="D366" s="173">
        <v>2222</v>
      </c>
      <c r="E366" s="173">
        <v>10002</v>
      </c>
      <c r="F366" s="173">
        <v>1</v>
      </c>
      <c r="G366" s="174">
        <v>23</v>
      </c>
      <c r="H366" s="175">
        <v>160</v>
      </c>
    </row>
    <row r="367" spans="1:8" x14ac:dyDescent="0.25">
      <c r="A367" s="172">
        <v>43249</v>
      </c>
      <c r="B367" s="358">
        <v>3011111100011</v>
      </c>
      <c r="C367" s="173">
        <v>301</v>
      </c>
      <c r="D367" s="173">
        <v>1111</v>
      </c>
      <c r="E367" s="173">
        <v>10001</v>
      </c>
      <c r="F367" s="173">
        <v>1</v>
      </c>
      <c r="G367" s="174">
        <v>18</v>
      </c>
      <c r="H367" s="175">
        <v>210</v>
      </c>
    </row>
    <row r="368" spans="1:8" x14ac:dyDescent="0.25">
      <c r="A368" s="172">
        <v>43250</v>
      </c>
      <c r="B368" s="358">
        <v>4772222100051</v>
      </c>
      <c r="C368" s="173">
        <v>477</v>
      </c>
      <c r="D368" s="173">
        <v>2222</v>
      </c>
      <c r="E368" s="173">
        <v>10005</v>
      </c>
      <c r="F368" s="173">
        <v>1</v>
      </c>
      <c r="G368" s="174">
        <v>15</v>
      </c>
      <c r="H368" s="175">
        <v>140</v>
      </c>
    </row>
    <row r="369" spans="1:8" x14ac:dyDescent="0.25">
      <c r="A369" s="172">
        <v>43251</v>
      </c>
      <c r="B369" s="358">
        <v>5013333100031</v>
      </c>
      <c r="C369" s="173">
        <v>501</v>
      </c>
      <c r="D369" s="173">
        <v>3333</v>
      </c>
      <c r="E369" s="173">
        <v>10003</v>
      </c>
      <c r="F369" s="173">
        <v>1</v>
      </c>
      <c r="G369" s="174">
        <v>13</v>
      </c>
      <c r="H369" s="175">
        <v>210</v>
      </c>
    </row>
    <row r="370" spans="1:8" x14ac:dyDescent="0.25">
      <c r="A370" s="172">
        <v>43252</v>
      </c>
      <c r="B370" s="358">
        <v>4772222100021</v>
      </c>
      <c r="C370" s="173">
        <v>477</v>
      </c>
      <c r="D370" s="173">
        <v>2222</v>
      </c>
      <c r="E370" s="173">
        <v>10002</v>
      </c>
      <c r="F370" s="173">
        <v>1</v>
      </c>
      <c r="G370" s="174">
        <v>12</v>
      </c>
      <c r="H370" s="175">
        <v>160</v>
      </c>
    </row>
    <row r="371" spans="1:8" x14ac:dyDescent="0.25">
      <c r="A371" s="172">
        <v>43255</v>
      </c>
      <c r="B371" s="358">
        <v>5023333100041</v>
      </c>
      <c r="C371" s="173">
        <v>502</v>
      </c>
      <c r="D371" s="173">
        <v>3333</v>
      </c>
      <c r="E371" s="173">
        <v>10004</v>
      </c>
      <c r="F371" s="173">
        <v>1</v>
      </c>
      <c r="G371" s="174">
        <v>8</v>
      </c>
      <c r="H371" s="175">
        <v>200</v>
      </c>
    </row>
    <row r="372" spans="1:8" x14ac:dyDescent="0.25">
      <c r="A372" s="172">
        <v>43256</v>
      </c>
      <c r="B372" s="358">
        <v>4772222100021</v>
      </c>
      <c r="C372" s="173">
        <v>477</v>
      </c>
      <c r="D372" s="173">
        <v>2222</v>
      </c>
      <c r="E372" s="173">
        <v>10002</v>
      </c>
      <c r="F372" s="173">
        <v>1</v>
      </c>
      <c r="G372" s="174">
        <v>9</v>
      </c>
      <c r="H372" s="175">
        <v>160</v>
      </c>
    </row>
    <row r="373" spans="1:8" x14ac:dyDescent="0.25">
      <c r="A373" s="172">
        <v>43257</v>
      </c>
      <c r="B373" s="358">
        <v>4772222100021</v>
      </c>
      <c r="C373" s="173">
        <v>477</v>
      </c>
      <c r="D373" s="173">
        <v>2222</v>
      </c>
      <c r="E373" s="173">
        <v>10002</v>
      </c>
      <c r="F373" s="173">
        <v>1</v>
      </c>
      <c r="G373" s="174">
        <v>20</v>
      </c>
      <c r="H373" s="175">
        <v>160</v>
      </c>
    </row>
    <row r="374" spans="1:8" x14ac:dyDescent="0.25">
      <c r="A374" s="172">
        <v>43258</v>
      </c>
      <c r="B374" s="358">
        <v>4774444100071</v>
      </c>
      <c r="C374" s="173">
        <v>477</v>
      </c>
      <c r="D374" s="173">
        <v>4444</v>
      </c>
      <c r="E374" s="173">
        <v>10007</v>
      </c>
      <c r="F374" s="173">
        <v>1</v>
      </c>
      <c r="G374" s="174">
        <v>11</v>
      </c>
      <c r="H374" s="175">
        <v>140</v>
      </c>
    </row>
    <row r="375" spans="1:8" x14ac:dyDescent="0.25">
      <c r="A375" s="172">
        <v>43259</v>
      </c>
      <c r="B375" s="358">
        <v>5023333100041</v>
      </c>
      <c r="C375" s="173">
        <v>502</v>
      </c>
      <c r="D375" s="173">
        <v>3333</v>
      </c>
      <c r="E375" s="173">
        <v>10004</v>
      </c>
      <c r="F375" s="173">
        <v>1</v>
      </c>
      <c r="G375" s="174">
        <v>9</v>
      </c>
      <c r="H375" s="175">
        <v>200</v>
      </c>
    </row>
    <row r="376" spans="1:8" x14ac:dyDescent="0.25">
      <c r="A376" s="172">
        <v>43262</v>
      </c>
      <c r="B376" s="358">
        <v>4774444100071</v>
      </c>
      <c r="C376" s="173">
        <v>477</v>
      </c>
      <c r="D376" s="173">
        <v>4444</v>
      </c>
      <c r="E376" s="173">
        <v>10007</v>
      </c>
      <c r="F376" s="173">
        <v>1</v>
      </c>
      <c r="G376" s="174">
        <v>16</v>
      </c>
      <c r="H376" s="175">
        <v>140</v>
      </c>
    </row>
    <row r="377" spans="1:8" x14ac:dyDescent="0.25">
      <c r="A377" s="172">
        <v>43263</v>
      </c>
      <c r="B377" s="358">
        <v>4774444100071</v>
      </c>
      <c r="C377" s="173">
        <v>477</v>
      </c>
      <c r="D377" s="173">
        <v>4444</v>
      </c>
      <c r="E377" s="173">
        <v>10007</v>
      </c>
      <c r="F377" s="173">
        <v>1</v>
      </c>
      <c r="G377" s="174">
        <v>23</v>
      </c>
      <c r="H377" s="175">
        <v>140</v>
      </c>
    </row>
    <row r="378" spans="1:8" x14ac:dyDescent="0.25">
      <c r="A378" s="172">
        <v>43264</v>
      </c>
      <c r="B378" s="358">
        <v>4772222100061</v>
      </c>
      <c r="C378" s="173">
        <v>477</v>
      </c>
      <c r="D378" s="173">
        <v>2222</v>
      </c>
      <c r="E378" s="173">
        <v>10006</v>
      </c>
      <c r="F378" s="173">
        <v>1</v>
      </c>
      <c r="G378" s="174">
        <v>9</v>
      </c>
      <c r="H378" s="175">
        <v>110.00000000000001</v>
      </c>
    </row>
    <row r="379" spans="1:8" x14ac:dyDescent="0.25">
      <c r="A379" s="172">
        <v>43265</v>
      </c>
      <c r="B379" s="358">
        <v>4772222100021</v>
      </c>
      <c r="C379" s="173">
        <v>477</v>
      </c>
      <c r="D379" s="173">
        <v>2222</v>
      </c>
      <c r="E379" s="173">
        <v>10002</v>
      </c>
      <c r="F379" s="173">
        <v>1</v>
      </c>
      <c r="G379" s="174">
        <v>10</v>
      </c>
      <c r="H379" s="175">
        <v>160</v>
      </c>
    </row>
    <row r="380" spans="1:8" x14ac:dyDescent="0.25">
      <c r="A380" s="172">
        <v>43266</v>
      </c>
      <c r="B380" s="358">
        <v>5013333100031</v>
      </c>
      <c r="C380" s="173">
        <v>501</v>
      </c>
      <c r="D380" s="173">
        <v>3333</v>
      </c>
      <c r="E380" s="173">
        <v>10003</v>
      </c>
      <c r="F380" s="173">
        <v>1</v>
      </c>
      <c r="G380" s="174">
        <v>16</v>
      </c>
      <c r="H380" s="175">
        <v>210</v>
      </c>
    </row>
    <row r="381" spans="1:8" x14ac:dyDescent="0.25">
      <c r="A381" s="172">
        <v>43269</v>
      </c>
      <c r="B381" s="358">
        <v>5013333100031</v>
      </c>
      <c r="C381" s="173">
        <v>501</v>
      </c>
      <c r="D381" s="173">
        <v>3333</v>
      </c>
      <c r="E381" s="173">
        <v>10003</v>
      </c>
      <c r="F381" s="173">
        <v>1</v>
      </c>
      <c r="G381" s="174">
        <v>18</v>
      </c>
      <c r="H381" s="175">
        <v>210</v>
      </c>
    </row>
    <row r="382" spans="1:8" x14ac:dyDescent="0.25">
      <c r="A382" s="172">
        <v>43270</v>
      </c>
      <c r="B382" s="358">
        <v>4772222100051</v>
      </c>
      <c r="C382" s="173">
        <v>477</v>
      </c>
      <c r="D382" s="173">
        <v>2222</v>
      </c>
      <c r="E382" s="173">
        <v>10005</v>
      </c>
      <c r="F382" s="173">
        <v>1</v>
      </c>
      <c r="G382" s="174">
        <v>21</v>
      </c>
      <c r="H382" s="175">
        <v>140</v>
      </c>
    </row>
    <row r="383" spans="1:8" x14ac:dyDescent="0.25">
      <c r="A383" s="172">
        <v>43271</v>
      </c>
      <c r="B383" s="358">
        <v>5013333100031</v>
      </c>
      <c r="C383" s="173">
        <v>501</v>
      </c>
      <c r="D383" s="173">
        <v>3333</v>
      </c>
      <c r="E383" s="173">
        <v>10003</v>
      </c>
      <c r="F383" s="173">
        <v>1</v>
      </c>
      <c r="G383" s="174">
        <v>18</v>
      </c>
      <c r="H383" s="175">
        <v>210</v>
      </c>
    </row>
    <row r="384" spans="1:8" x14ac:dyDescent="0.25">
      <c r="A384" s="172">
        <v>43272</v>
      </c>
      <c r="B384" s="358">
        <v>4772222100021</v>
      </c>
      <c r="C384" s="173">
        <v>477</v>
      </c>
      <c r="D384" s="173">
        <v>2222</v>
      </c>
      <c r="E384" s="173">
        <v>10002</v>
      </c>
      <c r="F384" s="173">
        <v>1</v>
      </c>
      <c r="G384" s="174">
        <v>16</v>
      </c>
      <c r="H384" s="175">
        <v>160</v>
      </c>
    </row>
    <row r="385" spans="1:8" x14ac:dyDescent="0.25">
      <c r="A385" s="172">
        <v>43273</v>
      </c>
      <c r="B385" s="358">
        <v>4772222100021</v>
      </c>
      <c r="C385" s="173">
        <v>477</v>
      </c>
      <c r="D385" s="173">
        <v>2222</v>
      </c>
      <c r="E385" s="173">
        <v>10002</v>
      </c>
      <c r="F385" s="173">
        <v>1</v>
      </c>
      <c r="G385" s="174">
        <v>24</v>
      </c>
      <c r="H385" s="175">
        <v>160</v>
      </c>
    </row>
    <row r="386" spans="1:8" x14ac:dyDescent="0.25">
      <c r="A386" s="172">
        <v>43276</v>
      </c>
      <c r="B386" s="358">
        <v>4772222100051</v>
      </c>
      <c r="C386" s="173">
        <v>477</v>
      </c>
      <c r="D386" s="173">
        <v>2222</v>
      </c>
      <c r="E386" s="173">
        <v>10005</v>
      </c>
      <c r="F386" s="173">
        <v>1</v>
      </c>
      <c r="G386" s="174">
        <v>22</v>
      </c>
      <c r="H386" s="175">
        <v>140</v>
      </c>
    </row>
    <row r="387" spans="1:8" x14ac:dyDescent="0.25">
      <c r="A387" s="172">
        <v>43277</v>
      </c>
      <c r="B387" s="358">
        <v>5013333100031</v>
      </c>
      <c r="C387" s="173">
        <v>501</v>
      </c>
      <c r="D387" s="173">
        <v>3333</v>
      </c>
      <c r="E387" s="173">
        <v>10003</v>
      </c>
      <c r="F387" s="173">
        <v>1</v>
      </c>
      <c r="G387" s="174">
        <v>13</v>
      </c>
      <c r="H387" s="175">
        <v>210</v>
      </c>
    </row>
    <row r="388" spans="1:8" x14ac:dyDescent="0.25">
      <c r="A388" s="172">
        <v>43278</v>
      </c>
      <c r="B388" s="358">
        <v>4772222100021</v>
      </c>
      <c r="C388" s="173">
        <v>477</v>
      </c>
      <c r="D388" s="173">
        <v>2222</v>
      </c>
      <c r="E388" s="173">
        <v>10002</v>
      </c>
      <c r="F388" s="173">
        <v>1</v>
      </c>
      <c r="G388" s="174">
        <v>9</v>
      </c>
      <c r="H388" s="175">
        <v>160</v>
      </c>
    </row>
    <row r="389" spans="1:8" x14ac:dyDescent="0.25">
      <c r="A389" s="172">
        <v>43279</v>
      </c>
      <c r="B389" s="358">
        <v>5013333100031</v>
      </c>
      <c r="C389" s="173">
        <v>501</v>
      </c>
      <c r="D389" s="173">
        <v>3333</v>
      </c>
      <c r="E389" s="173">
        <v>10003</v>
      </c>
      <c r="F389" s="173">
        <v>1</v>
      </c>
      <c r="G389" s="174">
        <v>11</v>
      </c>
      <c r="H389" s="175">
        <v>210</v>
      </c>
    </row>
    <row r="390" spans="1:8" x14ac:dyDescent="0.25">
      <c r="A390" s="172">
        <v>43280</v>
      </c>
      <c r="B390" s="358">
        <v>4772222100061</v>
      </c>
      <c r="C390" s="173">
        <v>477</v>
      </c>
      <c r="D390" s="173">
        <v>2222</v>
      </c>
      <c r="E390" s="173">
        <v>10006</v>
      </c>
      <c r="F390" s="173">
        <v>1</v>
      </c>
      <c r="G390" s="174">
        <v>23</v>
      </c>
      <c r="H390" s="175">
        <v>110.00000000000001</v>
      </c>
    </row>
    <row r="391" spans="1:8" x14ac:dyDescent="0.25">
      <c r="A391" s="172">
        <v>43283</v>
      </c>
      <c r="B391" s="358">
        <v>4772222100051</v>
      </c>
      <c r="C391" s="173">
        <v>477</v>
      </c>
      <c r="D391" s="173">
        <v>2222</v>
      </c>
      <c r="E391" s="173">
        <v>10005</v>
      </c>
      <c r="F391" s="173">
        <v>1</v>
      </c>
      <c r="G391" s="174">
        <v>16</v>
      </c>
      <c r="H391" s="175">
        <v>140</v>
      </c>
    </row>
    <row r="392" spans="1:8" x14ac:dyDescent="0.25">
      <c r="A392" s="172">
        <v>43284</v>
      </c>
      <c r="B392" s="358">
        <v>3011111100011</v>
      </c>
      <c r="C392" s="173">
        <v>301</v>
      </c>
      <c r="D392" s="173">
        <v>1111</v>
      </c>
      <c r="E392" s="173">
        <v>10001</v>
      </c>
      <c r="F392" s="173">
        <v>1</v>
      </c>
      <c r="G392" s="174">
        <v>19</v>
      </c>
      <c r="H392" s="175">
        <v>210</v>
      </c>
    </row>
    <row r="393" spans="1:8" x14ac:dyDescent="0.25">
      <c r="A393" s="172">
        <v>43285</v>
      </c>
      <c r="B393" s="358">
        <v>4772222100021</v>
      </c>
      <c r="C393" s="173">
        <v>477</v>
      </c>
      <c r="D393" s="173">
        <v>2222</v>
      </c>
      <c r="E393" s="173">
        <v>10002</v>
      </c>
      <c r="F393" s="173">
        <v>1</v>
      </c>
      <c r="G393" s="174">
        <v>17</v>
      </c>
      <c r="H393" s="175">
        <v>160</v>
      </c>
    </row>
    <row r="394" spans="1:8" x14ac:dyDescent="0.25">
      <c r="A394" s="172">
        <v>43286</v>
      </c>
      <c r="B394" s="358">
        <v>5013333100031</v>
      </c>
      <c r="C394" s="173">
        <v>501</v>
      </c>
      <c r="D394" s="173">
        <v>3333</v>
      </c>
      <c r="E394" s="173">
        <v>10003</v>
      </c>
      <c r="F394" s="173">
        <v>1</v>
      </c>
      <c r="G394" s="174">
        <v>23</v>
      </c>
      <c r="H394" s="175">
        <v>210</v>
      </c>
    </row>
    <row r="395" spans="1:8" x14ac:dyDescent="0.25">
      <c r="A395" s="172">
        <v>43287</v>
      </c>
      <c r="B395" s="358">
        <v>5023333100041</v>
      </c>
      <c r="C395" s="173">
        <v>502</v>
      </c>
      <c r="D395" s="173">
        <v>3333</v>
      </c>
      <c r="E395" s="173">
        <v>10004</v>
      </c>
      <c r="F395" s="173">
        <v>1</v>
      </c>
      <c r="G395" s="174">
        <v>24</v>
      </c>
      <c r="H395" s="175">
        <v>200</v>
      </c>
    </row>
    <row r="396" spans="1:8" x14ac:dyDescent="0.25">
      <c r="A396" s="172">
        <v>43290</v>
      </c>
      <c r="B396" s="358">
        <v>4772222100021</v>
      </c>
      <c r="C396" s="173">
        <v>477</v>
      </c>
      <c r="D396" s="173">
        <v>2222</v>
      </c>
      <c r="E396" s="173">
        <v>10002</v>
      </c>
      <c r="F396" s="173">
        <v>1</v>
      </c>
      <c r="G396" s="174">
        <v>10</v>
      </c>
      <c r="H396" s="175">
        <v>160</v>
      </c>
    </row>
    <row r="397" spans="1:8" x14ac:dyDescent="0.25">
      <c r="A397" s="172">
        <v>43291</v>
      </c>
      <c r="B397" s="358">
        <v>4772222100061</v>
      </c>
      <c r="C397" s="173">
        <v>477</v>
      </c>
      <c r="D397" s="173">
        <v>2222</v>
      </c>
      <c r="E397" s="173">
        <v>10006</v>
      </c>
      <c r="F397" s="173">
        <v>1</v>
      </c>
      <c r="G397" s="174">
        <v>17</v>
      </c>
      <c r="H397" s="175">
        <v>110.00000000000001</v>
      </c>
    </row>
    <row r="398" spans="1:8" x14ac:dyDescent="0.25">
      <c r="A398" s="172">
        <v>43292</v>
      </c>
      <c r="B398" s="358">
        <v>4772222100061</v>
      </c>
      <c r="C398" s="173">
        <v>477</v>
      </c>
      <c r="D398" s="173">
        <v>2222</v>
      </c>
      <c r="E398" s="173">
        <v>10006</v>
      </c>
      <c r="F398" s="173">
        <v>1</v>
      </c>
      <c r="G398" s="174">
        <v>23</v>
      </c>
      <c r="H398" s="175">
        <v>110.00000000000001</v>
      </c>
    </row>
    <row r="399" spans="1:8" x14ac:dyDescent="0.25">
      <c r="A399" s="172">
        <v>43293</v>
      </c>
      <c r="B399" s="358">
        <v>4772222100021</v>
      </c>
      <c r="C399" s="173">
        <v>477</v>
      </c>
      <c r="D399" s="173">
        <v>2222</v>
      </c>
      <c r="E399" s="173">
        <v>10002</v>
      </c>
      <c r="F399" s="173">
        <v>1</v>
      </c>
      <c r="G399" s="174">
        <v>22</v>
      </c>
      <c r="H399" s="175">
        <v>160</v>
      </c>
    </row>
    <row r="400" spans="1:8" x14ac:dyDescent="0.25">
      <c r="A400" s="172">
        <v>43294</v>
      </c>
      <c r="B400" s="358">
        <v>4772222100051</v>
      </c>
      <c r="C400" s="173">
        <v>477</v>
      </c>
      <c r="D400" s="173">
        <v>2222</v>
      </c>
      <c r="E400" s="173">
        <v>10005</v>
      </c>
      <c r="F400" s="173">
        <v>1</v>
      </c>
      <c r="G400" s="174">
        <v>12</v>
      </c>
      <c r="H400" s="175">
        <v>140</v>
      </c>
    </row>
    <row r="401" spans="1:8" x14ac:dyDescent="0.25">
      <c r="A401" s="172">
        <v>43297</v>
      </c>
      <c r="B401" s="358">
        <v>4772222100021</v>
      </c>
      <c r="C401" s="173">
        <v>477</v>
      </c>
      <c r="D401" s="173">
        <v>2222</v>
      </c>
      <c r="E401" s="173">
        <v>10002</v>
      </c>
      <c r="F401" s="173">
        <v>1</v>
      </c>
      <c r="G401" s="174">
        <v>12</v>
      </c>
      <c r="H401" s="175">
        <v>160</v>
      </c>
    </row>
    <row r="402" spans="1:8" x14ac:dyDescent="0.25">
      <c r="A402" s="172">
        <v>43298</v>
      </c>
      <c r="B402" s="358">
        <v>5013333100031</v>
      </c>
      <c r="C402" s="173">
        <v>501</v>
      </c>
      <c r="D402" s="173">
        <v>3333</v>
      </c>
      <c r="E402" s="173">
        <v>10003</v>
      </c>
      <c r="F402" s="173">
        <v>1</v>
      </c>
      <c r="G402" s="174">
        <v>11</v>
      </c>
      <c r="H402" s="175">
        <v>210</v>
      </c>
    </row>
    <row r="403" spans="1:8" x14ac:dyDescent="0.25">
      <c r="A403" s="172">
        <v>43299</v>
      </c>
      <c r="B403" s="358">
        <v>4772222100021</v>
      </c>
      <c r="C403" s="173">
        <v>477</v>
      </c>
      <c r="D403" s="173">
        <v>2222</v>
      </c>
      <c r="E403" s="173">
        <v>10002</v>
      </c>
      <c r="F403" s="173">
        <v>1</v>
      </c>
      <c r="G403" s="174">
        <v>17</v>
      </c>
      <c r="H403" s="175">
        <v>160</v>
      </c>
    </row>
    <row r="404" spans="1:8" x14ac:dyDescent="0.25">
      <c r="A404" s="172">
        <v>43300</v>
      </c>
      <c r="B404" s="358">
        <v>5023333100041</v>
      </c>
      <c r="C404" s="173">
        <v>502</v>
      </c>
      <c r="D404" s="173">
        <v>3333</v>
      </c>
      <c r="E404" s="173">
        <v>10004</v>
      </c>
      <c r="F404" s="173">
        <v>1</v>
      </c>
      <c r="G404" s="174">
        <v>26</v>
      </c>
      <c r="H404" s="175">
        <v>200</v>
      </c>
    </row>
    <row r="405" spans="1:8" x14ac:dyDescent="0.25">
      <c r="A405" s="172">
        <v>43301</v>
      </c>
      <c r="B405" s="358">
        <v>5023333100041</v>
      </c>
      <c r="C405" s="173">
        <v>502</v>
      </c>
      <c r="D405" s="173">
        <v>3333</v>
      </c>
      <c r="E405" s="173">
        <v>10004</v>
      </c>
      <c r="F405" s="173">
        <v>1</v>
      </c>
      <c r="G405" s="174">
        <v>8</v>
      </c>
      <c r="H405" s="175">
        <v>200</v>
      </c>
    </row>
    <row r="406" spans="1:8" x14ac:dyDescent="0.25">
      <c r="A406" s="172">
        <v>43304</v>
      </c>
      <c r="B406" s="358">
        <v>5023333100041</v>
      </c>
      <c r="C406" s="173">
        <v>502</v>
      </c>
      <c r="D406" s="173">
        <v>3333</v>
      </c>
      <c r="E406" s="173">
        <v>10004</v>
      </c>
      <c r="F406" s="173">
        <v>1</v>
      </c>
      <c r="G406" s="174">
        <v>16</v>
      </c>
      <c r="H406" s="175">
        <v>200</v>
      </c>
    </row>
    <row r="407" spans="1:8" x14ac:dyDescent="0.25">
      <c r="A407" s="172">
        <v>43305</v>
      </c>
      <c r="B407" s="358">
        <v>4772222100021</v>
      </c>
      <c r="C407" s="173">
        <v>477</v>
      </c>
      <c r="D407" s="173">
        <v>2222</v>
      </c>
      <c r="E407" s="173">
        <v>10002</v>
      </c>
      <c r="F407" s="173">
        <v>1</v>
      </c>
      <c r="G407" s="174">
        <v>9</v>
      </c>
      <c r="H407" s="175">
        <v>160</v>
      </c>
    </row>
    <row r="408" spans="1:8" x14ac:dyDescent="0.25">
      <c r="A408" s="172">
        <v>43306</v>
      </c>
      <c r="B408" s="358">
        <v>4772222100021</v>
      </c>
      <c r="C408" s="173">
        <v>477</v>
      </c>
      <c r="D408" s="173">
        <v>2222</v>
      </c>
      <c r="E408" s="173">
        <v>10002</v>
      </c>
      <c r="F408" s="173">
        <v>1</v>
      </c>
      <c r="G408" s="174">
        <v>24</v>
      </c>
      <c r="H408" s="175">
        <v>160</v>
      </c>
    </row>
    <row r="409" spans="1:8" x14ac:dyDescent="0.25">
      <c r="A409" s="172">
        <v>43307</v>
      </c>
      <c r="B409" s="358">
        <v>3031111100011</v>
      </c>
      <c r="C409" s="173">
        <v>303</v>
      </c>
      <c r="D409" s="173">
        <v>1111</v>
      </c>
      <c r="E409" s="173">
        <v>10001</v>
      </c>
      <c r="F409" s="173">
        <v>1</v>
      </c>
      <c r="G409" s="174">
        <v>6</v>
      </c>
      <c r="H409" s="175">
        <v>210</v>
      </c>
    </row>
    <row r="410" spans="1:8" x14ac:dyDescent="0.25">
      <c r="A410" s="172">
        <v>43308</v>
      </c>
      <c r="B410" s="358">
        <v>4772222100021</v>
      </c>
      <c r="C410" s="173">
        <v>477</v>
      </c>
      <c r="D410" s="173">
        <v>2222</v>
      </c>
      <c r="E410" s="173">
        <v>10002</v>
      </c>
      <c r="F410" s="173">
        <v>1</v>
      </c>
      <c r="G410" s="174">
        <v>15</v>
      </c>
      <c r="H410" s="175">
        <v>160</v>
      </c>
    </row>
    <row r="411" spans="1:8" x14ac:dyDescent="0.25">
      <c r="A411" s="172">
        <v>43311</v>
      </c>
      <c r="B411" s="358">
        <v>4772222100021</v>
      </c>
      <c r="C411" s="173">
        <v>477</v>
      </c>
      <c r="D411" s="173">
        <v>2222</v>
      </c>
      <c r="E411" s="173">
        <v>10002</v>
      </c>
      <c r="F411" s="173">
        <v>1</v>
      </c>
      <c r="G411" s="174">
        <v>12</v>
      </c>
      <c r="H411" s="175">
        <v>160</v>
      </c>
    </row>
    <row r="412" spans="1:8" x14ac:dyDescent="0.25">
      <c r="A412" s="172">
        <v>43312</v>
      </c>
      <c r="B412" s="358">
        <v>5023333100041</v>
      </c>
      <c r="C412" s="173">
        <v>502</v>
      </c>
      <c r="D412" s="173">
        <v>3333</v>
      </c>
      <c r="E412" s="173">
        <v>10004</v>
      </c>
      <c r="F412" s="173">
        <v>1</v>
      </c>
      <c r="G412" s="174">
        <v>17</v>
      </c>
      <c r="H412" s="175">
        <v>200</v>
      </c>
    </row>
    <row r="413" spans="1:8" x14ac:dyDescent="0.25">
      <c r="A413" s="172">
        <v>43313</v>
      </c>
      <c r="B413" s="358">
        <v>4774444100071</v>
      </c>
      <c r="C413" s="173">
        <v>477</v>
      </c>
      <c r="D413" s="173">
        <v>4444</v>
      </c>
      <c r="E413" s="173">
        <v>10007</v>
      </c>
      <c r="F413" s="173">
        <v>1</v>
      </c>
      <c r="G413" s="174">
        <v>26</v>
      </c>
      <c r="H413" s="175">
        <v>140</v>
      </c>
    </row>
    <row r="414" spans="1:8" x14ac:dyDescent="0.25">
      <c r="A414" s="172">
        <v>43314</v>
      </c>
      <c r="B414" s="358">
        <v>4772222100051</v>
      </c>
      <c r="C414" s="173">
        <v>477</v>
      </c>
      <c r="D414" s="173">
        <v>2222</v>
      </c>
      <c r="E414" s="173">
        <v>10005</v>
      </c>
      <c r="F414" s="173">
        <v>1</v>
      </c>
      <c r="G414" s="174">
        <v>19</v>
      </c>
      <c r="H414" s="175">
        <v>140</v>
      </c>
    </row>
    <row r="415" spans="1:8" x14ac:dyDescent="0.25">
      <c r="A415" s="172">
        <v>43315</v>
      </c>
      <c r="B415" s="358">
        <v>4772222100061</v>
      </c>
      <c r="C415" s="173">
        <v>477</v>
      </c>
      <c r="D415" s="173">
        <v>2222</v>
      </c>
      <c r="E415" s="173">
        <v>10006</v>
      </c>
      <c r="F415" s="173">
        <v>1</v>
      </c>
      <c r="G415" s="174">
        <v>15</v>
      </c>
      <c r="H415" s="175">
        <v>110.00000000000001</v>
      </c>
    </row>
    <row r="416" spans="1:8" x14ac:dyDescent="0.25">
      <c r="A416" s="172">
        <v>43318</v>
      </c>
      <c r="B416" s="358">
        <v>5013333100031</v>
      </c>
      <c r="C416" s="173">
        <v>501</v>
      </c>
      <c r="D416" s="173">
        <v>3333</v>
      </c>
      <c r="E416" s="173">
        <v>10003</v>
      </c>
      <c r="F416" s="173">
        <v>1</v>
      </c>
      <c r="G416" s="174">
        <v>7</v>
      </c>
      <c r="H416" s="175">
        <v>210</v>
      </c>
    </row>
    <row r="417" spans="1:8" x14ac:dyDescent="0.25">
      <c r="A417" s="172">
        <v>43319</v>
      </c>
      <c r="B417" s="358">
        <v>4772222100021</v>
      </c>
      <c r="C417" s="173">
        <v>477</v>
      </c>
      <c r="D417" s="173">
        <v>2222</v>
      </c>
      <c r="E417" s="173">
        <v>10002</v>
      </c>
      <c r="F417" s="173">
        <v>1</v>
      </c>
      <c r="G417" s="174">
        <v>24</v>
      </c>
      <c r="H417" s="175">
        <v>160</v>
      </c>
    </row>
    <row r="418" spans="1:8" x14ac:dyDescent="0.25">
      <c r="A418" s="172">
        <v>43320</v>
      </c>
      <c r="B418" s="358">
        <v>5023333100041</v>
      </c>
      <c r="C418" s="173">
        <v>502</v>
      </c>
      <c r="D418" s="173">
        <v>3333</v>
      </c>
      <c r="E418" s="173">
        <v>10004</v>
      </c>
      <c r="F418" s="173">
        <v>1</v>
      </c>
      <c r="G418" s="174">
        <v>19</v>
      </c>
      <c r="H418" s="175">
        <v>200</v>
      </c>
    </row>
    <row r="419" spans="1:8" x14ac:dyDescent="0.25">
      <c r="A419" s="172">
        <v>43321</v>
      </c>
      <c r="B419" s="358">
        <v>5013333100031</v>
      </c>
      <c r="C419" s="173">
        <v>501</v>
      </c>
      <c r="D419" s="173">
        <v>3333</v>
      </c>
      <c r="E419" s="173">
        <v>10003</v>
      </c>
      <c r="F419" s="173">
        <v>1</v>
      </c>
      <c r="G419" s="174">
        <v>6</v>
      </c>
      <c r="H419" s="175">
        <v>210</v>
      </c>
    </row>
    <row r="420" spans="1:8" x14ac:dyDescent="0.25">
      <c r="A420" s="172">
        <v>43322</v>
      </c>
      <c r="B420" s="358">
        <v>5013333100031</v>
      </c>
      <c r="C420" s="173">
        <v>501</v>
      </c>
      <c r="D420" s="173">
        <v>3333</v>
      </c>
      <c r="E420" s="173">
        <v>10003</v>
      </c>
      <c r="F420" s="173">
        <v>1</v>
      </c>
      <c r="G420" s="174">
        <v>17</v>
      </c>
      <c r="H420" s="175">
        <v>210</v>
      </c>
    </row>
    <row r="421" spans="1:8" x14ac:dyDescent="0.25">
      <c r="A421" s="172">
        <v>43325</v>
      </c>
      <c r="B421" s="358">
        <v>4772222100021</v>
      </c>
      <c r="C421" s="173">
        <v>477</v>
      </c>
      <c r="D421" s="173">
        <v>2222</v>
      </c>
      <c r="E421" s="173">
        <v>10002</v>
      </c>
      <c r="F421" s="173">
        <v>1</v>
      </c>
      <c r="G421" s="174">
        <v>22</v>
      </c>
      <c r="H421" s="175">
        <v>160</v>
      </c>
    </row>
    <row r="422" spans="1:8" x14ac:dyDescent="0.25">
      <c r="A422" s="172">
        <v>43326</v>
      </c>
      <c r="B422" s="358">
        <v>4772222100021</v>
      </c>
      <c r="C422" s="173">
        <v>477</v>
      </c>
      <c r="D422" s="173">
        <v>2222</v>
      </c>
      <c r="E422" s="173">
        <v>10002</v>
      </c>
      <c r="F422" s="173">
        <v>1</v>
      </c>
      <c r="G422" s="174">
        <v>26</v>
      </c>
      <c r="H422" s="175">
        <v>160</v>
      </c>
    </row>
    <row r="423" spans="1:8" x14ac:dyDescent="0.25">
      <c r="A423" s="172">
        <v>43327</v>
      </c>
      <c r="B423" s="358">
        <v>4772222100021</v>
      </c>
      <c r="C423" s="173">
        <v>477</v>
      </c>
      <c r="D423" s="173">
        <v>2222</v>
      </c>
      <c r="E423" s="173">
        <v>10002</v>
      </c>
      <c r="F423" s="173">
        <v>1</v>
      </c>
      <c r="G423" s="174">
        <v>18</v>
      </c>
      <c r="H423" s="175">
        <v>160</v>
      </c>
    </row>
    <row r="424" spans="1:8" x14ac:dyDescent="0.25">
      <c r="A424" s="172">
        <v>43328</v>
      </c>
      <c r="B424" s="358">
        <v>4772222100061</v>
      </c>
      <c r="C424" s="173">
        <v>477</v>
      </c>
      <c r="D424" s="173">
        <v>2222</v>
      </c>
      <c r="E424" s="173">
        <v>10006</v>
      </c>
      <c r="F424" s="173">
        <v>1</v>
      </c>
      <c r="G424" s="174">
        <v>8</v>
      </c>
      <c r="H424" s="175">
        <v>110.00000000000001</v>
      </c>
    </row>
    <row r="425" spans="1:8" x14ac:dyDescent="0.25">
      <c r="A425" s="172">
        <v>43329</v>
      </c>
      <c r="B425" s="358">
        <v>4772222100021</v>
      </c>
      <c r="C425" s="173">
        <v>477</v>
      </c>
      <c r="D425" s="173">
        <v>2222</v>
      </c>
      <c r="E425" s="173">
        <v>10002</v>
      </c>
      <c r="F425" s="173">
        <v>1</v>
      </c>
      <c r="G425" s="174">
        <v>17</v>
      </c>
      <c r="H425" s="175">
        <v>160</v>
      </c>
    </row>
    <row r="426" spans="1:8" x14ac:dyDescent="0.25">
      <c r="A426" s="172">
        <v>43332</v>
      </c>
      <c r="B426" s="358">
        <v>4772222100051</v>
      </c>
      <c r="C426" s="173">
        <v>477</v>
      </c>
      <c r="D426" s="173">
        <v>2222</v>
      </c>
      <c r="E426" s="173">
        <v>10005</v>
      </c>
      <c r="F426" s="173">
        <v>1</v>
      </c>
      <c r="G426" s="174">
        <v>12</v>
      </c>
      <c r="H426" s="175">
        <v>140</v>
      </c>
    </row>
    <row r="427" spans="1:8" x14ac:dyDescent="0.25">
      <c r="A427" s="172">
        <v>43333</v>
      </c>
      <c r="B427" s="358">
        <v>4774444100071</v>
      </c>
      <c r="C427" s="173">
        <v>477</v>
      </c>
      <c r="D427" s="173">
        <v>4444</v>
      </c>
      <c r="E427" s="173">
        <v>10007</v>
      </c>
      <c r="F427" s="173">
        <v>1</v>
      </c>
      <c r="G427" s="174">
        <v>18</v>
      </c>
      <c r="H427" s="175">
        <v>140</v>
      </c>
    </row>
    <row r="428" spans="1:8" x14ac:dyDescent="0.25">
      <c r="A428" s="172">
        <v>43334</v>
      </c>
      <c r="B428" s="358">
        <v>4774444100071</v>
      </c>
      <c r="C428" s="173">
        <v>477</v>
      </c>
      <c r="D428" s="173">
        <v>4444</v>
      </c>
      <c r="E428" s="173">
        <v>10007</v>
      </c>
      <c r="F428" s="173">
        <v>1</v>
      </c>
      <c r="G428" s="174">
        <v>9</v>
      </c>
      <c r="H428" s="175">
        <v>140</v>
      </c>
    </row>
    <row r="429" spans="1:8" x14ac:dyDescent="0.25">
      <c r="A429" s="172">
        <v>43335</v>
      </c>
      <c r="B429" s="358">
        <v>4774444100071</v>
      </c>
      <c r="C429" s="173">
        <v>477</v>
      </c>
      <c r="D429" s="173">
        <v>4444</v>
      </c>
      <c r="E429" s="173">
        <v>10007</v>
      </c>
      <c r="F429" s="173">
        <v>1</v>
      </c>
      <c r="G429" s="174">
        <v>16</v>
      </c>
      <c r="H429" s="175">
        <v>140</v>
      </c>
    </row>
    <row r="430" spans="1:8" x14ac:dyDescent="0.25">
      <c r="A430" s="172">
        <v>43336</v>
      </c>
      <c r="B430" s="358">
        <v>5023333100041</v>
      </c>
      <c r="C430" s="173">
        <v>502</v>
      </c>
      <c r="D430" s="173">
        <v>3333</v>
      </c>
      <c r="E430" s="173">
        <v>10004</v>
      </c>
      <c r="F430" s="173">
        <v>1</v>
      </c>
      <c r="G430" s="174">
        <v>17</v>
      </c>
      <c r="H430" s="175">
        <v>200</v>
      </c>
    </row>
    <row r="431" spans="1:8" x14ac:dyDescent="0.25">
      <c r="A431" s="172">
        <v>43339</v>
      </c>
      <c r="B431" s="358">
        <v>4772222100021</v>
      </c>
      <c r="C431" s="173">
        <v>477</v>
      </c>
      <c r="D431" s="173">
        <v>2222</v>
      </c>
      <c r="E431" s="173">
        <v>10002</v>
      </c>
      <c r="F431" s="173">
        <v>1</v>
      </c>
      <c r="G431" s="174">
        <v>23</v>
      </c>
      <c r="H431" s="175">
        <v>160</v>
      </c>
    </row>
    <row r="432" spans="1:8" x14ac:dyDescent="0.25">
      <c r="A432" s="172">
        <v>43340</v>
      </c>
      <c r="B432" s="358">
        <v>5013333100031</v>
      </c>
      <c r="C432" s="173">
        <v>501</v>
      </c>
      <c r="D432" s="173">
        <v>3333</v>
      </c>
      <c r="E432" s="173">
        <v>10003</v>
      </c>
      <c r="F432" s="173">
        <v>1</v>
      </c>
      <c r="G432" s="174">
        <v>12</v>
      </c>
      <c r="H432" s="175">
        <v>210</v>
      </c>
    </row>
    <row r="433" spans="1:8" x14ac:dyDescent="0.25">
      <c r="A433" s="172">
        <v>43341</v>
      </c>
      <c r="B433" s="358">
        <v>4772222100021</v>
      </c>
      <c r="C433" s="173">
        <v>477</v>
      </c>
      <c r="D433" s="173">
        <v>2222</v>
      </c>
      <c r="E433" s="173">
        <v>10002</v>
      </c>
      <c r="F433" s="173">
        <v>1</v>
      </c>
      <c r="G433" s="174">
        <v>7</v>
      </c>
      <c r="H433" s="175">
        <v>160</v>
      </c>
    </row>
    <row r="434" spans="1:8" x14ac:dyDescent="0.25">
      <c r="A434" s="172">
        <v>43342</v>
      </c>
      <c r="B434" s="358">
        <v>4772222100021</v>
      </c>
      <c r="C434" s="173">
        <v>477</v>
      </c>
      <c r="D434" s="173">
        <v>2222</v>
      </c>
      <c r="E434" s="173">
        <v>10002</v>
      </c>
      <c r="F434" s="173">
        <v>1</v>
      </c>
      <c r="G434" s="174">
        <v>26</v>
      </c>
      <c r="H434" s="175">
        <v>160</v>
      </c>
    </row>
    <row r="435" spans="1:8" x14ac:dyDescent="0.25">
      <c r="A435" s="172">
        <v>43343</v>
      </c>
      <c r="B435" s="358">
        <v>5013333100031</v>
      </c>
      <c r="C435" s="173">
        <v>501</v>
      </c>
      <c r="D435" s="173">
        <v>3333</v>
      </c>
      <c r="E435" s="173">
        <v>10003</v>
      </c>
      <c r="F435" s="173">
        <v>1</v>
      </c>
      <c r="G435" s="174">
        <v>21</v>
      </c>
      <c r="H435" s="175">
        <v>210</v>
      </c>
    </row>
    <row r="436" spans="1:8" x14ac:dyDescent="0.25">
      <c r="A436" s="172">
        <v>43346</v>
      </c>
      <c r="B436" s="358">
        <v>4772222100051</v>
      </c>
      <c r="C436" s="173">
        <v>477</v>
      </c>
      <c r="D436" s="173">
        <v>2222</v>
      </c>
      <c r="E436" s="173">
        <v>10005</v>
      </c>
      <c r="F436" s="173">
        <v>1</v>
      </c>
      <c r="G436" s="174">
        <v>22</v>
      </c>
      <c r="H436" s="175">
        <v>140</v>
      </c>
    </row>
    <row r="437" spans="1:8" x14ac:dyDescent="0.25">
      <c r="A437" s="172">
        <v>43347</v>
      </c>
      <c r="B437" s="358">
        <v>5023333100041</v>
      </c>
      <c r="C437" s="173">
        <v>502</v>
      </c>
      <c r="D437" s="173">
        <v>3333</v>
      </c>
      <c r="E437" s="173">
        <v>10004</v>
      </c>
      <c r="F437" s="173">
        <v>1</v>
      </c>
      <c r="G437" s="174">
        <v>6</v>
      </c>
      <c r="H437" s="175">
        <v>200</v>
      </c>
    </row>
    <row r="438" spans="1:8" x14ac:dyDescent="0.25">
      <c r="A438" s="172">
        <v>43348</v>
      </c>
      <c r="B438" s="358">
        <v>4774444100071</v>
      </c>
      <c r="C438" s="173">
        <v>477</v>
      </c>
      <c r="D438" s="173">
        <v>4444</v>
      </c>
      <c r="E438" s="173">
        <v>10007</v>
      </c>
      <c r="F438" s="173">
        <v>1</v>
      </c>
      <c r="G438" s="174">
        <v>24</v>
      </c>
      <c r="H438" s="175">
        <v>140</v>
      </c>
    </row>
    <row r="439" spans="1:8" x14ac:dyDescent="0.25">
      <c r="A439" s="172">
        <v>43349</v>
      </c>
      <c r="B439" s="358">
        <v>4772222100061</v>
      </c>
      <c r="C439" s="173">
        <v>477</v>
      </c>
      <c r="D439" s="173">
        <v>2222</v>
      </c>
      <c r="E439" s="173">
        <v>10006</v>
      </c>
      <c r="F439" s="173">
        <v>1</v>
      </c>
      <c r="G439" s="174">
        <v>12</v>
      </c>
      <c r="H439" s="175">
        <v>110.00000000000001</v>
      </c>
    </row>
    <row r="440" spans="1:8" x14ac:dyDescent="0.25">
      <c r="A440" s="172">
        <v>43350</v>
      </c>
      <c r="B440" s="358">
        <v>4772222100021</v>
      </c>
      <c r="C440" s="173">
        <v>477</v>
      </c>
      <c r="D440" s="173">
        <v>2222</v>
      </c>
      <c r="E440" s="173">
        <v>10002</v>
      </c>
      <c r="F440" s="173">
        <v>1</v>
      </c>
      <c r="G440" s="174">
        <v>18</v>
      </c>
      <c r="H440" s="175">
        <v>160</v>
      </c>
    </row>
    <row r="441" spans="1:8" x14ac:dyDescent="0.25">
      <c r="A441" s="172">
        <v>43353</v>
      </c>
      <c r="B441" s="358">
        <v>4772222100021</v>
      </c>
      <c r="C441" s="173">
        <v>477</v>
      </c>
      <c r="D441" s="173">
        <v>2222</v>
      </c>
      <c r="E441" s="173">
        <v>10002</v>
      </c>
      <c r="F441" s="173">
        <v>1</v>
      </c>
      <c r="G441" s="174">
        <v>10</v>
      </c>
      <c r="H441" s="175">
        <v>160</v>
      </c>
    </row>
    <row r="442" spans="1:8" x14ac:dyDescent="0.25">
      <c r="A442" s="172">
        <v>43354</v>
      </c>
      <c r="B442" s="358">
        <v>5013333100031</v>
      </c>
      <c r="C442" s="173">
        <v>501</v>
      </c>
      <c r="D442" s="173">
        <v>3333</v>
      </c>
      <c r="E442" s="173">
        <v>10003</v>
      </c>
      <c r="F442" s="173">
        <v>1</v>
      </c>
      <c r="G442" s="174">
        <v>22</v>
      </c>
      <c r="H442" s="175">
        <v>210</v>
      </c>
    </row>
    <row r="443" spans="1:8" x14ac:dyDescent="0.25">
      <c r="A443" s="172">
        <v>43355</v>
      </c>
      <c r="B443" s="358">
        <v>4772222100051</v>
      </c>
      <c r="C443" s="173">
        <v>477</v>
      </c>
      <c r="D443" s="173">
        <v>2222</v>
      </c>
      <c r="E443" s="173">
        <v>10005</v>
      </c>
      <c r="F443" s="173">
        <v>1</v>
      </c>
      <c r="G443" s="174">
        <v>12</v>
      </c>
      <c r="H443" s="175">
        <v>140</v>
      </c>
    </row>
    <row r="444" spans="1:8" x14ac:dyDescent="0.25">
      <c r="A444" s="172">
        <v>43356</v>
      </c>
      <c r="B444" s="358">
        <v>5013333100031</v>
      </c>
      <c r="C444" s="173">
        <v>501</v>
      </c>
      <c r="D444" s="173">
        <v>3333</v>
      </c>
      <c r="E444" s="173">
        <v>10003</v>
      </c>
      <c r="F444" s="173">
        <v>1</v>
      </c>
      <c r="G444" s="174">
        <v>8</v>
      </c>
      <c r="H444" s="175">
        <v>210</v>
      </c>
    </row>
    <row r="445" spans="1:8" x14ac:dyDescent="0.25">
      <c r="A445" s="172">
        <v>43357</v>
      </c>
      <c r="B445" s="358">
        <v>4772222100051</v>
      </c>
      <c r="C445" s="173">
        <v>477</v>
      </c>
      <c r="D445" s="173">
        <v>2222</v>
      </c>
      <c r="E445" s="173">
        <v>10005</v>
      </c>
      <c r="F445" s="173">
        <v>1</v>
      </c>
      <c r="G445" s="174">
        <v>9</v>
      </c>
      <c r="H445" s="175">
        <v>140</v>
      </c>
    </row>
    <row r="446" spans="1:8" x14ac:dyDescent="0.25">
      <c r="A446" s="172">
        <v>43360</v>
      </c>
      <c r="B446" s="358">
        <v>4772222100061</v>
      </c>
      <c r="C446" s="173">
        <v>477</v>
      </c>
      <c r="D446" s="173">
        <v>2222</v>
      </c>
      <c r="E446" s="173">
        <v>10006</v>
      </c>
      <c r="F446" s="173">
        <v>1</v>
      </c>
      <c r="G446" s="174">
        <v>8</v>
      </c>
      <c r="H446" s="175">
        <v>110.00000000000001</v>
      </c>
    </row>
    <row r="447" spans="1:8" x14ac:dyDescent="0.25">
      <c r="A447" s="172">
        <v>43361</v>
      </c>
      <c r="B447" s="358">
        <v>4772222100061</v>
      </c>
      <c r="C447" s="173">
        <v>477</v>
      </c>
      <c r="D447" s="173">
        <v>2222</v>
      </c>
      <c r="E447" s="173">
        <v>10006</v>
      </c>
      <c r="F447" s="173">
        <v>1</v>
      </c>
      <c r="G447" s="174">
        <v>9</v>
      </c>
      <c r="H447" s="175">
        <v>110.00000000000001</v>
      </c>
    </row>
    <row r="448" spans="1:8" x14ac:dyDescent="0.25">
      <c r="A448" s="172">
        <v>43362</v>
      </c>
      <c r="B448" s="358">
        <v>4772222100021</v>
      </c>
      <c r="C448" s="173">
        <v>477</v>
      </c>
      <c r="D448" s="173">
        <v>2222</v>
      </c>
      <c r="E448" s="173">
        <v>10002</v>
      </c>
      <c r="F448" s="173">
        <v>1</v>
      </c>
      <c r="G448" s="174">
        <v>11</v>
      </c>
      <c r="H448" s="175">
        <v>160</v>
      </c>
    </row>
    <row r="449" spans="1:8" x14ac:dyDescent="0.25">
      <c r="A449" s="172">
        <v>43363</v>
      </c>
      <c r="B449" s="358">
        <v>4772222100061</v>
      </c>
      <c r="C449" s="173">
        <v>477</v>
      </c>
      <c r="D449" s="173">
        <v>2222</v>
      </c>
      <c r="E449" s="173">
        <v>10006</v>
      </c>
      <c r="F449" s="173">
        <v>1</v>
      </c>
      <c r="G449" s="174">
        <v>18</v>
      </c>
      <c r="H449" s="175">
        <v>110.00000000000001</v>
      </c>
    </row>
    <row r="450" spans="1:8" x14ac:dyDescent="0.25">
      <c r="A450" s="172">
        <v>43364</v>
      </c>
      <c r="B450" s="358">
        <v>4772222100021</v>
      </c>
      <c r="C450" s="173">
        <v>477</v>
      </c>
      <c r="D450" s="173">
        <v>2222</v>
      </c>
      <c r="E450" s="173">
        <v>10002</v>
      </c>
      <c r="F450" s="173">
        <v>1</v>
      </c>
      <c r="G450" s="174">
        <v>13</v>
      </c>
      <c r="H450" s="175">
        <v>160</v>
      </c>
    </row>
    <row r="451" spans="1:8" x14ac:dyDescent="0.25">
      <c r="A451" s="172">
        <v>43367</v>
      </c>
      <c r="B451" s="358">
        <v>4772222100021</v>
      </c>
      <c r="C451" s="173">
        <v>477</v>
      </c>
      <c r="D451" s="173">
        <v>2222</v>
      </c>
      <c r="E451" s="173">
        <v>10002</v>
      </c>
      <c r="F451" s="173">
        <v>1</v>
      </c>
      <c r="G451" s="174">
        <v>20</v>
      </c>
      <c r="H451" s="175">
        <v>160</v>
      </c>
    </row>
    <row r="452" spans="1:8" x14ac:dyDescent="0.25">
      <c r="A452" s="172">
        <v>43368</v>
      </c>
      <c r="B452" s="358">
        <v>4772222100051</v>
      </c>
      <c r="C452" s="173">
        <v>477</v>
      </c>
      <c r="D452" s="173">
        <v>2222</v>
      </c>
      <c r="E452" s="173">
        <v>10005</v>
      </c>
      <c r="F452" s="173">
        <v>1</v>
      </c>
      <c r="G452" s="174">
        <v>21</v>
      </c>
      <c r="H452" s="175">
        <v>140</v>
      </c>
    </row>
    <row r="453" spans="1:8" x14ac:dyDescent="0.25">
      <c r="A453" s="172">
        <v>43369</v>
      </c>
      <c r="B453" s="358">
        <v>5023333100041</v>
      </c>
      <c r="C453" s="173">
        <v>502</v>
      </c>
      <c r="D453" s="173">
        <v>3333</v>
      </c>
      <c r="E453" s="173">
        <v>10004</v>
      </c>
      <c r="F453" s="173">
        <v>1</v>
      </c>
      <c r="G453" s="174">
        <v>12</v>
      </c>
      <c r="H453" s="175">
        <v>200</v>
      </c>
    </row>
    <row r="454" spans="1:8" x14ac:dyDescent="0.25">
      <c r="A454" s="172">
        <v>43370</v>
      </c>
      <c r="B454" s="358">
        <v>4772222100061</v>
      </c>
      <c r="C454" s="173">
        <v>477</v>
      </c>
      <c r="D454" s="173">
        <v>2222</v>
      </c>
      <c r="E454" s="173">
        <v>10006</v>
      </c>
      <c r="F454" s="173">
        <v>1</v>
      </c>
      <c r="G454" s="174">
        <v>18</v>
      </c>
      <c r="H454" s="175">
        <v>110.00000000000001</v>
      </c>
    </row>
    <row r="455" spans="1:8" x14ac:dyDescent="0.25">
      <c r="A455" s="172">
        <v>43371</v>
      </c>
      <c r="B455" s="358">
        <v>4772222100051</v>
      </c>
      <c r="C455" s="173">
        <v>477</v>
      </c>
      <c r="D455" s="173">
        <v>2222</v>
      </c>
      <c r="E455" s="173">
        <v>10005</v>
      </c>
      <c r="F455" s="173">
        <v>1</v>
      </c>
      <c r="G455" s="174">
        <v>16</v>
      </c>
      <c r="H455" s="175">
        <v>140</v>
      </c>
    </row>
    <row r="456" spans="1:8" x14ac:dyDescent="0.25">
      <c r="A456" s="172">
        <v>43374</v>
      </c>
      <c r="B456" s="358">
        <v>5023333100041</v>
      </c>
      <c r="C456" s="173">
        <v>502</v>
      </c>
      <c r="D456" s="173">
        <v>3333</v>
      </c>
      <c r="E456" s="173">
        <v>10004</v>
      </c>
      <c r="F456" s="173">
        <v>1</v>
      </c>
      <c r="G456" s="174">
        <v>15</v>
      </c>
      <c r="H456" s="175">
        <v>200</v>
      </c>
    </row>
    <row r="457" spans="1:8" x14ac:dyDescent="0.25">
      <c r="A457" s="172">
        <v>43375</v>
      </c>
      <c r="B457" s="358">
        <v>4772222100061</v>
      </c>
      <c r="C457" s="173">
        <v>477</v>
      </c>
      <c r="D457" s="173">
        <v>2222</v>
      </c>
      <c r="E457" s="173">
        <v>10006</v>
      </c>
      <c r="F457" s="173">
        <v>1</v>
      </c>
      <c r="G457" s="174">
        <v>24</v>
      </c>
      <c r="H457" s="175">
        <v>110.00000000000001</v>
      </c>
    </row>
    <row r="458" spans="1:8" x14ac:dyDescent="0.25">
      <c r="A458" s="172">
        <v>43376</v>
      </c>
      <c r="B458" s="358">
        <v>4772222100061</v>
      </c>
      <c r="C458" s="173">
        <v>477</v>
      </c>
      <c r="D458" s="173">
        <v>2222</v>
      </c>
      <c r="E458" s="173">
        <v>10006</v>
      </c>
      <c r="F458" s="173">
        <v>1</v>
      </c>
      <c r="G458" s="174">
        <v>23</v>
      </c>
      <c r="H458" s="175">
        <v>110.00000000000001</v>
      </c>
    </row>
    <row r="459" spans="1:8" x14ac:dyDescent="0.25">
      <c r="A459" s="172">
        <v>43377</v>
      </c>
      <c r="B459" s="358">
        <v>4772222100051</v>
      </c>
      <c r="C459" s="173">
        <v>477</v>
      </c>
      <c r="D459" s="173">
        <v>2222</v>
      </c>
      <c r="E459" s="173">
        <v>10005</v>
      </c>
      <c r="F459" s="173">
        <v>1</v>
      </c>
      <c r="G459" s="174">
        <v>18</v>
      </c>
      <c r="H459" s="175">
        <v>140</v>
      </c>
    </row>
    <row r="460" spans="1:8" x14ac:dyDescent="0.25">
      <c r="A460" s="172">
        <v>43378</v>
      </c>
      <c r="B460" s="358">
        <v>4774444100071</v>
      </c>
      <c r="C460" s="173">
        <v>477</v>
      </c>
      <c r="D460" s="173">
        <v>4444</v>
      </c>
      <c r="E460" s="173">
        <v>10007</v>
      </c>
      <c r="F460" s="173">
        <v>1</v>
      </c>
      <c r="G460" s="174">
        <v>26</v>
      </c>
      <c r="H460" s="175">
        <v>140</v>
      </c>
    </row>
    <row r="461" spans="1:8" x14ac:dyDescent="0.25">
      <c r="A461" s="172">
        <v>43381</v>
      </c>
      <c r="B461" s="358">
        <v>4772222100021</v>
      </c>
      <c r="C461" s="173">
        <v>477</v>
      </c>
      <c r="D461" s="173">
        <v>2222</v>
      </c>
      <c r="E461" s="173">
        <v>10002</v>
      </c>
      <c r="F461" s="173">
        <v>1</v>
      </c>
      <c r="G461" s="174">
        <v>6</v>
      </c>
      <c r="H461" s="175">
        <v>160</v>
      </c>
    </row>
    <row r="462" spans="1:8" x14ac:dyDescent="0.25">
      <c r="A462" s="172">
        <v>43382</v>
      </c>
      <c r="B462" s="358">
        <v>4772222100021</v>
      </c>
      <c r="C462" s="173">
        <v>477</v>
      </c>
      <c r="D462" s="173">
        <v>2222</v>
      </c>
      <c r="E462" s="173">
        <v>10002</v>
      </c>
      <c r="F462" s="173">
        <v>1</v>
      </c>
      <c r="G462" s="174">
        <v>12</v>
      </c>
      <c r="H462" s="175">
        <v>160</v>
      </c>
    </row>
    <row r="463" spans="1:8" x14ac:dyDescent="0.25">
      <c r="A463" s="172">
        <v>43383</v>
      </c>
      <c r="B463" s="358">
        <v>3011111100011</v>
      </c>
      <c r="C463" s="173">
        <v>301</v>
      </c>
      <c r="D463" s="173">
        <v>1111</v>
      </c>
      <c r="E463" s="173">
        <v>10001</v>
      </c>
      <c r="F463" s="173">
        <v>1</v>
      </c>
      <c r="G463" s="174">
        <v>15</v>
      </c>
      <c r="H463" s="175">
        <v>210</v>
      </c>
    </row>
    <row r="464" spans="1:8" x14ac:dyDescent="0.25">
      <c r="A464" s="172">
        <v>43384</v>
      </c>
      <c r="B464" s="358">
        <v>5013333100031</v>
      </c>
      <c r="C464" s="173">
        <v>501</v>
      </c>
      <c r="D464" s="173">
        <v>3333</v>
      </c>
      <c r="E464" s="173">
        <v>10003</v>
      </c>
      <c r="F464" s="173">
        <v>1</v>
      </c>
      <c r="G464" s="174">
        <v>12</v>
      </c>
      <c r="H464" s="175">
        <v>210</v>
      </c>
    </row>
    <row r="465" spans="1:8" x14ac:dyDescent="0.25">
      <c r="A465" s="172">
        <v>43385</v>
      </c>
      <c r="B465" s="358">
        <v>4772222100021</v>
      </c>
      <c r="C465" s="173">
        <v>477</v>
      </c>
      <c r="D465" s="173">
        <v>2222</v>
      </c>
      <c r="E465" s="173">
        <v>10002</v>
      </c>
      <c r="F465" s="173">
        <v>1</v>
      </c>
      <c r="G465" s="174">
        <v>24</v>
      </c>
      <c r="H465" s="175">
        <v>160</v>
      </c>
    </row>
    <row r="466" spans="1:8" x14ac:dyDescent="0.25">
      <c r="A466" s="172">
        <v>43388</v>
      </c>
      <c r="B466" s="358">
        <v>4772222100021</v>
      </c>
      <c r="C466" s="173">
        <v>477</v>
      </c>
      <c r="D466" s="173">
        <v>2222</v>
      </c>
      <c r="E466" s="173">
        <v>10002</v>
      </c>
      <c r="F466" s="173">
        <v>1</v>
      </c>
      <c r="G466" s="174">
        <v>12</v>
      </c>
      <c r="H466" s="175">
        <v>160</v>
      </c>
    </row>
    <row r="467" spans="1:8" x14ac:dyDescent="0.25">
      <c r="A467" s="172">
        <v>43389</v>
      </c>
      <c r="B467" s="358">
        <v>4772222100061</v>
      </c>
      <c r="C467" s="173">
        <v>477</v>
      </c>
      <c r="D467" s="173">
        <v>2222</v>
      </c>
      <c r="E467" s="173">
        <v>10006</v>
      </c>
      <c r="F467" s="173">
        <v>1</v>
      </c>
      <c r="G467" s="174">
        <v>20</v>
      </c>
      <c r="H467" s="175">
        <v>110.00000000000001</v>
      </c>
    </row>
    <row r="468" spans="1:8" x14ac:dyDescent="0.25">
      <c r="A468" s="172">
        <v>43390</v>
      </c>
      <c r="B468" s="358">
        <v>4772222100061</v>
      </c>
      <c r="C468" s="173">
        <v>477</v>
      </c>
      <c r="D468" s="173">
        <v>2222</v>
      </c>
      <c r="E468" s="173">
        <v>10006</v>
      </c>
      <c r="F468" s="173">
        <v>1</v>
      </c>
      <c r="G468" s="174">
        <v>11</v>
      </c>
      <c r="H468" s="175">
        <v>110.00000000000001</v>
      </c>
    </row>
    <row r="469" spans="1:8" x14ac:dyDescent="0.25">
      <c r="A469" s="172">
        <v>43391</v>
      </c>
      <c r="B469" s="358">
        <v>4772222100061</v>
      </c>
      <c r="C469" s="173">
        <v>477</v>
      </c>
      <c r="D469" s="173">
        <v>2222</v>
      </c>
      <c r="E469" s="173">
        <v>10006</v>
      </c>
      <c r="F469" s="173">
        <v>1</v>
      </c>
      <c r="G469" s="174">
        <v>18</v>
      </c>
      <c r="H469" s="175">
        <v>110.00000000000001</v>
      </c>
    </row>
    <row r="470" spans="1:8" x14ac:dyDescent="0.25">
      <c r="A470" s="172">
        <v>43392</v>
      </c>
      <c r="B470" s="358">
        <v>4772222100061</v>
      </c>
      <c r="C470" s="173">
        <v>477</v>
      </c>
      <c r="D470" s="173">
        <v>2222</v>
      </c>
      <c r="E470" s="173">
        <v>10006</v>
      </c>
      <c r="F470" s="173">
        <v>1</v>
      </c>
      <c r="G470" s="174">
        <v>18</v>
      </c>
      <c r="H470" s="175">
        <v>110.00000000000001</v>
      </c>
    </row>
    <row r="471" spans="1:8" x14ac:dyDescent="0.25">
      <c r="A471" s="172">
        <v>43395</v>
      </c>
      <c r="B471" s="358">
        <v>4772222100021</v>
      </c>
      <c r="C471" s="173">
        <v>477</v>
      </c>
      <c r="D471" s="173">
        <v>2222</v>
      </c>
      <c r="E471" s="173">
        <v>10002</v>
      </c>
      <c r="F471" s="173">
        <v>1</v>
      </c>
      <c r="G471" s="174">
        <v>17</v>
      </c>
      <c r="H471" s="175">
        <v>160</v>
      </c>
    </row>
    <row r="472" spans="1:8" x14ac:dyDescent="0.25">
      <c r="A472" s="172">
        <v>43396</v>
      </c>
      <c r="B472" s="358">
        <v>5013333100031</v>
      </c>
      <c r="C472" s="173">
        <v>501</v>
      </c>
      <c r="D472" s="173">
        <v>3333</v>
      </c>
      <c r="E472" s="173">
        <v>10003</v>
      </c>
      <c r="F472" s="173">
        <v>1</v>
      </c>
      <c r="G472" s="174">
        <v>15</v>
      </c>
      <c r="H472" s="175">
        <v>210</v>
      </c>
    </row>
    <row r="473" spans="1:8" x14ac:dyDescent="0.25">
      <c r="A473" s="172">
        <v>43397</v>
      </c>
      <c r="B473" s="358">
        <v>4772222100051</v>
      </c>
      <c r="C473" s="173">
        <v>477</v>
      </c>
      <c r="D473" s="173">
        <v>2222</v>
      </c>
      <c r="E473" s="173">
        <v>10005</v>
      </c>
      <c r="F473" s="173">
        <v>1</v>
      </c>
      <c r="G473" s="174">
        <v>7</v>
      </c>
      <c r="H473" s="175">
        <v>140</v>
      </c>
    </row>
    <row r="474" spans="1:8" x14ac:dyDescent="0.25">
      <c r="A474" s="172">
        <v>43398</v>
      </c>
      <c r="B474" s="358">
        <v>4772222100021</v>
      </c>
      <c r="C474" s="173">
        <v>477</v>
      </c>
      <c r="D474" s="173">
        <v>2222</v>
      </c>
      <c r="E474" s="173">
        <v>10002</v>
      </c>
      <c r="F474" s="173">
        <v>1</v>
      </c>
      <c r="G474" s="174">
        <v>26</v>
      </c>
      <c r="H474" s="175">
        <v>160</v>
      </c>
    </row>
    <row r="475" spans="1:8" x14ac:dyDescent="0.25">
      <c r="A475" s="172">
        <v>43399</v>
      </c>
      <c r="B475" s="358">
        <v>4772222100061</v>
      </c>
      <c r="C475" s="173">
        <v>477</v>
      </c>
      <c r="D475" s="173">
        <v>2222</v>
      </c>
      <c r="E475" s="173">
        <v>10006</v>
      </c>
      <c r="F475" s="173">
        <v>1</v>
      </c>
      <c r="G475" s="174">
        <v>24</v>
      </c>
      <c r="H475" s="175">
        <v>110.00000000000001</v>
      </c>
    </row>
    <row r="476" spans="1:8" x14ac:dyDescent="0.25">
      <c r="A476" s="172">
        <v>43402</v>
      </c>
      <c r="B476" s="358">
        <v>4772222100061</v>
      </c>
      <c r="C476" s="173">
        <v>477</v>
      </c>
      <c r="D476" s="173">
        <v>2222</v>
      </c>
      <c r="E476" s="173">
        <v>10006</v>
      </c>
      <c r="F476" s="173">
        <v>1</v>
      </c>
      <c r="G476" s="174">
        <v>8</v>
      </c>
      <c r="H476" s="175">
        <v>110.00000000000001</v>
      </c>
    </row>
    <row r="477" spans="1:8" x14ac:dyDescent="0.25">
      <c r="A477" s="172">
        <v>43403</v>
      </c>
      <c r="B477" s="358">
        <v>4772222100021</v>
      </c>
      <c r="C477" s="173">
        <v>477</v>
      </c>
      <c r="D477" s="173">
        <v>2222</v>
      </c>
      <c r="E477" s="173">
        <v>10002</v>
      </c>
      <c r="F477" s="173">
        <v>1</v>
      </c>
      <c r="G477" s="174">
        <v>23</v>
      </c>
      <c r="H477" s="175">
        <v>160</v>
      </c>
    </row>
    <row r="478" spans="1:8" x14ac:dyDescent="0.25">
      <c r="A478" s="172">
        <v>43404</v>
      </c>
      <c r="B478" s="358">
        <v>4772222100021</v>
      </c>
      <c r="C478" s="173">
        <v>477</v>
      </c>
      <c r="D478" s="173">
        <v>2222</v>
      </c>
      <c r="E478" s="173">
        <v>10002</v>
      </c>
      <c r="F478" s="173">
        <v>1</v>
      </c>
      <c r="G478" s="174">
        <v>10</v>
      </c>
      <c r="H478" s="175">
        <v>160</v>
      </c>
    </row>
    <row r="479" spans="1:8" x14ac:dyDescent="0.25">
      <c r="A479" s="172">
        <v>43405</v>
      </c>
      <c r="B479" s="358">
        <v>4772222100021</v>
      </c>
      <c r="C479" s="173">
        <v>477</v>
      </c>
      <c r="D479" s="173">
        <v>2222</v>
      </c>
      <c r="E479" s="173">
        <v>10002</v>
      </c>
      <c r="F479" s="173">
        <v>1</v>
      </c>
      <c r="G479" s="174">
        <v>12</v>
      </c>
      <c r="H479" s="175">
        <v>160</v>
      </c>
    </row>
    <row r="480" spans="1:8" x14ac:dyDescent="0.25">
      <c r="A480" s="172">
        <v>43406</v>
      </c>
      <c r="B480" s="358">
        <v>4772222100051</v>
      </c>
      <c r="C480" s="173">
        <v>477</v>
      </c>
      <c r="D480" s="173">
        <v>2222</v>
      </c>
      <c r="E480" s="173">
        <v>10005</v>
      </c>
      <c r="F480" s="173">
        <v>1</v>
      </c>
      <c r="G480" s="174">
        <v>17</v>
      </c>
      <c r="H480" s="175">
        <v>140</v>
      </c>
    </row>
    <row r="481" spans="1:8" x14ac:dyDescent="0.25">
      <c r="A481" s="172">
        <v>43409</v>
      </c>
      <c r="B481" s="358">
        <v>4772222100021</v>
      </c>
      <c r="C481" s="173">
        <v>477</v>
      </c>
      <c r="D481" s="173">
        <v>2222</v>
      </c>
      <c r="E481" s="173">
        <v>10002</v>
      </c>
      <c r="F481" s="173">
        <v>1</v>
      </c>
      <c r="G481" s="174">
        <v>17</v>
      </c>
      <c r="H481" s="175">
        <v>160</v>
      </c>
    </row>
    <row r="482" spans="1:8" x14ac:dyDescent="0.25">
      <c r="A482" s="172">
        <v>43410</v>
      </c>
      <c r="B482" s="358">
        <v>4772222100061</v>
      </c>
      <c r="C482" s="173">
        <v>477</v>
      </c>
      <c r="D482" s="173">
        <v>2222</v>
      </c>
      <c r="E482" s="173">
        <v>10006</v>
      </c>
      <c r="F482" s="173">
        <v>1</v>
      </c>
      <c r="G482" s="174">
        <v>11</v>
      </c>
      <c r="H482" s="175">
        <v>110.00000000000001</v>
      </c>
    </row>
    <row r="483" spans="1:8" x14ac:dyDescent="0.25">
      <c r="A483" s="172">
        <v>43411</v>
      </c>
      <c r="B483" s="358">
        <v>5023333100041</v>
      </c>
      <c r="C483" s="173">
        <v>502</v>
      </c>
      <c r="D483" s="173">
        <v>3333</v>
      </c>
      <c r="E483" s="173">
        <v>10004</v>
      </c>
      <c r="F483" s="173">
        <v>1</v>
      </c>
      <c r="G483" s="174">
        <v>12</v>
      </c>
      <c r="H483" s="175">
        <v>200</v>
      </c>
    </row>
    <row r="484" spans="1:8" x14ac:dyDescent="0.25">
      <c r="A484" s="172">
        <v>43412</v>
      </c>
      <c r="B484" s="358">
        <v>4772222100021</v>
      </c>
      <c r="C484" s="173">
        <v>477</v>
      </c>
      <c r="D484" s="173">
        <v>2222</v>
      </c>
      <c r="E484" s="173">
        <v>10002</v>
      </c>
      <c r="F484" s="173">
        <v>1</v>
      </c>
      <c r="G484" s="174">
        <v>23</v>
      </c>
      <c r="H484" s="175">
        <v>160</v>
      </c>
    </row>
    <row r="485" spans="1:8" x14ac:dyDescent="0.25">
      <c r="A485" s="172">
        <v>43413</v>
      </c>
      <c r="B485" s="358">
        <v>4774444100071</v>
      </c>
      <c r="C485" s="173">
        <v>477</v>
      </c>
      <c r="D485" s="173">
        <v>4444</v>
      </c>
      <c r="E485" s="173">
        <v>10007</v>
      </c>
      <c r="F485" s="173">
        <v>1</v>
      </c>
      <c r="G485" s="174">
        <v>10</v>
      </c>
      <c r="H485" s="175">
        <v>140</v>
      </c>
    </row>
    <row r="486" spans="1:8" x14ac:dyDescent="0.25">
      <c r="A486" s="172">
        <v>43416</v>
      </c>
      <c r="B486" s="358">
        <v>4772222100021</v>
      </c>
      <c r="C486" s="173">
        <v>477</v>
      </c>
      <c r="D486" s="173">
        <v>2222</v>
      </c>
      <c r="E486" s="173">
        <v>10002</v>
      </c>
      <c r="F486" s="173">
        <v>1</v>
      </c>
      <c r="G486" s="174">
        <v>19</v>
      </c>
      <c r="H486" s="175">
        <v>160</v>
      </c>
    </row>
    <row r="487" spans="1:8" x14ac:dyDescent="0.25">
      <c r="A487" s="172">
        <v>43417</v>
      </c>
      <c r="B487" s="358">
        <v>4774444100071</v>
      </c>
      <c r="C487" s="173">
        <v>477</v>
      </c>
      <c r="D487" s="173">
        <v>4444</v>
      </c>
      <c r="E487" s="173">
        <v>10007</v>
      </c>
      <c r="F487" s="173">
        <v>1</v>
      </c>
      <c r="G487" s="174">
        <v>20</v>
      </c>
      <c r="H487" s="175">
        <v>140</v>
      </c>
    </row>
    <row r="488" spans="1:8" x14ac:dyDescent="0.25">
      <c r="A488" s="172">
        <v>43418</v>
      </c>
      <c r="B488" s="358">
        <v>4772222100051</v>
      </c>
      <c r="C488" s="173">
        <v>477</v>
      </c>
      <c r="D488" s="173">
        <v>2222</v>
      </c>
      <c r="E488" s="173">
        <v>10005</v>
      </c>
      <c r="F488" s="173">
        <v>1</v>
      </c>
      <c r="G488" s="174">
        <v>23</v>
      </c>
      <c r="H488" s="175">
        <v>140</v>
      </c>
    </row>
    <row r="489" spans="1:8" x14ac:dyDescent="0.25">
      <c r="A489" s="172">
        <v>43419</v>
      </c>
      <c r="B489" s="358">
        <v>4772222100061</v>
      </c>
      <c r="C489" s="173">
        <v>477</v>
      </c>
      <c r="D489" s="173">
        <v>2222</v>
      </c>
      <c r="E489" s="173">
        <v>10006</v>
      </c>
      <c r="F489" s="173">
        <v>1</v>
      </c>
      <c r="G489" s="174">
        <v>8</v>
      </c>
      <c r="H489" s="175">
        <v>110.00000000000001</v>
      </c>
    </row>
    <row r="490" spans="1:8" x14ac:dyDescent="0.25">
      <c r="A490" s="172">
        <v>43420</v>
      </c>
      <c r="B490" s="358">
        <v>4772222100061</v>
      </c>
      <c r="C490" s="173">
        <v>477</v>
      </c>
      <c r="D490" s="173">
        <v>2222</v>
      </c>
      <c r="E490" s="173">
        <v>10006</v>
      </c>
      <c r="F490" s="173">
        <v>1</v>
      </c>
      <c r="G490" s="174">
        <v>23</v>
      </c>
      <c r="H490" s="175">
        <v>110.00000000000001</v>
      </c>
    </row>
    <row r="491" spans="1:8" x14ac:dyDescent="0.25">
      <c r="A491" s="172">
        <v>43423</v>
      </c>
      <c r="B491" s="358">
        <v>4772222100021</v>
      </c>
      <c r="C491" s="173">
        <v>477</v>
      </c>
      <c r="D491" s="173">
        <v>2222</v>
      </c>
      <c r="E491" s="173">
        <v>10002</v>
      </c>
      <c r="F491" s="173">
        <v>1</v>
      </c>
      <c r="G491" s="174">
        <v>20</v>
      </c>
      <c r="H491" s="175">
        <v>160</v>
      </c>
    </row>
    <row r="492" spans="1:8" x14ac:dyDescent="0.25">
      <c r="A492" s="172">
        <v>43424</v>
      </c>
      <c r="B492" s="358">
        <v>5013333100031</v>
      </c>
      <c r="C492" s="173">
        <v>501</v>
      </c>
      <c r="D492" s="173">
        <v>3333</v>
      </c>
      <c r="E492" s="173">
        <v>10003</v>
      </c>
      <c r="F492" s="173">
        <v>1</v>
      </c>
      <c r="G492" s="174">
        <v>9</v>
      </c>
      <c r="H492" s="175">
        <v>210</v>
      </c>
    </row>
    <row r="493" spans="1:8" x14ac:dyDescent="0.25">
      <c r="A493" s="172">
        <v>43425</v>
      </c>
      <c r="B493" s="358">
        <v>5023333100041</v>
      </c>
      <c r="C493" s="173">
        <v>502</v>
      </c>
      <c r="D493" s="173">
        <v>3333</v>
      </c>
      <c r="E493" s="173">
        <v>10004</v>
      </c>
      <c r="F493" s="173">
        <v>1</v>
      </c>
      <c r="G493" s="174">
        <v>15</v>
      </c>
      <c r="H493" s="175">
        <v>200</v>
      </c>
    </row>
    <row r="494" spans="1:8" x14ac:dyDescent="0.25">
      <c r="A494" s="172">
        <v>43426</v>
      </c>
      <c r="B494" s="358">
        <v>5023333100041</v>
      </c>
      <c r="C494" s="173">
        <v>502</v>
      </c>
      <c r="D494" s="173">
        <v>3333</v>
      </c>
      <c r="E494" s="173">
        <v>10004</v>
      </c>
      <c r="F494" s="173">
        <v>1</v>
      </c>
      <c r="G494" s="174">
        <v>8</v>
      </c>
      <c r="H494" s="175">
        <v>200</v>
      </c>
    </row>
    <row r="495" spans="1:8" x14ac:dyDescent="0.25">
      <c r="A495" s="172">
        <v>43427</v>
      </c>
      <c r="B495" s="358">
        <v>5013333100031</v>
      </c>
      <c r="C495" s="173">
        <v>501</v>
      </c>
      <c r="D495" s="173">
        <v>3333</v>
      </c>
      <c r="E495" s="173">
        <v>10003</v>
      </c>
      <c r="F495" s="173">
        <v>1</v>
      </c>
      <c r="G495" s="174">
        <v>25</v>
      </c>
      <c r="H495" s="175">
        <v>210</v>
      </c>
    </row>
    <row r="496" spans="1:8" x14ac:dyDescent="0.25">
      <c r="A496" s="172">
        <v>43430</v>
      </c>
      <c r="B496" s="358">
        <v>4772222100021</v>
      </c>
      <c r="C496" s="173">
        <v>477</v>
      </c>
      <c r="D496" s="173">
        <v>2222</v>
      </c>
      <c r="E496" s="173">
        <v>10002</v>
      </c>
      <c r="F496" s="173">
        <v>1</v>
      </c>
      <c r="G496" s="174">
        <v>19</v>
      </c>
      <c r="H496" s="175">
        <v>160</v>
      </c>
    </row>
    <row r="497" spans="1:8" x14ac:dyDescent="0.25">
      <c r="A497" s="172">
        <v>43431</v>
      </c>
      <c r="B497" s="358">
        <v>5013333100031</v>
      </c>
      <c r="C497" s="173">
        <v>501</v>
      </c>
      <c r="D497" s="173">
        <v>3333</v>
      </c>
      <c r="E497" s="173">
        <v>10003</v>
      </c>
      <c r="F497" s="173">
        <v>1</v>
      </c>
      <c r="G497" s="174">
        <v>17</v>
      </c>
      <c r="H497" s="175">
        <v>210</v>
      </c>
    </row>
    <row r="498" spans="1:8" x14ac:dyDescent="0.25">
      <c r="A498" s="172">
        <v>43432</v>
      </c>
      <c r="B498" s="358">
        <v>4772222100021</v>
      </c>
      <c r="C498" s="173">
        <v>477</v>
      </c>
      <c r="D498" s="173">
        <v>2222</v>
      </c>
      <c r="E498" s="173">
        <v>10002</v>
      </c>
      <c r="F498" s="173">
        <v>1</v>
      </c>
      <c r="G498" s="174">
        <v>15</v>
      </c>
      <c r="H498" s="175">
        <v>160</v>
      </c>
    </row>
    <row r="499" spans="1:8" x14ac:dyDescent="0.25">
      <c r="A499" s="172">
        <v>43433</v>
      </c>
      <c r="B499" s="358">
        <v>3021111100011</v>
      </c>
      <c r="C499" s="173">
        <v>302</v>
      </c>
      <c r="D499" s="173">
        <v>1111</v>
      </c>
      <c r="E499" s="173">
        <v>10001</v>
      </c>
      <c r="F499" s="173">
        <v>1</v>
      </c>
      <c r="G499" s="174">
        <v>11</v>
      </c>
      <c r="H499" s="175">
        <v>210</v>
      </c>
    </row>
    <row r="500" spans="1:8" x14ac:dyDescent="0.25">
      <c r="A500" s="172">
        <v>43434</v>
      </c>
      <c r="B500" s="358">
        <v>4772222100061</v>
      </c>
      <c r="C500" s="173">
        <v>477</v>
      </c>
      <c r="D500" s="173">
        <v>2222</v>
      </c>
      <c r="E500" s="173">
        <v>10006</v>
      </c>
      <c r="F500" s="173">
        <v>1</v>
      </c>
      <c r="G500" s="174">
        <v>11</v>
      </c>
      <c r="H500" s="175">
        <v>110.00000000000001</v>
      </c>
    </row>
    <row r="501" spans="1:8" x14ac:dyDescent="0.25">
      <c r="A501" s="172">
        <v>43437</v>
      </c>
      <c r="B501" s="358">
        <v>4772222100061</v>
      </c>
      <c r="C501" s="173">
        <v>477</v>
      </c>
      <c r="D501" s="173">
        <v>2222</v>
      </c>
      <c r="E501" s="173">
        <v>10006</v>
      </c>
      <c r="F501" s="173">
        <v>1</v>
      </c>
      <c r="G501" s="174">
        <v>25</v>
      </c>
      <c r="H501" s="175">
        <v>110.00000000000001</v>
      </c>
    </row>
    <row r="502" spans="1:8" x14ac:dyDescent="0.25">
      <c r="A502" s="172">
        <v>43438</v>
      </c>
      <c r="B502" s="358">
        <v>4772222100021</v>
      </c>
      <c r="C502" s="173">
        <v>477</v>
      </c>
      <c r="D502" s="173">
        <v>2222</v>
      </c>
      <c r="E502" s="173">
        <v>10002</v>
      </c>
      <c r="F502" s="173">
        <v>1</v>
      </c>
      <c r="G502" s="174">
        <v>21</v>
      </c>
      <c r="H502" s="175">
        <v>160</v>
      </c>
    </row>
    <row r="503" spans="1:8" x14ac:dyDescent="0.25">
      <c r="A503" s="172">
        <v>43439</v>
      </c>
      <c r="B503" s="358">
        <v>4774444100071</v>
      </c>
      <c r="C503" s="173">
        <v>477</v>
      </c>
      <c r="D503" s="173">
        <v>4444</v>
      </c>
      <c r="E503" s="173">
        <v>10007</v>
      </c>
      <c r="F503" s="173">
        <v>1</v>
      </c>
      <c r="G503" s="174">
        <v>14</v>
      </c>
      <c r="H503" s="175">
        <v>140</v>
      </c>
    </row>
    <row r="504" spans="1:8" x14ac:dyDescent="0.25">
      <c r="A504" s="172">
        <v>43440</v>
      </c>
      <c r="B504" s="358">
        <v>4772222100021</v>
      </c>
      <c r="C504" s="173">
        <v>477</v>
      </c>
      <c r="D504" s="173">
        <v>2222</v>
      </c>
      <c r="E504" s="173">
        <v>10002</v>
      </c>
      <c r="F504" s="173">
        <v>1</v>
      </c>
      <c r="G504" s="174">
        <v>17</v>
      </c>
      <c r="H504" s="175">
        <v>160</v>
      </c>
    </row>
    <row r="505" spans="1:8" x14ac:dyDescent="0.25">
      <c r="A505" s="172">
        <v>43441</v>
      </c>
      <c r="B505" s="358">
        <v>4772222100021</v>
      </c>
      <c r="C505" s="173">
        <v>477</v>
      </c>
      <c r="D505" s="173">
        <v>2222</v>
      </c>
      <c r="E505" s="173">
        <v>10002</v>
      </c>
      <c r="F505" s="173">
        <v>1</v>
      </c>
      <c r="G505" s="174">
        <v>23</v>
      </c>
      <c r="H505" s="175">
        <v>160</v>
      </c>
    </row>
    <row r="506" spans="1:8" x14ac:dyDescent="0.25">
      <c r="A506" s="172">
        <v>43444</v>
      </c>
      <c r="B506" s="358">
        <v>5013333100031</v>
      </c>
      <c r="C506" s="173">
        <v>501</v>
      </c>
      <c r="D506" s="173">
        <v>3333</v>
      </c>
      <c r="E506" s="173">
        <v>10003</v>
      </c>
      <c r="F506" s="173">
        <v>1</v>
      </c>
      <c r="G506" s="174">
        <v>25</v>
      </c>
      <c r="H506" s="175">
        <v>210</v>
      </c>
    </row>
    <row r="507" spans="1:8" x14ac:dyDescent="0.25">
      <c r="A507" s="172">
        <v>43445</v>
      </c>
      <c r="B507" s="358">
        <v>4772222100021</v>
      </c>
      <c r="C507" s="173">
        <v>477</v>
      </c>
      <c r="D507" s="173">
        <v>2222</v>
      </c>
      <c r="E507" s="173">
        <v>10002</v>
      </c>
      <c r="F507" s="173">
        <v>1</v>
      </c>
      <c r="G507" s="174">
        <v>24</v>
      </c>
      <c r="H507" s="175">
        <v>160</v>
      </c>
    </row>
    <row r="508" spans="1:8" x14ac:dyDescent="0.25">
      <c r="A508" s="172">
        <v>43446</v>
      </c>
      <c r="B508" s="358">
        <v>4772222100061</v>
      </c>
      <c r="C508" s="173">
        <v>477</v>
      </c>
      <c r="D508" s="173">
        <v>2222</v>
      </c>
      <c r="E508" s="173">
        <v>10006</v>
      </c>
      <c r="F508" s="173">
        <v>1</v>
      </c>
      <c r="G508" s="174">
        <v>17</v>
      </c>
      <c r="H508" s="175">
        <v>110.00000000000001</v>
      </c>
    </row>
    <row r="509" spans="1:8" x14ac:dyDescent="0.25">
      <c r="A509" s="172">
        <v>43447</v>
      </c>
      <c r="B509" s="358">
        <v>5013333100031</v>
      </c>
      <c r="C509" s="173">
        <v>501</v>
      </c>
      <c r="D509" s="173">
        <v>3333</v>
      </c>
      <c r="E509" s="173">
        <v>10003</v>
      </c>
      <c r="F509" s="173">
        <v>1</v>
      </c>
      <c r="G509" s="174">
        <v>16</v>
      </c>
      <c r="H509" s="175">
        <v>210</v>
      </c>
    </row>
    <row r="510" spans="1:8" x14ac:dyDescent="0.25">
      <c r="A510" s="172">
        <v>43448</v>
      </c>
      <c r="B510" s="358">
        <v>4774444100071</v>
      </c>
      <c r="C510" s="173">
        <v>477</v>
      </c>
      <c r="D510" s="173">
        <v>4444</v>
      </c>
      <c r="E510" s="173">
        <v>10007</v>
      </c>
      <c r="F510" s="173">
        <v>1</v>
      </c>
      <c r="G510" s="174">
        <v>23</v>
      </c>
      <c r="H510" s="175">
        <v>140</v>
      </c>
    </row>
    <row r="511" spans="1:8" x14ac:dyDescent="0.25">
      <c r="A511" s="172">
        <v>43451</v>
      </c>
      <c r="B511" s="358">
        <v>4772222100061</v>
      </c>
      <c r="C511" s="173">
        <v>477</v>
      </c>
      <c r="D511" s="173">
        <v>2222</v>
      </c>
      <c r="E511" s="173">
        <v>10006</v>
      </c>
      <c r="F511" s="173">
        <v>1</v>
      </c>
      <c r="G511" s="174">
        <v>23</v>
      </c>
      <c r="H511" s="175">
        <v>110.00000000000001</v>
      </c>
    </row>
    <row r="512" spans="1:8" x14ac:dyDescent="0.25">
      <c r="A512" s="172">
        <v>43452</v>
      </c>
      <c r="B512" s="358">
        <v>4772222100061</v>
      </c>
      <c r="C512" s="173">
        <v>477</v>
      </c>
      <c r="D512" s="173">
        <v>2222</v>
      </c>
      <c r="E512" s="173">
        <v>10006</v>
      </c>
      <c r="F512" s="173">
        <v>1</v>
      </c>
      <c r="G512" s="174">
        <v>23</v>
      </c>
      <c r="H512" s="175">
        <v>110.00000000000001</v>
      </c>
    </row>
    <row r="513" spans="1:8" x14ac:dyDescent="0.25">
      <c r="A513" s="172">
        <v>43453</v>
      </c>
      <c r="B513" s="358">
        <v>4772222100061</v>
      </c>
      <c r="C513" s="173">
        <v>477</v>
      </c>
      <c r="D513" s="173">
        <v>2222</v>
      </c>
      <c r="E513" s="173">
        <v>10006</v>
      </c>
      <c r="F513" s="173">
        <v>1</v>
      </c>
      <c r="G513" s="174">
        <v>9</v>
      </c>
      <c r="H513" s="175">
        <v>110.00000000000001</v>
      </c>
    </row>
    <row r="514" spans="1:8" x14ac:dyDescent="0.25">
      <c r="A514" s="172">
        <v>43454</v>
      </c>
      <c r="B514" s="358">
        <v>4772222100021</v>
      </c>
      <c r="C514" s="173">
        <v>477</v>
      </c>
      <c r="D514" s="173">
        <v>2222</v>
      </c>
      <c r="E514" s="173">
        <v>10002</v>
      </c>
      <c r="F514" s="173">
        <v>1</v>
      </c>
      <c r="G514" s="174">
        <v>7</v>
      </c>
      <c r="H514" s="175">
        <v>160</v>
      </c>
    </row>
    <row r="515" spans="1:8" x14ac:dyDescent="0.25">
      <c r="A515" s="172">
        <v>43455</v>
      </c>
      <c r="B515" s="358">
        <v>4772222100061</v>
      </c>
      <c r="C515" s="173">
        <v>477</v>
      </c>
      <c r="D515" s="173">
        <v>2222</v>
      </c>
      <c r="E515" s="173">
        <v>10006</v>
      </c>
      <c r="F515" s="173">
        <v>1</v>
      </c>
      <c r="G515" s="174">
        <v>22</v>
      </c>
      <c r="H515" s="175">
        <v>110.00000000000001</v>
      </c>
    </row>
    <row r="516" spans="1:8" x14ac:dyDescent="0.25">
      <c r="A516" s="172">
        <v>43458</v>
      </c>
      <c r="B516" s="358">
        <v>4772222100021</v>
      </c>
      <c r="C516" s="173">
        <v>477</v>
      </c>
      <c r="D516" s="173">
        <v>2222</v>
      </c>
      <c r="E516" s="173">
        <v>10002</v>
      </c>
      <c r="F516" s="173">
        <v>1</v>
      </c>
      <c r="G516" s="174">
        <v>11</v>
      </c>
      <c r="H516" s="175">
        <v>160</v>
      </c>
    </row>
    <row r="517" spans="1:8" x14ac:dyDescent="0.25">
      <c r="A517" s="172">
        <v>43459</v>
      </c>
      <c r="B517" s="358">
        <v>4772222100061</v>
      </c>
      <c r="C517" s="173">
        <v>477</v>
      </c>
      <c r="D517" s="173">
        <v>2222</v>
      </c>
      <c r="E517" s="173">
        <v>10006</v>
      </c>
      <c r="F517" s="173">
        <v>1</v>
      </c>
      <c r="G517" s="174">
        <v>6</v>
      </c>
      <c r="H517" s="175">
        <v>110.00000000000001</v>
      </c>
    </row>
    <row r="518" spans="1:8" x14ac:dyDescent="0.25">
      <c r="A518" s="172">
        <v>43460</v>
      </c>
      <c r="B518" s="358">
        <v>5013333100031</v>
      </c>
      <c r="C518" s="173">
        <v>501</v>
      </c>
      <c r="D518" s="173">
        <v>3333</v>
      </c>
      <c r="E518" s="173">
        <v>10003</v>
      </c>
      <c r="F518" s="173">
        <v>1</v>
      </c>
      <c r="G518" s="174">
        <v>21</v>
      </c>
      <c r="H518" s="175">
        <v>210</v>
      </c>
    </row>
    <row r="519" spans="1:8" x14ac:dyDescent="0.25">
      <c r="A519" s="172">
        <v>43461</v>
      </c>
      <c r="B519" s="358">
        <v>4772222100021</v>
      </c>
      <c r="C519" s="173">
        <v>477</v>
      </c>
      <c r="D519" s="173">
        <v>2222</v>
      </c>
      <c r="E519" s="173">
        <v>10002</v>
      </c>
      <c r="F519" s="173">
        <v>1</v>
      </c>
      <c r="G519" s="174">
        <v>17</v>
      </c>
      <c r="H519" s="175">
        <v>160</v>
      </c>
    </row>
    <row r="520" spans="1:8" x14ac:dyDescent="0.25">
      <c r="A520" s="172">
        <v>43462</v>
      </c>
      <c r="B520" s="358">
        <v>4772222100061</v>
      </c>
      <c r="C520" s="173">
        <v>477</v>
      </c>
      <c r="D520" s="173">
        <v>2222</v>
      </c>
      <c r="E520" s="173">
        <v>10006</v>
      </c>
      <c r="F520" s="173">
        <v>1</v>
      </c>
      <c r="G520" s="174">
        <v>18</v>
      </c>
      <c r="H520" s="175">
        <v>110.00000000000001</v>
      </c>
    </row>
    <row r="521" spans="1:8" x14ac:dyDescent="0.25">
      <c r="A521" s="172">
        <v>43465</v>
      </c>
      <c r="B521" s="358">
        <v>5013333100031</v>
      </c>
      <c r="C521" s="173">
        <v>501</v>
      </c>
      <c r="D521" s="173">
        <v>3333</v>
      </c>
      <c r="E521" s="173">
        <v>10003</v>
      </c>
      <c r="F521" s="173">
        <v>1</v>
      </c>
      <c r="G521" s="174">
        <v>12</v>
      </c>
      <c r="H521" s="175">
        <v>210</v>
      </c>
    </row>
  </sheetData>
  <pageMargins left="0.7" right="0.7" top="0.75" bottom="0.75" header="0.3" footer="0.3"/>
  <pageSetup paperSize="9" orientation="portrait" verticalDpi="0" r:id="rId2"/>
  <tableParts count="4">
    <tablePart r:id="rId3"/>
    <tablePart r:id="rId4"/>
    <tablePart r:id="rId5"/>
    <tablePart r:id="rId6"/>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28"/>
  <sheetViews>
    <sheetView workbookViewId="0">
      <selection activeCell="C9" sqref="C9:I9"/>
    </sheetView>
  </sheetViews>
  <sheetFormatPr defaultRowHeight="15" x14ac:dyDescent="0.25"/>
  <cols>
    <col min="1" max="1" width="12" customWidth="1"/>
    <col min="2" max="2" width="15.140625" customWidth="1"/>
    <col min="3" max="3" width="11.5703125" bestFit="1" customWidth="1"/>
    <col min="4" max="4" width="11.42578125" bestFit="1" customWidth="1"/>
    <col min="5" max="5" width="11.5703125" bestFit="1" customWidth="1"/>
    <col min="6" max="6" width="13.5703125" bestFit="1" customWidth="1"/>
    <col min="7" max="7" width="12.5703125" bestFit="1" customWidth="1"/>
    <col min="8" max="8" width="11.140625" bestFit="1" customWidth="1"/>
    <col min="9" max="9" width="12.42578125" bestFit="1" customWidth="1"/>
    <col min="10" max="10" width="11.42578125" customWidth="1"/>
  </cols>
  <sheetData>
    <row r="1" spans="1:18" ht="23.25" x14ac:dyDescent="0.35">
      <c r="A1" s="257" t="s">
        <v>769</v>
      </c>
      <c r="B1" s="1" t="s">
        <v>734</v>
      </c>
      <c r="C1" s="1"/>
      <c r="D1" s="1"/>
      <c r="E1" s="1"/>
      <c r="F1" s="1"/>
      <c r="G1" s="1"/>
      <c r="H1" s="1"/>
      <c r="I1" s="1"/>
      <c r="J1" s="1"/>
      <c r="K1" s="1"/>
      <c r="L1" s="1"/>
      <c r="M1" s="1"/>
      <c r="N1" s="1"/>
      <c r="O1" s="1"/>
      <c r="P1" s="1"/>
      <c r="Q1" s="1"/>
      <c r="R1" s="1"/>
    </row>
    <row r="2" spans="1:18" x14ac:dyDescent="0.25">
      <c r="A2" s="2"/>
      <c r="B2" s="2"/>
      <c r="C2" s="2"/>
      <c r="D2" s="2"/>
      <c r="E2" s="2"/>
      <c r="F2" s="2"/>
      <c r="G2" s="2"/>
      <c r="H2" s="2"/>
      <c r="I2" s="2"/>
      <c r="J2" s="2"/>
      <c r="K2" s="2"/>
      <c r="L2" s="2"/>
      <c r="M2" s="2"/>
      <c r="N2" s="2"/>
      <c r="O2" s="2"/>
      <c r="P2" s="2"/>
      <c r="Q2" s="2"/>
      <c r="R2" s="2"/>
    </row>
    <row r="3" spans="1:18" x14ac:dyDescent="0.25">
      <c r="A3" s="2"/>
      <c r="B3" s="422" t="s">
        <v>735</v>
      </c>
      <c r="C3" s="422"/>
      <c r="D3" s="422"/>
      <c r="E3" s="422"/>
      <c r="F3" s="422"/>
      <c r="G3" s="422"/>
      <c r="H3" s="422"/>
      <c r="I3" s="422"/>
      <c r="J3" s="422"/>
      <c r="K3" s="422"/>
      <c r="L3" s="422"/>
      <c r="M3" s="422"/>
      <c r="N3" s="422"/>
      <c r="O3" s="422"/>
      <c r="P3" s="422"/>
      <c r="Q3" s="422"/>
      <c r="R3" s="422"/>
    </row>
    <row r="4" spans="1:18" x14ac:dyDescent="0.25">
      <c r="A4" s="2"/>
      <c r="B4" s="422"/>
      <c r="C4" s="422"/>
      <c r="D4" s="422"/>
      <c r="E4" s="422"/>
      <c r="F4" s="422"/>
      <c r="G4" s="422"/>
      <c r="H4" s="422"/>
      <c r="I4" s="422"/>
      <c r="J4" s="422"/>
      <c r="K4" s="422"/>
      <c r="L4" s="422"/>
      <c r="M4" s="422"/>
      <c r="N4" s="422"/>
      <c r="O4" s="422"/>
      <c r="P4" s="422"/>
      <c r="Q4" s="422"/>
      <c r="R4" s="422"/>
    </row>
    <row r="5" spans="1:18" x14ac:dyDescent="0.25">
      <c r="A5" s="2"/>
      <c r="B5" s="422"/>
      <c r="C5" s="422"/>
      <c r="D5" s="422"/>
      <c r="E5" s="422"/>
      <c r="F5" s="422"/>
      <c r="G5" s="422"/>
      <c r="H5" s="422"/>
      <c r="I5" s="422"/>
      <c r="J5" s="422"/>
      <c r="K5" s="422"/>
      <c r="L5" s="422"/>
      <c r="M5" s="422"/>
      <c r="N5" s="422"/>
      <c r="O5" s="422"/>
      <c r="P5" s="422"/>
      <c r="Q5" s="422"/>
      <c r="R5" s="422"/>
    </row>
    <row r="6" spans="1:18" x14ac:dyDescent="0.25">
      <c r="A6" s="2"/>
      <c r="B6" s="420" t="s">
        <v>736</v>
      </c>
      <c r="C6" s="422"/>
      <c r="D6" s="422"/>
      <c r="E6" s="422"/>
      <c r="F6" s="422"/>
      <c r="G6" s="422"/>
      <c r="H6" s="422"/>
      <c r="I6" s="422"/>
      <c r="J6" s="422"/>
      <c r="K6" s="422"/>
      <c r="L6" s="422"/>
      <c r="M6" s="422"/>
      <c r="N6" s="422"/>
      <c r="O6" s="422"/>
      <c r="P6" s="422"/>
      <c r="Q6" s="422"/>
      <c r="R6" s="422"/>
    </row>
    <row r="7" spans="1:18" x14ac:dyDescent="0.25">
      <c r="A7" s="2"/>
      <c r="B7" s="422"/>
      <c r="C7" s="422"/>
      <c r="D7" s="422"/>
      <c r="E7" s="422"/>
      <c r="F7" s="422"/>
      <c r="G7" s="422"/>
      <c r="H7" s="422"/>
      <c r="I7" s="422"/>
      <c r="J7" s="422"/>
      <c r="K7" s="422"/>
      <c r="L7" s="422"/>
      <c r="M7" s="422"/>
      <c r="N7" s="422"/>
      <c r="O7" s="422"/>
      <c r="P7" s="422"/>
      <c r="Q7" s="422"/>
      <c r="R7" s="422"/>
    </row>
    <row r="8" spans="1:18" x14ac:dyDescent="0.25">
      <c r="A8" s="2"/>
      <c r="B8" s="2"/>
      <c r="C8" s="2"/>
      <c r="D8" s="2"/>
      <c r="E8" s="2"/>
      <c r="F8" s="2"/>
      <c r="G8" s="2"/>
      <c r="H8" s="2"/>
      <c r="I8" s="2"/>
      <c r="J8" s="2"/>
      <c r="K8" s="2"/>
      <c r="L8" s="2"/>
      <c r="M8" s="2"/>
      <c r="N8" s="2"/>
      <c r="O8" s="2"/>
      <c r="P8" s="2"/>
      <c r="Q8" s="2"/>
      <c r="R8" s="2"/>
    </row>
    <row r="9" spans="1:18" x14ac:dyDescent="0.25">
      <c r="A9" s="2"/>
      <c r="B9" s="2"/>
      <c r="C9" s="357"/>
      <c r="D9" s="357"/>
      <c r="E9" s="357"/>
      <c r="F9" s="357"/>
      <c r="G9" s="357"/>
      <c r="H9" s="357"/>
      <c r="I9" s="357"/>
      <c r="J9" s="2"/>
      <c r="K9" s="2"/>
      <c r="L9" s="2"/>
      <c r="M9" s="2"/>
      <c r="N9" s="2"/>
      <c r="O9" s="2"/>
      <c r="P9" s="2"/>
      <c r="Q9" s="2"/>
      <c r="R9" s="2"/>
    </row>
    <row r="10" spans="1:18" x14ac:dyDescent="0.25">
      <c r="A10" s="2"/>
      <c r="B10" s="2"/>
      <c r="C10" s="2"/>
      <c r="D10" s="2"/>
      <c r="E10" s="2"/>
      <c r="F10" s="2"/>
      <c r="G10" s="2"/>
      <c r="H10" s="2"/>
      <c r="I10" s="2"/>
      <c r="J10" s="2"/>
      <c r="K10" s="2"/>
      <c r="L10" s="2"/>
      <c r="M10" s="2"/>
      <c r="N10" s="2"/>
      <c r="O10" s="2"/>
      <c r="P10" s="2"/>
      <c r="Q10" s="2"/>
      <c r="R10" s="2"/>
    </row>
    <row r="11" spans="1:18" x14ac:dyDescent="0.25">
      <c r="A11" s="2"/>
      <c r="B11" s="420" t="s">
        <v>737</v>
      </c>
      <c r="C11" s="422"/>
      <c r="D11" s="422"/>
      <c r="E11" s="422"/>
      <c r="F11" s="422"/>
      <c r="G11" s="422"/>
      <c r="H11" s="422"/>
      <c r="I11" s="422"/>
      <c r="J11" s="422"/>
      <c r="K11" s="422"/>
      <c r="L11" s="422"/>
      <c r="M11" s="422"/>
      <c r="N11" s="422"/>
      <c r="O11" s="422"/>
      <c r="P11" s="422"/>
      <c r="Q11" s="422"/>
      <c r="R11" s="422"/>
    </row>
    <row r="12" spans="1:18" x14ac:dyDescent="0.25">
      <c r="A12" s="2"/>
      <c r="B12" s="422"/>
      <c r="C12" s="422"/>
      <c r="D12" s="422"/>
      <c r="E12" s="422"/>
      <c r="F12" s="422"/>
      <c r="G12" s="422"/>
      <c r="H12" s="422"/>
      <c r="I12" s="422"/>
      <c r="J12" s="422"/>
      <c r="K12" s="422"/>
      <c r="L12" s="422"/>
      <c r="M12" s="422"/>
      <c r="N12" s="422"/>
      <c r="O12" s="422"/>
      <c r="P12" s="422"/>
      <c r="Q12" s="422"/>
      <c r="R12" s="422"/>
    </row>
    <row r="13" spans="1:18" x14ac:dyDescent="0.25">
      <c r="A13" s="2"/>
      <c r="B13" s="2"/>
      <c r="C13" s="2"/>
      <c r="D13" s="2"/>
      <c r="E13" s="2"/>
      <c r="F13" s="2"/>
      <c r="G13" s="2"/>
      <c r="H13" s="2"/>
      <c r="I13" s="2"/>
      <c r="J13" s="2"/>
      <c r="K13" s="2"/>
      <c r="L13" s="2"/>
      <c r="M13" s="2"/>
      <c r="N13" s="2"/>
      <c r="O13" s="2"/>
      <c r="P13" s="2"/>
      <c r="Q13" s="2"/>
      <c r="R13" s="2"/>
    </row>
    <row r="14" spans="1:18" x14ac:dyDescent="0.25">
      <c r="A14" s="2"/>
      <c r="B14" s="2"/>
      <c r="C14" s="80"/>
      <c r="D14" s="80"/>
      <c r="E14" s="80"/>
      <c r="F14" s="80"/>
      <c r="G14" s="80"/>
      <c r="H14" s="80"/>
      <c r="I14" s="80"/>
      <c r="J14" s="2"/>
      <c r="K14" s="2"/>
      <c r="L14" s="2"/>
      <c r="M14" s="2"/>
      <c r="N14" s="2"/>
      <c r="O14" s="2"/>
      <c r="P14" s="2"/>
      <c r="Q14" s="2"/>
      <c r="R14" s="2"/>
    </row>
    <row r="15" spans="1:18" x14ac:dyDescent="0.25">
      <c r="A15" s="2"/>
      <c r="B15" s="2"/>
      <c r="C15" s="2"/>
      <c r="D15" s="2"/>
      <c r="E15" s="2"/>
      <c r="F15" s="2"/>
      <c r="G15" s="2"/>
      <c r="H15" s="2"/>
      <c r="I15" s="2"/>
      <c r="J15" s="2"/>
      <c r="K15" s="2"/>
      <c r="L15" s="2"/>
      <c r="M15" s="2"/>
      <c r="N15" s="2"/>
      <c r="O15" s="2"/>
      <c r="P15" s="2"/>
      <c r="Q15" s="2"/>
      <c r="R15" s="2"/>
    </row>
    <row r="16" spans="1:18" x14ac:dyDescent="0.25">
      <c r="A16" s="2"/>
      <c r="B16" s="420" t="s">
        <v>750</v>
      </c>
      <c r="C16" s="422"/>
      <c r="D16" s="422"/>
      <c r="E16" s="422"/>
      <c r="F16" s="422"/>
      <c r="G16" s="422"/>
      <c r="H16" s="422"/>
      <c r="I16" s="422"/>
      <c r="J16" s="422"/>
      <c r="K16" s="422"/>
      <c r="L16" s="422"/>
      <c r="M16" s="422"/>
      <c r="N16" s="422"/>
      <c r="O16" s="422"/>
      <c r="P16" s="422"/>
      <c r="Q16" s="422"/>
      <c r="R16" s="422"/>
    </row>
    <row r="17" spans="1:18" x14ac:dyDescent="0.25">
      <c r="A17" s="2"/>
      <c r="B17" s="422"/>
      <c r="C17" s="422"/>
      <c r="D17" s="422"/>
      <c r="E17" s="422"/>
      <c r="F17" s="422"/>
      <c r="G17" s="422"/>
      <c r="H17" s="422"/>
      <c r="I17" s="422"/>
      <c r="J17" s="422"/>
      <c r="K17" s="422"/>
      <c r="L17" s="422"/>
      <c r="M17" s="422"/>
      <c r="N17" s="422"/>
      <c r="O17" s="422"/>
      <c r="P17" s="422"/>
      <c r="Q17" s="422"/>
      <c r="R17" s="422"/>
    </row>
    <row r="18" spans="1:18" x14ac:dyDescent="0.25">
      <c r="A18" s="2"/>
      <c r="B18" s="422"/>
      <c r="C18" s="422"/>
      <c r="D18" s="422"/>
      <c r="E18" s="422"/>
      <c r="F18" s="422"/>
      <c r="G18" s="422"/>
      <c r="H18" s="422"/>
      <c r="I18" s="422"/>
      <c r="J18" s="422"/>
      <c r="K18" s="422"/>
      <c r="L18" s="422"/>
      <c r="M18" s="422"/>
      <c r="N18" s="422"/>
      <c r="O18" s="422"/>
      <c r="P18" s="422"/>
      <c r="Q18" s="422"/>
      <c r="R18" s="422"/>
    </row>
    <row r="19" spans="1:18" x14ac:dyDescent="0.25">
      <c r="A19" s="2"/>
      <c r="B19" s="2"/>
      <c r="C19" s="2"/>
      <c r="D19" s="2"/>
      <c r="E19" s="2"/>
      <c r="F19" s="2"/>
      <c r="G19" s="2"/>
      <c r="H19" s="2"/>
      <c r="I19" s="2"/>
      <c r="J19" s="2"/>
      <c r="K19" s="2"/>
      <c r="L19" s="2"/>
      <c r="M19" s="2"/>
      <c r="N19" s="2"/>
      <c r="O19" s="2"/>
      <c r="P19" s="2"/>
      <c r="Q19" s="2"/>
      <c r="R19" s="2"/>
    </row>
    <row r="20" spans="1:18" x14ac:dyDescent="0.25">
      <c r="A20" s="2"/>
      <c r="B20" s="80"/>
      <c r="C20">
        <v>2145657</v>
      </c>
      <c r="E20" s="80"/>
      <c r="F20">
        <v>2146</v>
      </c>
      <c r="H20" s="80"/>
      <c r="I20">
        <v>214600</v>
      </c>
      <c r="K20" s="80"/>
      <c r="L20">
        <v>3902</v>
      </c>
      <c r="N20" s="80"/>
      <c r="O20">
        <v>32</v>
      </c>
      <c r="Q20" s="2"/>
      <c r="R20" s="2"/>
    </row>
    <row r="21" spans="1:18" x14ac:dyDescent="0.25">
      <c r="A21" s="2"/>
      <c r="B21" s="2"/>
      <c r="C21">
        <v>5646</v>
      </c>
      <c r="E21" s="2"/>
      <c r="F21">
        <v>564600</v>
      </c>
      <c r="H21" s="2"/>
      <c r="I21">
        <v>565</v>
      </c>
      <c r="K21" s="2"/>
      <c r="L21">
        <v>31075</v>
      </c>
      <c r="N21" s="2"/>
      <c r="O21">
        <v>3822225</v>
      </c>
      <c r="Q21" s="2"/>
      <c r="R21" s="2"/>
    </row>
    <row r="22" spans="1:18" x14ac:dyDescent="0.25">
      <c r="A22" s="2"/>
      <c r="B22" s="2"/>
      <c r="C22">
        <v>45337</v>
      </c>
      <c r="E22" s="2"/>
      <c r="F22">
        <v>46</v>
      </c>
      <c r="H22" s="2"/>
      <c r="I22">
        <v>4600</v>
      </c>
      <c r="K22" s="2"/>
      <c r="L22">
        <v>84</v>
      </c>
      <c r="N22" s="2"/>
      <c r="O22">
        <v>1</v>
      </c>
      <c r="Q22" s="2"/>
      <c r="R22" s="2"/>
    </row>
    <row r="23" spans="1:18" x14ac:dyDescent="0.25">
      <c r="A23" s="2"/>
      <c r="B23" s="2"/>
      <c r="C23">
        <v>12</v>
      </c>
      <c r="E23" s="2"/>
      <c r="F23">
        <v>1200</v>
      </c>
      <c r="H23" s="2"/>
      <c r="I23">
        <v>22</v>
      </c>
      <c r="K23" s="2"/>
      <c r="L23">
        <v>1210</v>
      </c>
      <c r="N23" s="2"/>
      <c r="O23">
        <v>148830</v>
      </c>
      <c r="Q23" s="2"/>
      <c r="R23" s="2"/>
    </row>
    <row r="24" spans="1:18" x14ac:dyDescent="0.25">
      <c r="A24" s="2"/>
      <c r="B24" s="2"/>
      <c r="C24">
        <v>5</v>
      </c>
      <c r="E24" s="2"/>
      <c r="F24">
        <v>500</v>
      </c>
      <c r="H24" s="2"/>
      <c r="I24">
        <v>50000</v>
      </c>
      <c r="K24" s="2"/>
      <c r="L24">
        <v>910</v>
      </c>
      <c r="N24" s="2"/>
      <c r="O24">
        <v>8</v>
      </c>
      <c r="Q24" s="2"/>
      <c r="R24" s="2"/>
    </row>
    <row r="25" spans="1:18" x14ac:dyDescent="0.25">
      <c r="A25" s="2"/>
      <c r="B25" s="2"/>
      <c r="C25">
        <v>856</v>
      </c>
      <c r="E25" s="2"/>
      <c r="F25">
        <v>85600</v>
      </c>
      <c r="H25" s="2"/>
      <c r="I25">
        <v>8560000</v>
      </c>
      <c r="K25" s="2"/>
      <c r="L25">
        <v>155637</v>
      </c>
      <c r="N25" s="2"/>
      <c r="O25">
        <v>1266</v>
      </c>
      <c r="Q25" s="2"/>
      <c r="R25" s="2"/>
    </row>
    <row r="26" spans="1:18" x14ac:dyDescent="0.25">
      <c r="A26" s="2"/>
      <c r="B26" s="2"/>
      <c r="C26">
        <v>9</v>
      </c>
      <c r="D26" s="119">
        <v>100</v>
      </c>
      <c r="E26" s="2"/>
      <c r="F26">
        <v>900</v>
      </c>
      <c r="G26" s="119">
        <v>125</v>
      </c>
      <c r="H26" s="2"/>
      <c r="I26">
        <v>90000</v>
      </c>
      <c r="J26" s="119">
        <v>12</v>
      </c>
      <c r="K26" s="2"/>
      <c r="L26">
        <v>15</v>
      </c>
      <c r="M26" s="119">
        <v>14</v>
      </c>
      <c r="N26" s="2"/>
      <c r="O26">
        <v>1845</v>
      </c>
      <c r="P26" s="119">
        <v>18</v>
      </c>
      <c r="Q26" s="2"/>
      <c r="R26" s="2"/>
    </row>
    <row r="27" spans="1:18" x14ac:dyDescent="0.25">
      <c r="A27" s="2"/>
      <c r="B27" s="2"/>
      <c r="C27" s="119"/>
      <c r="E27" s="2"/>
      <c r="F27" s="119"/>
      <c r="H27" s="2"/>
      <c r="I27" s="119"/>
      <c r="K27" s="2"/>
      <c r="L27" s="119"/>
      <c r="N27" s="2"/>
      <c r="O27" s="119"/>
      <c r="Q27" s="2"/>
      <c r="R27" s="2"/>
    </row>
    <row r="28" spans="1:18" x14ac:dyDescent="0.25">
      <c r="A28" s="2"/>
      <c r="B28" s="2"/>
      <c r="C28" s="2"/>
      <c r="D28" s="2"/>
      <c r="E28" s="2"/>
      <c r="F28" s="2"/>
      <c r="G28" s="2"/>
      <c r="H28" s="2"/>
      <c r="I28" s="2"/>
      <c r="J28" s="2"/>
      <c r="K28" s="2"/>
      <c r="L28" s="2"/>
      <c r="M28" s="2"/>
      <c r="N28" s="2"/>
      <c r="O28" s="2"/>
      <c r="P28" s="2"/>
      <c r="Q28" s="2"/>
      <c r="R28" s="2"/>
    </row>
  </sheetData>
  <mergeCells count="4">
    <mergeCell ref="B3:R5"/>
    <mergeCell ref="B6:R7"/>
    <mergeCell ref="B11:R12"/>
    <mergeCell ref="B16:R18"/>
  </mergeCells>
  <phoneticPr fontId="22"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14"/>
  <sheetViews>
    <sheetView workbookViewId="0">
      <selection sqref="A1:G11"/>
    </sheetView>
  </sheetViews>
  <sheetFormatPr defaultRowHeight="15" x14ac:dyDescent="0.25"/>
  <cols>
    <col min="1" max="1" width="23" customWidth="1"/>
    <col min="2" max="2" width="27.85546875" customWidth="1"/>
    <col min="3" max="3" width="23.5703125" customWidth="1"/>
    <col min="4" max="4" width="10.42578125" customWidth="1"/>
    <col min="5" max="5" width="13" customWidth="1"/>
    <col min="6" max="6" width="15.5703125" customWidth="1"/>
    <col min="7" max="7" width="20.42578125" customWidth="1"/>
  </cols>
  <sheetData>
    <row r="1" spans="1:13" ht="45" x14ac:dyDescent="0.25">
      <c r="A1" s="120" t="s">
        <v>457</v>
      </c>
      <c r="B1" s="120" t="s">
        <v>458</v>
      </c>
      <c r="C1" s="120" t="s">
        <v>459</v>
      </c>
      <c r="D1" s="120" t="s">
        <v>460</v>
      </c>
      <c r="E1" s="120" t="s">
        <v>461</v>
      </c>
      <c r="F1" s="120" t="s">
        <v>462</v>
      </c>
      <c r="G1" s="120" t="s">
        <v>463</v>
      </c>
    </row>
    <row r="2" spans="1:13" x14ac:dyDescent="0.25">
      <c r="A2" s="121" t="s">
        <v>464</v>
      </c>
      <c r="B2" s="122" t="s">
        <v>465</v>
      </c>
      <c r="C2" s="122" t="s">
        <v>466</v>
      </c>
      <c r="D2" s="33">
        <v>2500</v>
      </c>
      <c r="E2" s="117">
        <v>1.5</v>
      </c>
      <c r="F2" s="117">
        <f>+D2*E2</f>
        <v>3750</v>
      </c>
      <c r="G2" s="45" t="s">
        <v>467</v>
      </c>
    </row>
    <row r="3" spans="1:13" x14ac:dyDescent="0.25">
      <c r="A3" s="121" t="s">
        <v>468</v>
      </c>
      <c r="B3" s="122" t="s">
        <v>469</v>
      </c>
      <c r="C3" s="122" t="s">
        <v>470</v>
      </c>
      <c r="D3" s="33">
        <v>10000</v>
      </c>
      <c r="E3" s="117">
        <v>1.5</v>
      </c>
      <c r="F3" s="117">
        <f t="shared" ref="F3:F11" si="0">+D3*E3</f>
        <v>15000</v>
      </c>
      <c r="G3" s="45" t="s">
        <v>471</v>
      </c>
    </row>
    <row r="4" spans="1:13" x14ac:dyDescent="0.25">
      <c r="A4" s="121" t="s">
        <v>472</v>
      </c>
      <c r="B4" s="122" t="s">
        <v>473</v>
      </c>
      <c r="C4" s="122" t="s">
        <v>474</v>
      </c>
      <c r="D4" s="33">
        <v>150000</v>
      </c>
      <c r="E4" s="117">
        <v>1.5</v>
      </c>
      <c r="F4" s="117">
        <f t="shared" si="0"/>
        <v>225000</v>
      </c>
      <c r="G4" s="45" t="s">
        <v>475</v>
      </c>
    </row>
    <row r="5" spans="1:13" x14ac:dyDescent="0.25">
      <c r="A5" s="121" t="s">
        <v>476</v>
      </c>
      <c r="B5" s="122" t="s">
        <v>477</v>
      </c>
      <c r="C5" s="122" t="s">
        <v>478</v>
      </c>
      <c r="D5" s="33">
        <v>100</v>
      </c>
      <c r="E5" s="117">
        <v>1.5</v>
      </c>
      <c r="F5" s="117">
        <f t="shared" si="0"/>
        <v>150</v>
      </c>
      <c r="G5" s="45" t="s">
        <v>479</v>
      </c>
    </row>
    <row r="6" spans="1:13" x14ac:dyDescent="0.25">
      <c r="A6" s="121" t="s">
        <v>480</v>
      </c>
      <c r="B6" s="122" t="s">
        <v>481</v>
      </c>
      <c r="C6" s="122" t="s">
        <v>482</v>
      </c>
      <c r="D6" s="33">
        <v>2500</v>
      </c>
      <c r="E6" s="117">
        <v>1.5</v>
      </c>
      <c r="F6" s="117">
        <f t="shared" si="0"/>
        <v>3750</v>
      </c>
      <c r="G6" s="45" t="s">
        <v>483</v>
      </c>
    </row>
    <row r="7" spans="1:13" x14ac:dyDescent="0.25">
      <c r="A7" s="121" t="s">
        <v>484</v>
      </c>
      <c r="B7" s="122" t="s">
        <v>485</v>
      </c>
      <c r="C7" s="122" t="s">
        <v>486</v>
      </c>
      <c r="D7" s="33">
        <v>7500</v>
      </c>
      <c r="E7" s="117">
        <v>1.5</v>
      </c>
      <c r="F7" s="117">
        <f t="shared" si="0"/>
        <v>11250</v>
      </c>
      <c r="G7" s="45" t="s">
        <v>487</v>
      </c>
    </row>
    <row r="8" spans="1:13" x14ac:dyDescent="0.25">
      <c r="A8" s="121" t="s">
        <v>488</v>
      </c>
      <c r="B8" s="122" t="s">
        <v>489</v>
      </c>
      <c r="C8" s="122" t="s">
        <v>490</v>
      </c>
      <c r="D8" s="33">
        <v>2000</v>
      </c>
      <c r="E8" s="117">
        <v>1.5</v>
      </c>
      <c r="F8" s="117">
        <f t="shared" si="0"/>
        <v>3000</v>
      </c>
      <c r="G8" s="45" t="s">
        <v>491</v>
      </c>
    </row>
    <row r="9" spans="1:13" x14ac:dyDescent="0.25">
      <c r="A9" s="121" t="s">
        <v>492</v>
      </c>
      <c r="B9" s="122" t="s">
        <v>493</v>
      </c>
      <c r="C9" s="122" t="s">
        <v>494</v>
      </c>
      <c r="D9" s="33">
        <v>10100</v>
      </c>
      <c r="E9" s="117">
        <v>1.5</v>
      </c>
      <c r="F9" s="117">
        <f t="shared" si="0"/>
        <v>15150</v>
      </c>
      <c r="G9" s="45" t="s">
        <v>495</v>
      </c>
    </row>
    <row r="10" spans="1:13" x14ac:dyDescent="0.25">
      <c r="A10" s="121" t="s">
        <v>496</v>
      </c>
      <c r="B10" s="122" t="s">
        <v>497</v>
      </c>
      <c r="C10" s="122" t="s">
        <v>498</v>
      </c>
      <c r="D10" s="33">
        <v>2500</v>
      </c>
      <c r="E10" s="117">
        <v>1.5</v>
      </c>
      <c r="F10" s="117">
        <f t="shared" si="0"/>
        <v>3750</v>
      </c>
      <c r="G10" s="45" t="s">
        <v>499</v>
      </c>
    </row>
    <row r="11" spans="1:13" x14ac:dyDescent="0.25">
      <c r="A11" s="121" t="s">
        <v>500</v>
      </c>
      <c r="B11" s="122" t="s">
        <v>501</v>
      </c>
      <c r="C11" s="122" t="s">
        <v>502</v>
      </c>
      <c r="D11" s="33">
        <v>5000</v>
      </c>
      <c r="E11" s="117">
        <v>1.5</v>
      </c>
      <c r="F11" s="117">
        <f t="shared" si="0"/>
        <v>7500</v>
      </c>
      <c r="G11" s="45" t="s">
        <v>503</v>
      </c>
    </row>
    <row r="13" spans="1:13" ht="23.25" x14ac:dyDescent="0.35">
      <c r="A13" s="257" t="s">
        <v>766</v>
      </c>
      <c r="B13" s="1" t="s">
        <v>504</v>
      </c>
      <c r="C13" s="1"/>
      <c r="D13" s="1"/>
      <c r="E13" s="1"/>
      <c r="F13" s="1"/>
      <c r="G13" s="1"/>
    </row>
    <row r="14" spans="1:13" x14ac:dyDescent="0.25">
      <c r="A14" s="2"/>
      <c r="B14" s="2"/>
      <c r="C14" s="2"/>
      <c r="D14" s="2"/>
      <c r="E14" s="2"/>
      <c r="F14" s="2"/>
      <c r="G14" s="2"/>
      <c r="H14" s="51"/>
      <c r="I14" s="51"/>
      <c r="J14" s="51"/>
      <c r="K14" s="51"/>
      <c r="L14" s="51"/>
      <c r="M14" s="51"/>
    </row>
    <row r="15" spans="1:13" x14ac:dyDescent="0.25">
      <c r="A15" s="422" t="s">
        <v>738</v>
      </c>
      <c r="B15" s="413"/>
      <c r="C15" s="413"/>
      <c r="D15" s="413"/>
      <c r="E15" s="413"/>
      <c r="F15" s="413"/>
      <c r="G15" s="413"/>
      <c r="H15" s="51"/>
      <c r="I15" s="51"/>
      <c r="J15" s="51"/>
      <c r="K15" s="51"/>
      <c r="L15" s="51"/>
      <c r="M15" s="51"/>
    </row>
    <row r="16" spans="1:13" x14ac:dyDescent="0.25">
      <c r="A16" s="422"/>
      <c r="B16" s="413"/>
      <c r="C16" s="413"/>
      <c r="D16" s="413"/>
      <c r="E16" s="413"/>
      <c r="F16" s="413"/>
      <c r="G16" s="413"/>
      <c r="H16" s="51"/>
      <c r="I16" s="51"/>
      <c r="J16" s="51"/>
      <c r="K16" s="51"/>
      <c r="L16" s="51"/>
      <c r="M16" s="51"/>
    </row>
    <row r="17" spans="1:13" x14ac:dyDescent="0.25">
      <c r="A17" s="413"/>
      <c r="B17" s="413"/>
      <c r="C17" s="413"/>
      <c r="D17" s="413"/>
      <c r="E17" s="413"/>
      <c r="F17" s="413"/>
      <c r="G17" s="413"/>
      <c r="H17" s="51"/>
      <c r="I17" s="51"/>
      <c r="J17" s="51"/>
      <c r="K17" s="51"/>
      <c r="L17" s="51"/>
      <c r="M17" s="51"/>
    </row>
    <row r="18" spans="1:13" x14ac:dyDescent="0.25">
      <c r="A18" s="423" t="s">
        <v>739</v>
      </c>
      <c r="B18" s="380"/>
      <c r="C18" s="380"/>
      <c r="D18" s="380"/>
      <c r="E18" s="380"/>
      <c r="F18" s="380"/>
      <c r="G18" s="380"/>
      <c r="H18" s="51"/>
      <c r="I18" s="51"/>
      <c r="J18" s="51"/>
      <c r="K18" s="51"/>
      <c r="L18" s="51"/>
      <c r="M18" s="51"/>
    </row>
    <row r="19" spans="1:13" x14ac:dyDescent="0.25">
      <c r="A19" s="423"/>
      <c r="B19" s="380"/>
      <c r="C19" s="380"/>
      <c r="D19" s="380"/>
      <c r="E19" s="380"/>
      <c r="F19" s="380"/>
      <c r="G19" s="380"/>
      <c r="H19" s="51"/>
      <c r="I19" s="51"/>
      <c r="J19" s="51"/>
      <c r="K19" s="51"/>
      <c r="L19" s="51"/>
      <c r="M19" s="51"/>
    </row>
    <row r="20" spans="1:13" x14ac:dyDescent="0.25">
      <c r="A20" s="423"/>
      <c r="B20" s="380"/>
      <c r="C20" s="380"/>
      <c r="D20" s="380"/>
      <c r="E20" s="380"/>
      <c r="F20" s="380"/>
      <c r="G20" s="380"/>
      <c r="H20" s="51"/>
      <c r="I20" s="51"/>
      <c r="J20" s="51"/>
      <c r="K20" s="51"/>
      <c r="L20" s="51"/>
      <c r="M20" s="51"/>
    </row>
    <row r="21" spans="1:13" x14ac:dyDescent="0.25">
      <c r="A21" s="380"/>
      <c r="B21" s="380"/>
      <c r="C21" s="380"/>
      <c r="D21" s="380"/>
      <c r="E21" s="380"/>
      <c r="F21" s="380"/>
      <c r="G21" s="380"/>
      <c r="H21" s="51"/>
      <c r="I21" s="51"/>
      <c r="J21" s="51"/>
      <c r="K21" s="51"/>
      <c r="L21" s="51"/>
      <c r="M21" s="51"/>
    </row>
    <row r="22" spans="1:13" x14ac:dyDescent="0.25">
      <c r="A22" s="2"/>
      <c r="B22" s="2"/>
      <c r="C22" s="2"/>
      <c r="D22" s="2"/>
      <c r="E22" s="2"/>
      <c r="F22" s="2"/>
      <c r="G22" s="2"/>
      <c r="H22" s="51"/>
      <c r="I22" s="51"/>
      <c r="J22" s="51"/>
      <c r="K22" s="51"/>
      <c r="L22" s="51"/>
      <c r="M22" s="51"/>
    </row>
    <row r="23" spans="1:13" x14ac:dyDescent="0.25">
      <c r="A23" s="2"/>
      <c r="B23" s="2"/>
      <c r="C23" s="2"/>
      <c r="D23" s="2"/>
      <c r="E23" s="2"/>
      <c r="F23" s="2"/>
      <c r="G23" s="2"/>
      <c r="H23" s="51"/>
      <c r="I23" s="51"/>
      <c r="J23" s="51"/>
      <c r="K23" s="51"/>
      <c r="L23" s="51"/>
      <c r="M23" s="51"/>
    </row>
    <row r="24" spans="1:13" x14ac:dyDescent="0.25">
      <c r="A24" s="2" t="s">
        <v>740</v>
      </c>
      <c r="B24" s="123"/>
      <c r="C24" s="123"/>
      <c r="D24" s="123"/>
      <c r="E24" s="123"/>
      <c r="F24" s="123"/>
      <c r="G24" s="123"/>
      <c r="H24" s="51"/>
      <c r="I24" s="51"/>
      <c r="J24" s="51"/>
      <c r="K24" s="51"/>
      <c r="L24" s="51"/>
      <c r="M24" s="51"/>
    </row>
    <row r="25" spans="1:13" x14ac:dyDescent="0.25">
      <c r="A25" s="422" t="s">
        <v>505</v>
      </c>
      <c r="B25" s="422"/>
      <c r="C25" s="422"/>
      <c r="D25" s="422"/>
      <c r="E25" s="422"/>
      <c r="F25" s="422"/>
      <c r="G25" s="422"/>
      <c r="H25" s="51"/>
      <c r="I25" s="51"/>
      <c r="J25" s="51"/>
      <c r="K25" s="51"/>
      <c r="L25" s="51"/>
      <c r="M25" s="51"/>
    </row>
    <row r="26" spans="1:13" x14ac:dyDescent="0.25">
      <c r="A26" s="422"/>
      <c r="B26" s="422"/>
      <c r="C26" s="422"/>
      <c r="D26" s="422"/>
      <c r="E26" s="422"/>
      <c r="F26" s="422"/>
      <c r="G26" s="422"/>
      <c r="H26" s="51"/>
      <c r="I26" s="51"/>
      <c r="J26" s="51"/>
      <c r="K26" s="51"/>
      <c r="L26" s="51"/>
      <c r="M26" s="51"/>
    </row>
    <row r="27" spans="1:13" x14ac:dyDescent="0.25">
      <c r="A27" s="124"/>
      <c r="B27" s="124"/>
      <c r="C27" s="124"/>
      <c r="D27" s="124"/>
      <c r="E27" s="124"/>
      <c r="F27" s="124"/>
      <c r="G27" s="124"/>
      <c r="H27" s="51"/>
      <c r="I27" s="51"/>
      <c r="J27" s="51"/>
      <c r="K27" s="51"/>
      <c r="L27" s="51"/>
      <c r="M27" s="51"/>
    </row>
    <row r="28" spans="1:13" x14ac:dyDescent="0.25">
      <c r="A28" s="2" t="s">
        <v>741</v>
      </c>
      <c r="B28" s="123"/>
      <c r="C28" s="123"/>
      <c r="D28" s="123"/>
      <c r="E28" s="123"/>
      <c r="F28" s="123"/>
      <c r="G28" s="123"/>
      <c r="H28" s="51"/>
      <c r="I28" s="51"/>
      <c r="J28" s="51"/>
      <c r="K28" s="51"/>
      <c r="L28" s="51"/>
      <c r="M28" s="51"/>
    </row>
    <row r="29" spans="1:13" x14ac:dyDescent="0.25">
      <c r="A29" s="422" t="s">
        <v>506</v>
      </c>
      <c r="B29" s="422"/>
      <c r="C29" s="422"/>
      <c r="D29" s="422"/>
      <c r="E29" s="422"/>
      <c r="F29" s="422"/>
      <c r="G29" s="422"/>
      <c r="H29" s="51"/>
      <c r="I29" s="51"/>
      <c r="J29" s="51"/>
      <c r="K29" s="51"/>
      <c r="L29" s="51"/>
      <c r="M29" s="51"/>
    </row>
    <row r="30" spans="1:13" x14ac:dyDescent="0.25">
      <c r="A30" s="422"/>
      <c r="B30" s="422"/>
      <c r="C30" s="422"/>
      <c r="D30" s="422"/>
      <c r="E30" s="422"/>
      <c r="F30" s="422"/>
      <c r="G30" s="422"/>
      <c r="H30" s="51"/>
      <c r="I30" s="51"/>
      <c r="J30" s="51"/>
      <c r="K30" s="51"/>
      <c r="L30" s="51"/>
      <c r="M30" s="51"/>
    </row>
    <row r="31" spans="1:13" x14ac:dyDescent="0.25">
      <c r="A31" s="423" t="s">
        <v>507</v>
      </c>
      <c r="B31" s="423"/>
      <c r="C31" s="423"/>
      <c r="D31" s="423"/>
      <c r="E31" s="423"/>
      <c r="F31" s="423"/>
      <c r="G31" s="423"/>
      <c r="H31" s="51"/>
      <c r="I31" s="51"/>
      <c r="J31" s="51"/>
      <c r="K31" s="51"/>
      <c r="L31" s="51"/>
      <c r="M31" s="51"/>
    </row>
    <row r="32" spans="1:13" x14ac:dyDescent="0.25">
      <c r="A32" s="423"/>
      <c r="B32" s="423"/>
      <c r="C32" s="423"/>
      <c r="D32" s="423"/>
      <c r="E32" s="423"/>
      <c r="F32" s="423"/>
      <c r="G32" s="423"/>
      <c r="H32" s="51"/>
      <c r="I32" s="51"/>
      <c r="J32" s="51"/>
      <c r="K32" s="51"/>
      <c r="L32" s="51"/>
      <c r="M32" s="51"/>
    </row>
    <row r="33" spans="1:13" x14ac:dyDescent="0.25">
      <c r="A33" s="422" t="s">
        <v>508</v>
      </c>
      <c r="B33" s="422"/>
      <c r="C33" s="422"/>
      <c r="D33" s="422"/>
      <c r="E33" s="422"/>
      <c r="F33" s="422"/>
      <c r="G33" s="422"/>
      <c r="H33" s="51"/>
      <c r="I33" s="51"/>
      <c r="J33" s="51"/>
      <c r="K33" s="51"/>
      <c r="L33" s="51"/>
      <c r="M33" s="51"/>
    </row>
    <row r="34" spans="1:13" x14ac:dyDescent="0.25">
      <c r="A34" s="422"/>
      <c r="B34" s="422"/>
      <c r="C34" s="422"/>
      <c r="D34" s="422"/>
      <c r="E34" s="422"/>
      <c r="F34" s="422"/>
      <c r="G34" s="422"/>
      <c r="H34" s="51"/>
      <c r="I34" s="51"/>
      <c r="J34" s="51"/>
      <c r="K34" s="51"/>
      <c r="L34" s="51"/>
      <c r="M34" s="51"/>
    </row>
    <row r="35" spans="1:13" x14ac:dyDescent="0.25">
      <c r="A35" s="422"/>
      <c r="B35" s="422"/>
      <c r="C35" s="422"/>
      <c r="D35" s="422"/>
      <c r="E35" s="422"/>
      <c r="F35" s="422"/>
      <c r="G35" s="422"/>
      <c r="H35" s="51"/>
      <c r="I35" s="51"/>
      <c r="J35" s="51"/>
      <c r="K35" s="51"/>
      <c r="L35" s="51"/>
      <c r="M35" s="51"/>
    </row>
    <row r="36" spans="1:13" x14ac:dyDescent="0.25">
      <c r="A36" s="2" t="s">
        <v>509</v>
      </c>
      <c r="B36" s="123"/>
      <c r="C36" s="123"/>
      <c r="D36" s="123"/>
      <c r="E36" s="123"/>
      <c r="F36" s="123"/>
      <c r="G36" s="123"/>
      <c r="H36" s="51"/>
      <c r="I36" s="51"/>
      <c r="J36" s="51"/>
      <c r="K36" s="51"/>
      <c r="L36" s="51"/>
      <c r="M36" s="51"/>
    </row>
    <row r="37" spans="1:13" x14ac:dyDescent="0.25">
      <c r="A37" s="2"/>
      <c r="B37" s="123"/>
      <c r="C37" s="123"/>
      <c r="D37" s="123"/>
      <c r="E37" s="123"/>
      <c r="F37" s="123"/>
      <c r="G37" s="123"/>
      <c r="H37" s="51"/>
      <c r="I37" s="51"/>
      <c r="J37" s="51"/>
      <c r="K37" s="51"/>
      <c r="L37" s="51"/>
      <c r="M37" s="51"/>
    </row>
    <row r="38" spans="1:13" x14ac:dyDescent="0.25">
      <c r="A38" s="2" t="s">
        <v>510</v>
      </c>
      <c r="B38" s="123"/>
      <c r="C38" s="123"/>
      <c r="D38" s="123"/>
      <c r="E38" s="123"/>
      <c r="F38" s="123"/>
      <c r="G38" s="123"/>
      <c r="H38" s="51"/>
      <c r="I38" s="51"/>
      <c r="J38" s="51"/>
      <c r="K38" s="51"/>
      <c r="L38" s="51"/>
      <c r="M38" s="51"/>
    </row>
    <row r="39" spans="1:13" x14ac:dyDescent="0.25">
      <c r="A39" s="2"/>
      <c r="B39" s="123"/>
      <c r="C39" s="123"/>
      <c r="D39" s="123"/>
      <c r="E39" s="123"/>
      <c r="F39" s="123"/>
      <c r="G39" s="123"/>
      <c r="H39" s="51"/>
      <c r="I39" s="51"/>
      <c r="J39" s="51"/>
      <c r="K39" s="51"/>
      <c r="L39" s="51"/>
      <c r="M39" s="51"/>
    </row>
    <row r="41" spans="1:13" x14ac:dyDescent="0.25">
      <c r="H41" s="51"/>
      <c r="I41" s="51"/>
      <c r="J41" s="51"/>
      <c r="K41" s="51"/>
      <c r="L41" s="51"/>
      <c r="M41" s="51"/>
    </row>
    <row r="51" spans="2:7" x14ac:dyDescent="0.25">
      <c r="B51" s="51"/>
      <c r="C51" s="51"/>
      <c r="D51" s="51"/>
      <c r="E51" s="51"/>
      <c r="F51" s="51"/>
      <c r="G51" s="51"/>
    </row>
    <row r="52" spans="2:7" x14ac:dyDescent="0.25">
      <c r="B52" s="51"/>
      <c r="C52" s="51"/>
      <c r="D52" s="51"/>
      <c r="E52" s="51"/>
      <c r="F52" s="51"/>
      <c r="G52" s="51"/>
    </row>
    <row r="53" spans="2:7" x14ac:dyDescent="0.25">
      <c r="B53" s="51"/>
      <c r="C53" s="51"/>
      <c r="D53" s="51"/>
      <c r="E53" s="51"/>
      <c r="F53" s="51"/>
      <c r="G53" s="51"/>
    </row>
    <row r="54" spans="2:7" x14ac:dyDescent="0.25">
      <c r="B54" s="51"/>
      <c r="C54" s="51"/>
      <c r="D54" s="51"/>
      <c r="E54" s="51"/>
      <c r="F54" s="51"/>
      <c r="G54" s="51"/>
    </row>
    <row r="55" spans="2:7" x14ac:dyDescent="0.25">
      <c r="B55" s="51"/>
      <c r="C55" s="51"/>
      <c r="D55" s="51"/>
      <c r="E55" s="51"/>
      <c r="F55" s="51"/>
      <c r="G55" s="51"/>
    </row>
    <row r="56" spans="2:7" x14ac:dyDescent="0.25">
      <c r="B56" s="51"/>
      <c r="C56" s="51"/>
      <c r="D56" s="51"/>
      <c r="E56" s="51"/>
      <c r="F56" s="51"/>
      <c r="G56" s="51"/>
    </row>
    <row r="57" spans="2:7" x14ac:dyDescent="0.25">
      <c r="B57" s="51"/>
      <c r="C57" s="51"/>
      <c r="D57" s="51"/>
      <c r="E57" s="51"/>
      <c r="F57" s="51"/>
      <c r="G57" s="51"/>
    </row>
    <row r="58" spans="2:7" x14ac:dyDescent="0.25">
      <c r="B58" s="51"/>
      <c r="C58" s="51"/>
      <c r="D58" s="51"/>
      <c r="E58" s="51"/>
      <c r="F58" s="51"/>
      <c r="G58" s="51"/>
    </row>
    <row r="59" spans="2:7" x14ac:dyDescent="0.25">
      <c r="B59" s="51"/>
      <c r="C59" s="51"/>
      <c r="D59" s="51"/>
      <c r="E59" s="51"/>
      <c r="F59" s="51"/>
      <c r="G59" s="51"/>
    </row>
    <row r="60" spans="2:7" x14ac:dyDescent="0.25">
      <c r="B60" s="51"/>
      <c r="C60" s="51"/>
      <c r="D60" s="51"/>
      <c r="E60" s="51"/>
      <c r="F60" s="51"/>
      <c r="G60" s="51"/>
    </row>
    <row r="61" spans="2:7" x14ac:dyDescent="0.25">
      <c r="B61" s="51"/>
      <c r="C61" s="51"/>
      <c r="D61" s="51"/>
      <c r="E61" s="51"/>
      <c r="F61" s="51"/>
      <c r="G61" s="51"/>
    </row>
    <row r="62" spans="2:7" x14ac:dyDescent="0.25">
      <c r="B62" s="51"/>
      <c r="C62" s="51"/>
      <c r="D62" s="51"/>
      <c r="E62" s="51"/>
      <c r="F62" s="51"/>
      <c r="G62" s="51"/>
    </row>
    <row r="63" spans="2:7" x14ac:dyDescent="0.25">
      <c r="B63" s="51"/>
      <c r="C63" s="51"/>
      <c r="D63" s="51"/>
      <c r="E63" s="51"/>
      <c r="F63" s="51"/>
      <c r="G63" s="51"/>
    </row>
    <row r="64" spans="2:7" x14ac:dyDescent="0.25">
      <c r="B64" s="51"/>
      <c r="C64" s="51"/>
      <c r="D64" s="51"/>
      <c r="E64" s="51"/>
      <c r="F64" s="51"/>
      <c r="G64" s="51"/>
    </row>
    <row r="65" spans="2:7" x14ac:dyDescent="0.25">
      <c r="B65" s="51"/>
      <c r="C65" s="51"/>
      <c r="D65" s="51"/>
      <c r="E65" s="51"/>
      <c r="F65" s="51"/>
      <c r="G65" s="51"/>
    </row>
    <row r="66" spans="2:7" x14ac:dyDescent="0.25">
      <c r="B66" s="51"/>
      <c r="C66" s="51"/>
      <c r="D66" s="51"/>
      <c r="E66" s="51"/>
      <c r="F66" s="51"/>
      <c r="G66" s="51"/>
    </row>
    <row r="67" spans="2:7" x14ac:dyDescent="0.25">
      <c r="B67" s="51"/>
      <c r="C67" s="51"/>
      <c r="D67" s="51"/>
      <c r="E67" s="51"/>
      <c r="F67" s="51"/>
      <c r="G67" s="51"/>
    </row>
    <row r="68" spans="2:7" x14ac:dyDescent="0.25">
      <c r="B68" s="51"/>
      <c r="C68" s="51"/>
      <c r="D68" s="51"/>
      <c r="E68" s="51"/>
      <c r="F68" s="51"/>
      <c r="G68" s="51"/>
    </row>
    <row r="69" spans="2:7" x14ac:dyDescent="0.25">
      <c r="B69" s="51"/>
      <c r="C69" s="51"/>
      <c r="D69" s="51"/>
      <c r="E69" s="51"/>
      <c r="F69" s="51"/>
      <c r="G69" s="51"/>
    </row>
    <row r="70" spans="2:7" x14ac:dyDescent="0.25">
      <c r="B70" s="51"/>
      <c r="C70" s="51"/>
      <c r="D70" s="51"/>
      <c r="E70" s="51"/>
      <c r="F70" s="51"/>
      <c r="G70" s="51"/>
    </row>
    <row r="71" spans="2:7" x14ac:dyDescent="0.25">
      <c r="B71" s="51"/>
      <c r="C71" s="51"/>
      <c r="D71" s="51"/>
      <c r="E71" s="51"/>
      <c r="F71" s="51"/>
      <c r="G71" s="51"/>
    </row>
    <row r="72" spans="2:7" x14ac:dyDescent="0.25">
      <c r="B72" s="51"/>
      <c r="C72" s="51"/>
      <c r="D72" s="51"/>
      <c r="E72" s="51"/>
      <c r="F72" s="51"/>
      <c r="G72" s="51"/>
    </row>
    <row r="73" spans="2:7" x14ac:dyDescent="0.25">
      <c r="B73" s="51"/>
      <c r="C73" s="51"/>
      <c r="D73" s="51"/>
      <c r="E73" s="51"/>
      <c r="F73" s="51"/>
      <c r="G73" s="51"/>
    </row>
    <row r="74" spans="2:7" x14ac:dyDescent="0.25">
      <c r="B74" s="51"/>
      <c r="C74" s="51"/>
      <c r="D74" s="51"/>
      <c r="E74" s="51"/>
      <c r="F74" s="51"/>
      <c r="G74" s="51"/>
    </row>
    <row r="75" spans="2:7" x14ac:dyDescent="0.25">
      <c r="B75" s="51"/>
      <c r="C75" s="51"/>
      <c r="D75" s="51"/>
      <c r="E75" s="51"/>
      <c r="F75" s="51"/>
      <c r="G75" s="51"/>
    </row>
    <row r="76" spans="2:7" x14ac:dyDescent="0.25">
      <c r="B76" s="51"/>
      <c r="C76" s="51"/>
      <c r="D76" s="51"/>
      <c r="E76" s="51"/>
      <c r="F76" s="51"/>
      <c r="G76" s="51"/>
    </row>
    <row r="77" spans="2:7" x14ac:dyDescent="0.25">
      <c r="B77" s="51"/>
      <c r="C77" s="51"/>
      <c r="D77" s="51"/>
      <c r="E77" s="51"/>
      <c r="F77" s="51"/>
      <c r="G77" s="51"/>
    </row>
    <row r="78" spans="2:7" x14ac:dyDescent="0.25">
      <c r="B78" s="51"/>
      <c r="C78" s="51"/>
      <c r="D78" s="51"/>
      <c r="E78" s="51"/>
      <c r="F78" s="51"/>
      <c r="G78" s="51"/>
    </row>
    <row r="79" spans="2:7" x14ac:dyDescent="0.25">
      <c r="B79" s="51"/>
      <c r="C79" s="51"/>
      <c r="D79" s="51"/>
      <c r="E79" s="51"/>
      <c r="F79" s="51"/>
      <c r="G79" s="51"/>
    </row>
    <row r="80" spans="2:7" x14ac:dyDescent="0.25">
      <c r="B80" s="51"/>
      <c r="C80" s="51"/>
      <c r="D80" s="51"/>
      <c r="E80" s="51"/>
      <c r="F80" s="51"/>
      <c r="G80" s="51"/>
    </row>
    <row r="81" spans="2:7" x14ac:dyDescent="0.25">
      <c r="B81" s="51"/>
      <c r="C81" s="51"/>
      <c r="D81" s="51"/>
      <c r="E81" s="51"/>
      <c r="F81" s="51"/>
      <c r="G81" s="51"/>
    </row>
    <row r="82" spans="2:7" x14ac:dyDescent="0.25">
      <c r="B82" s="51"/>
      <c r="C82" s="51"/>
      <c r="D82" s="51"/>
      <c r="E82" s="51"/>
      <c r="F82" s="51"/>
      <c r="G82" s="51"/>
    </row>
    <row r="83" spans="2:7" x14ac:dyDescent="0.25">
      <c r="B83" s="51"/>
      <c r="C83" s="51"/>
      <c r="D83" s="51"/>
      <c r="E83" s="51"/>
      <c r="F83" s="51"/>
      <c r="G83" s="51"/>
    </row>
    <row r="84" spans="2:7" x14ac:dyDescent="0.25">
      <c r="B84" s="51"/>
      <c r="C84" s="51"/>
      <c r="D84" s="51"/>
      <c r="E84" s="51"/>
      <c r="F84" s="51"/>
      <c r="G84" s="51"/>
    </row>
    <row r="85" spans="2:7" x14ac:dyDescent="0.25">
      <c r="B85" s="51"/>
      <c r="C85" s="51"/>
      <c r="D85" s="51"/>
      <c r="E85" s="51"/>
      <c r="F85" s="51"/>
      <c r="G85" s="51"/>
    </row>
    <row r="86" spans="2:7" x14ac:dyDescent="0.25">
      <c r="B86" s="51"/>
      <c r="C86" s="51"/>
      <c r="D86" s="51"/>
      <c r="E86" s="51"/>
      <c r="F86" s="51"/>
      <c r="G86" s="51"/>
    </row>
    <row r="87" spans="2:7" x14ac:dyDescent="0.25">
      <c r="B87" s="51"/>
      <c r="C87" s="51"/>
      <c r="D87" s="51"/>
      <c r="E87" s="51"/>
      <c r="F87" s="51"/>
      <c r="G87" s="51"/>
    </row>
    <row r="88" spans="2:7" x14ac:dyDescent="0.25">
      <c r="B88" s="51"/>
      <c r="C88" s="51"/>
      <c r="D88" s="51"/>
      <c r="E88" s="51"/>
      <c r="F88" s="51"/>
      <c r="G88" s="51"/>
    </row>
    <row r="89" spans="2:7" x14ac:dyDescent="0.25">
      <c r="B89" s="51"/>
      <c r="C89" s="51"/>
      <c r="D89" s="51"/>
      <c r="E89" s="51"/>
      <c r="F89" s="51"/>
      <c r="G89" s="51"/>
    </row>
    <row r="90" spans="2:7" x14ac:dyDescent="0.25">
      <c r="B90" s="51"/>
      <c r="C90" s="51"/>
      <c r="D90" s="51"/>
      <c r="E90" s="51"/>
      <c r="F90" s="51"/>
      <c r="G90" s="51"/>
    </row>
    <row r="91" spans="2:7" x14ac:dyDescent="0.25">
      <c r="B91" s="51"/>
      <c r="C91" s="51"/>
      <c r="D91" s="51"/>
      <c r="E91" s="51"/>
      <c r="F91" s="51"/>
      <c r="G91" s="51"/>
    </row>
    <row r="92" spans="2:7" x14ac:dyDescent="0.25">
      <c r="B92" s="51"/>
      <c r="C92" s="51"/>
      <c r="D92" s="51"/>
      <c r="E92" s="51"/>
      <c r="F92" s="51"/>
      <c r="G92" s="51"/>
    </row>
    <row r="93" spans="2:7" x14ac:dyDescent="0.25">
      <c r="B93" s="51"/>
      <c r="C93" s="51"/>
      <c r="D93" s="51"/>
      <c r="E93" s="51"/>
      <c r="F93" s="51"/>
      <c r="G93" s="51"/>
    </row>
    <row r="94" spans="2:7" x14ac:dyDescent="0.25">
      <c r="B94" s="51"/>
      <c r="C94" s="51"/>
      <c r="D94" s="51"/>
      <c r="E94" s="51"/>
      <c r="F94" s="51"/>
      <c r="G94" s="51"/>
    </row>
    <row r="95" spans="2:7" x14ac:dyDescent="0.25">
      <c r="B95" s="51"/>
      <c r="C95" s="51"/>
      <c r="D95" s="51"/>
      <c r="E95" s="51"/>
      <c r="F95" s="51"/>
      <c r="G95" s="51"/>
    </row>
    <row r="96" spans="2:7" x14ac:dyDescent="0.25">
      <c r="B96" s="51"/>
      <c r="C96" s="51"/>
      <c r="D96" s="51"/>
      <c r="E96" s="51"/>
      <c r="F96" s="51"/>
      <c r="G96" s="51"/>
    </row>
    <row r="97" spans="2:7" x14ac:dyDescent="0.25">
      <c r="B97" s="51"/>
      <c r="C97" s="51"/>
      <c r="D97" s="51"/>
      <c r="E97" s="51"/>
      <c r="F97" s="51"/>
      <c r="G97" s="51"/>
    </row>
    <row r="98" spans="2:7" x14ac:dyDescent="0.25">
      <c r="B98" s="51"/>
      <c r="C98" s="51"/>
      <c r="D98" s="51"/>
      <c r="E98" s="51"/>
      <c r="F98" s="51"/>
      <c r="G98" s="51"/>
    </row>
    <row r="99" spans="2:7" x14ac:dyDescent="0.25">
      <c r="B99" s="51"/>
      <c r="C99" s="51"/>
      <c r="D99" s="51"/>
      <c r="E99" s="51"/>
      <c r="F99" s="51"/>
      <c r="G99" s="51"/>
    </row>
    <row r="100" spans="2:7" x14ac:dyDescent="0.25">
      <c r="B100" s="51"/>
      <c r="C100" s="51"/>
      <c r="D100" s="51"/>
      <c r="E100" s="51"/>
      <c r="F100" s="51"/>
      <c r="G100" s="51"/>
    </row>
    <row r="101" spans="2:7" x14ac:dyDescent="0.25">
      <c r="B101" s="51"/>
      <c r="C101" s="51"/>
      <c r="D101" s="51"/>
      <c r="E101" s="51"/>
      <c r="F101" s="51"/>
      <c r="G101" s="51"/>
    </row>
    <row r="102" spans="2:7" x14ac:dyDescent="0.25">
      <c r="B102" s="51"/>
      <c r="C102" s="51"/>
      <c r="D102" s="51"/>
      <c r="E102" s="51"/>
      <c r="F102" s="51"/>
      <c r="G102" s="51"/>
    </row>
    <row r="103" spans="2:7" x14ac:dyDescent="0.25">
      <c r="B103" s="51"/>
      <c r="C103" s="51"/>
      <c r="D103" s="51"/>
      <c r="E103" s="51"/>
      <c r="F103" s="51"/>
      <c r="G103" s="51"/>
    </row>
    <row r="104" spans="2:7" x14ac:dyDescent="0.25">
      <c r="B104" s="51"/>
      <c r="C104" s="51"/>
      <c r="D104" s="51"/>
      <c r="E104" s="51"/>
      <c r="F104" s="51"/>
      <c r="G104" s="51"/>
    </row>
    <row r="105" spans="2:7" x14ac:dyDescent="0.25">
      <c r="B105" s="51"/>
      <c r="C105" s="51"/>
      <c r="D105" s="51"/>
      <c r="E105" s="51"/>
      <c r="F105" s="51"/>
      <c r="G105" s="51"/>
    </row>
    <row r="106" spans="2:7" x14ac:dyDescent="0.25">
      <c r="B106" s="51"/>
      <c r="C106" s="51"/>
      <c r="D106" s="51"/>
      <c r="E106" s="51"/>
      <c r="F106" s="51"/>
      <c r="G106" s="51"/>
    </row>
    <row r="107" spans="2:7" x14ac:dyDescent="0.25">
      <c r="B107" s="51"/>
      <c r="C107" s="51"/>
      <c r="D107" s="51"/>
      <c r="E107" s="51"/>
      <c r="F107" s="51"/>
      <c r="G107" s="51"/>
    </row>
    <row r="108" spans="2:7" x14ac:dyDescent="0.25">
      <c r="B108" s="51"/>
      <c r="C108" s="51"/>
      <c r="D108" s="51"/>
      <c r="E108" s="51"/>
      <c r="F108" s="51"/>
      <c r="G108" s="51"/>
    </row>
    <row r="109" spans="2:7" x14ac:dyDescent="0.25">
      <c r="B109" s="51"/>
      <c r="C109" s="51"/>
      <c r="D109" s="51"/>
      <c r="E109" s="51"/>
      <c r="F109" s="51"/>
      <c r="G109" s="51"/>
    </row>
    <row r="110" spans="2:7" x14ac:dyDescent="0.25">
      <c r="B110" s="51"/>
      <c r="C110" s="51"/>
      <c r="D110" s="51"/>
      <c r="E110" s="51"/>
      <c r="F110" s="51"/>
      <c r="G110" s="51"/>
    </row>
    <row r="111" spans="2:7" x14ac:dyDescent="0.25">
      <c r="B111" s="51"/>
      <c r="C111" s="51"/>
      <c r="D111" s="51"/>
      <c r="E111" s="51"/>
      <c r="F111" s="51"/>
      <c r="G111" s="51"/>
    </row>
    <row r="112" spans="2:7" x14ac:dyDescent="0.25">
      <c r="B112" s="51"/>
      <c r="C112" s="51"/>
      <c r="D112" s="51"/>
      <c r="E112" s="51"/>
      <c r="F112" s="51"/>
      <c r="G112" s="51"/>
    </row>
    <row r="113" spans="2:7" x14ac:dyDescent="0.25">
      <c r="B113" s="51"/>
      <c r="C113" s="51"/>
      <c r="D113" s="51"/>
      <c r="E113" s="51"/>
      <c r="F113" s="51"/>
      <c r="G113" s="51"/>
    </row>
    <row r="114" spans="2:7" x14ac:dyDescent="0.25">
      <c r="B114" s="51"/>
      <c r="C114" s="51"/>
      <c r="D114" s="51"/>
      <c r="E114" s="51"/>
      <c r="F114" s="51"/>
      <c r="G114" s="51"/>
    </row>
  </sheetData>
  <mergeCells count="6">
    <mergeCell ref="A33:G35"/>
    <mergeCell ref="A15:G17"/>
    <mergeCell ref="A18:G21"/>
    <mergeCell ref="A25:G26"/>
    <mergeCell ref="A29:G30"/>
    <mergeCell ref="A31:G3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8"/>
  <sheetViews>
    <sheetView workbookViewId="0"/>
  </sheetViews>
  <sheetFormatPr defaultRowHeight="15" x14ac:dyDescent="0.25"/>
  <cols>
    <col min="1" max="1" width="13.42578125" customWidth="1"/>
  </cols>
  <sheetData>
    <row r="1" spans="1:10" ht="23.25" x14ac:dyDescent="0.35">
      <c r="A1" s="257" t="s">
        <v>765</v>
      </c>
      <c r="B1" s="1" t="s">
        <v>0</v>
      </c>
      <c r="C1" s="1"/>
      <c r="D1" s="1"/>
      <c r="E1" s="1"/>
      <c r="F1" s="1"/>
      <c r="G1" s="1"/>
      <c r="H1" s="1"/>
      <c r="I1" s="1"/>
      <c r="J1" s="1"/>
    </row>
    <row r="2" spans="1:10" x14ac:dyDescent="0.25">
      <c r="A2" s="2"/>
      <c r="B2" s="2"/>
      <c r="C2" s="2"/>
      <c r="D2" s="2"/>
      <c r="E2" s="2"/>
      <c r="F2" s="2"/>
      <c r="G2" s="2"/>
      <c r="H2" s="2"/>
      <c r="I2" s="2"/>
      <c r="J2" s="2"/>
    </row>
    <row r="3" spans="1:10" x14ac:dyDescent="0.25">
      <c r="A3" s="3" t="s">
        <v>1</v>
      </c>
      <c r="B3" s="2"/>
      <c r="C3" s="2"/>
      <c r="D3" s="2"/>
      <c r="E3" s="2"/>
      <c r="F3" s="2"/>
      <c r="G3" s="2"/>
      <c r="H3" s="2"/>
      <c r="I3" s="2"/>
      <c r="J3" s="2"/>
    </row>
    <row r="4" spans="1:10" x14ac:dyDescent="0.25">
      <c r="A4" s="2"/>
      <c r="B4" s="2"/>
      <c r="C4" s="2"/>
      <c r="D4" s="2"/>
      <c r="E4" s="2"/>
      <c r="F4" s="2"/>
      <c r="G4" s="2"/>
      <c r="H4" s="2"/>
      <c r="I4" s="2"/>
      <c r="J4" s="2"/>
    </row>
    <row r="5" spans="1:10" x14ac:dyDescent="0.25">
      <c r="A5" s="422" t="s">
        <v>742</v>
      </c>
      <c r="B5" s="413"/>
      <c r="C5" s="413"/>
      <c r="D5" s="413"/>
      <c r="E5" s="413"/>
      <c r="F5" s="413"/>
      <c r="G5" s="413"/>
      <c r="H5" s="413"/>
      <c r="I5" s="413"/>
      <c r="J5" s="413"/>
    </row>
    <row r="6" spans="1:10" x14ac:dyDescent="0.25">
      <c r="A6" s="413"/>
      <c r="B6" s="413"/>
      <c r="C6" s="413"/>
      <c r="D6" s="413"/>
      <c r="E6" s="413"/>
      <c r="F6" s="413"/>
      <c r="G6" s="413"/>
      <c r="H6" s="413"/>
      <c r="I6" s="413"/>
      <c r="J6" s="413"/>
    </row>
    <row r="7" spans="1:10" x14ac:dyDescent="0.25">
      <c r="A7" s="413"/>
      <c r="B7" s="413"/>
      <c r="C7" s="413"/>
      <c r="D7" s="413"/>
      <c r="E7" s="413"/>
      <c r="F7" s="413"/>
      <c r="G7" s="413"/>
      <c r="H7" s="413"/>
      <c r="I7" s="413"/>
      <c r="J7" s="413"/>
    </row>
    <row r="8" spans="1:10" x14ac:dyDescent="0.25">
      <c r="A8" s="413"/>
      <c r="B8" s="413"/>
      <c r="C8" s="413"/>
      <c r="D8" s="413"/>
      <c r="E8" s="413"/>
      <c r="F8" s="413"/>
      <c r="G8" s="413"/>
      <c r="H8" s="413"/>
      <c r="I8" s="413"/>
      <c r="J8" s="413"/>
    </row>
  </sheetData>
  <mergeCells count="1">
    <mergeCell ref="A5:J8"/>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M21"/>
  <sheetViews>
    <sheetView zoomScaleNormal="100" workbookViewId="0"/>
  </sheetViews>
  <sheetFormatPr defaultRowHeight="15" x14ac:dyDescent="0.25"/>
  <cols>
    <col min="1" max="1" width="29" customWidth="1"/>
  </cols>
  <sheetData>
    <row r="1" spans="1:13" ht="23.25" x14ac:dyDescent="0.35">
      <c r="A1" s="257" t="s">
        <v>764</v>
      </c>
      <c r="B1" s="1" t="s">
        <v>511</v>
      </c>
      <c r="C1" s="1"/>
      <c r="D1" s="1"/>
      <c r="E1" s="1"/>
      <c r="F1" s="1"/>
      <c r="G1" s="1"/>
      <c r="H1" s="1"/>
      <c r="I1" s="1"/>
      <c r="J1" s="1"/>
      <c r="K1" s="1"/>
      <c r="L1" s="1"/>
      <c r="M1" s="1"/>
    </row>
    <row r="3" spans="1:13" ht="21" x14ac:dyDescent="0.35">
      <c r="A3" s="125" t="s">
        <v>512</v>
      </c>
    </row>
    <row r="5" spans="1:13" x14ac:dyDescent="0.25">
      <c r="A5" s="73"/>
      <c r="B5" s="73" t="s">
        <v>513</v>
      </c>
      <c r="C5" s="73" t="s">
        <v>514</v>
      </c>
      <c r="D5" s="73" t="s">
        <v>515</v>
      </c>
      <c r="E5" s="73" t="s">
        <v>516</v>
      </c>
      <c r="F5" s="73" t="s">
        <v>517</v>
      </c>
      <c r="G5" s="73" t="s">
        <v>518</v>
      </c>
      <c r="H5" s="73" t="s">
        <v>519</v>
      </c>
      <c r="I5" s="73" t="s">
        <v>520</v>
      </c>
      <c r="J5" s="73" t="s">
        <v>521</v>
      </c>
      <c r="K5" s="73" t="s">
        <v>522</v>
      </c>
      <c r="L5" s="73" t="s">
        <v>523</v>
      </c>
      <c r="M5" s="73" t="s">
        <v>524</v>
      </c>
    </row>
    <row r="6" spans="1:13" x14ac:dyDescent="0.25">
      <c r="A6" s="73" t="s">
        <v>700</v>
      </c>
      <c r="B6" s="73">
        <v>2046</v>
      </c>
      <c r="C6" s="73">
        <v>2057</v>
      </c>
      <c r="D6" s="73">
        <v>2067</v>
      </c>
      <c r="E6" s="73">
        <v>2028</v>
      </c>
      <c r="F6" s="73">
        <v>2044</v>
      </c>
      <c r="G6" s="73">
        <v>2085</v>
      </c>
      <c r="H6" s="73">
        <v>2023</v>
      </c>
      <c r="I6" s="73">
        <v>2016</v>
      </c>
      <c r="J6" s="73">
        <v>2048</v>
      </c>
      <c r="K6" s="73">
        <v>2079</v>
      </c>
      <c r="L6" s="73">
        <v>2091</v>
      </c>
      <c r="M6" s="73">
        <v>2030</v>
      </c>
    </row>
    <row r="7" spans="1:13" x14ac:dyDescent="0.25">
      <c r="A7" s="73" t="s">
        <v>339</v>
      </c>
      <c r="B7" s="73">
        <v>2592</v>
      </c>
      <c r="C7" s="73">
        <v>2517</v>
      </c>
      <c r="D7" s="73">
        <v>2550</v>
      </c>
      <c r="E7" s="73">
        <v>2570</v>
      </c>
      <c r="F7" s="73">
        <v>2505</v>
      </c>
      <c r="G7" s="73">
        <v>2576</v>
      </c>
      <c r="H7" s="73">
        <v>2522</v>
      </c>
      <c r="I7" s="73">
        <v>2517</v>
      </c>
      <c r="J7" s="73">
        <v>2577</v>
      </c>
      <c r="K7" s="73">
        <v>2511</v>
      </c>
      <c r="L7" s="73">
        <v>2557</v>
      </c>
      <c r="M7" s="73">
        <v>2516</v>
      </c>
    </row>
    <row r="8" spans="1:13" x14ac:dyDescent="0.25">
      <c r="A8" s="73" t="s">
        <v>340</v>
      </c>
      <c r="B8" s="73">
        <v>4091</v>
      </c>
      <c r="C8" s="73">
        <v>4033</v>
      </c>
      <c r="D8" s="73">
        <v>4054</v>
      </c>
      <c r="E8" s="73">
        <v>4082</v>
      </c>
      <c r="F8" s="73">
        <v>4065</v>
      </c>
      <c r="G8" s="73">
        <v>4057</v>
      </c>
      <c r="H8" s="73">
        <v>4037</v>
      </c>
      <c r="I8" s="73">
        <v>4095</v>
      </c>
      <c r="J8" s="73">
        <v>4039</v>
      </c>
      <c r="K8" s="73">
        <v>4038</v>
      </c>
      <c r="L8" s="73">
        <v>4031</v>
      </c>
      <c r="M8" s="73">
        <v>4035</v>
      </c>
    </row>
    <row r="9" spans="1:13" x14ac:dyDescent="0.25">
      <c r="A9" s="73" t="s">
        <v>341</v>
      </c>
      <c r="B9" s="73">
        <v>1501</v>
      </c>
      <c r="C9" s="73">
        <v>1510</v>
      </c>
      <c r="D9" s="73">
        <v>1551</v>
      </c>
      <c r="E9" s="73">
        <v>1536</v>
      </c>
      <c r="F9" s="73">
        <v>1502</v>
      </c>
      <c r="G9" s="73">
        <v>1557</v>
      </c>
      <c r="H9" s="73">
        <v>1522</v>
      </c>
      <c r="I9" s="73">
        <v>1516</v>
      </c>
      <c r="J9" s="73">
        <v>1529</v>
      </c>
      <c r="K9" s="73">
        <v>1500</v>
      </c>
      <c r="L9" s="73">
        <v>1509</v>
      </c>
      <c r="M9" s="73">
        <v>1554</v>
      </c>
    </row>
    <row r="10" spans="1:13" x14ac:dyDescent="0.25">
      <c r="A10" s="73" t="s">
        <v>342</v>
      </c>
      <c r="B10" s="73">
        <v>3069</v>
      </c>
      <c r="C10" s="73">
        <v>3035</v>
      </c>
      <c r="D10" s="73">
        <v>3067</v>
      </c>
      <c r="E10" s="73">
        <v>3065</v>
      </c>
      <c r="F10" s="73">
        <v>3035</v>
      </c>
      <c r="G10" s="73">
        <v>3083</v>
      </c>
      <c r="H10" s="73">
        <v>3031</v>
      </c>
      <c r="I10" s="73">
        <v>3043</v>
      </c>
      <c r="J10" s="73">
        <v>3058</v>
      </c>
      <c r="K10" s="73">
        <v>3038</v>
      </c>
      <c r="L10" s="73">
        <v>3056</v>
      </c>
      <c r="M10" s="73">
        <v>3041</v>
      </c>
    </row>
    <row r="11" spans="1:13" x14ac:dyDescent="0.25">
      <c r="A11" s="126" t="s">
        <v>343</v>
      </c>
      <c r="B11" s="127">
        <v>13299</v>
      </c>
      <c r="C11" s="127">
        <v>13152</v>
      </c>
      <c r="D11" s="127">
        <v>13289</v>
      </c>
      <c r="E11" s="127">
        <v>13281</v>
      </c>
      <c r="F11" s="127">
        <v>13151</v>
      </c>
      <c r="G11" s="127">
        <v>13358</v>
      </c>
      <c r="H11" s="127">
        <v>13135</v>
      </c>
      <c r="I11" s="127">
        <v>13187</v>
      </c>
      <c r="J11" s="127">
        <v>13251</v>
      </c>
      <c r="K11" s="127">
        <v>13166</v>
      </c>
      <c r="L11" s="127">
        <v>13244</v>
      </c>
      <c r="M11" s="127">
        <v>13176</v>
      </c>
    </row>
    <row r="12" spans="1:13" x14ac:dyDescent="0.25">
      <c r="A12" s="73" t="s">
        <v>344</v>
      </c>
      <c r="B12" s="73">
        <v>3325</v>
      </c>
      <c r="C12" s="73">
        <v>3288</v>
      </c>
      <c r="D12" s="73">
        <v>3322</v>
      </c>
      <c r="E12" s="73">
        <v>3320</v>
      </c>
      <c r="F12" s="73">
        <v>3288</v>
      </c>
      <c r="G12" s="73">
        <v>3340</v>
      </c>
      <c r="H12" s="73">
        <v>3284</v>
      </c>
      <c r="I12" s="73">
        <v>3297</v>
      </c>
      <c r="J12" s="73">
        <v>3313</v>
      </c>
      <c r="K12" s="73">
        <v>3292</v>
      </c>
      <c r="L12" s="73">
        <v>3311</v>
      </c>
      <c r="M12" s="73">
        <v>3294</v>
      </c>
    </row>
    <row r="13" spans="1:13" x14ac:dyDescent="0.25">
      <c r="A13" s="73" t="s">
        <v>345</v>
      </c>
      <c r="B13" s="73">
        <v>665</v>
      </c>
      <c r="C13" s="73">
        <v>658</v>
      </c>
      <c r="D13" s="73">
        <v>664</v>
      </c>
      <c r="E13" s="73">
        <v>664</v>
      </c>
      <c r="F13" s="73">
        <v>658</v>
      </c>
      <c r="G13" s="73">
        <v>668</v>
      </c>
      <c r="H13" s="73">
        <v>657</v>
      </c>
      <c r="I13" s="73">
        <v>659</v>
      </c>
      <c r="J13" s="73">
        <v>663</v>
      </c>
      <c r="K13" s="73">
        <v>658</v>
      </c>
      <c r="L13" s="73">
        <v>662</v>
      </c>
      <c r="M13" s="73">
        <v>659</v>
      </c>
    </row>
    <row r="14" spans="1:13" x14ac:dyDescent="0.25">
      <c r="A14" s="73" t="s">
        <v>346</v>
      </c>
      <c r="B14" s="73">
        <v>333</v>
      </c>
      <c r="C14" s="73">
        <v>329</v>
      </c>
      <c r="D14" s="73">
        <v>332</v>
      </c>
      <c r="E14" s="73">
        <v>332</v>
      </c>
      <c r="F14" s="73">
        <v>329</v>
      </c>
      <c r="G14" s="73">
        <v>334</v>
      </c>
      <c r="H14" s="73">
        <v>329</v>
      </c>
      <c r="I14" s="73">
        <v>330</v>
      </c>
      <c r="J14" s="73">
        <v>332</v>
      </c>
      <c r="K14" s="73">
        <v>329</v>
      </c>
      <c r="L14" s="73">
        <v>331</v>
      </c>
      <c r="M14" s="73">
        <v>330</v>
      </c>
    </row>
    <row r="15" spans="1:13" x14ac:dyDescent="0.25">
      <c r="A15" s="73" t="s">
        <v>702</v>
      </c>
      <c r="B15" s="73">
        <v>30</v>
      </c>
      <c r="C15" s="73">
        <v>33</v>
      </c>
      <c r="D15" s="73">
        <v>35</v>
      </c>
      <c r="E15" s="73">
        <v>33</v>
      </c>
      <c r="F15" s="73">
        <v>31</v>
      </c>
      <c r="G15" s="73">
        <v>33</v>
      </c>
      <c r="H15" s="73">
        <v>29</v>
      </c>
      <c r="I15" s="73">
        <v>33</v>
      </c>
      <c r="J15" s="73">
        <v>36</v>
      </c>
      <c r="K15" s="73">
        <v>33</v>
      </c>
      <c r="L15" s="73">
        <v>37</v>
      </c>
      <c r="M15" s="73">
        <v>30</v>
      </c>
    </row>
    <row r="16" spans="1:13" x14ac:dyDescent="0.25">
      <c r="A16" s="73" t="s">
        <v>347</v>
      </c>
      <c r="B16" s="73">
        <v>1330</v>
      </c>
      <c r="C16" s="73">
        <v>1316</v>
      </c>
      <c r="D16" s="73">
        <v>1328</v>
      </c>
      <c r="E16" s="73">
        <v>1328</v>
      </c>
      <c r="F16" s="73">
        <v>1316</v>
      </c>
      <c r="G16" s="73">
        <v>1336</v>
      </c>
      <c r="H16" s="73">
        <v>1314</v>
      </c>
      <c r="I16" s="73">
        <v>1318</v>
      </c>
      <c r="J16" s="73">
        <v>1326</v>
      </c>
      <c r="K16" s="73">
        <v>1316</v>
      </c>
      <c r="L16" s="73">
        <v>1324</v>
      </c>
      <c r="M16" s="73">
        <v>1318</v>
      </c>
    </row>
    <row r="17" spans="1:13" x14ac:dyDescent="0.25">
      <c r="A17" s="126" t="s">
        <v>348</v>
      </c>
      <c r="B17" s="127">
        <v>5683</v>
      </c>
      <c r="C17" s="127">
        <v>5624</v>
      </c>
      <c r="D17" s="127">
        <v>5681</v>
      </c>
      <c r="E17" s="127">
        <v>5677</v>
      </c>
      <c r="F17" s="127">
        <v>5622</v>
      </c>
      <c r="G17" s="127">
        <v>5711</v>
      </c>
      <c r="H17" s="127">
        <v>5613</v>
      </c>
      <c r="I17" s="127">
        <v>5637</v>
      </c>
      <c r="J17" s="127">
        <v>5670</v>
      </c>
      <c r="K17" s="127">
        <v>5628</v>
      </c>
      <c r="L17" s="127">
        <v>5665</v>
      </c>
      <c r="M17" s="127">
        <v>5631</v>
      </c>
    </row>
    <row r="18" spans="1:13" x14ac:dyDescent="0.25">
      <c r="A18" s="126" t="s">
        <v>349</v>
      </c>
      <c r="B18" s="127">
        <v>7616</v>
      </c>
      <c r="C18" s="127">
        <v>7528</v>
      </c>
      <c r="D18" s="127">
        <v>7608</v>
      </c>
      <c r="E18" s="127">
        <v>7604</v>
      </c>
      <c r="F18" s="127">
        <v>7529</v>
      </c>
      <c r="G18" s="127">
        <v>7647</v>
      </c>
      <c r="H18" s="127">
        <v>7522</v>
      </c>
      <c r="I18" s="127">
        <v>7550</v>
      </c>
      <c r="J18" s="127">
        <v>7581</v>
      </c>
      <c r="K18" s="127">
        <v>7538</v>
      </c>
      <c r="L18" s="127">
        <v>7579</v>
      </c>
      <c r="M18" s="127">
        <v>7545</v>
      </c>
    </row>
    <row r="20" spans="1:13" x14ac:dyDescent="0.25">
      <c r="A20" s="422" t="s">
        <v>743</v>
      </c>
      <c r="B20" s="413"/>
      <c r="C20" s="413"/>
      <c r="D20" s="413"/>
      <c r="E20" s="413"/>
      <c r="F20" s="413"/>
      <c r="G20" s="413"/>
      <c r="H20" s="413"/>
      <c r="I20" s="413"/>
      <c r="J20" s="413"/>
      <c r="K20" s="413"/>
      <c r="L20" s="413"/>
      <c r="M20" s="413"/>
    </row>
    <row r="21" spans="1:13" x14ac:dyDescent="0.25">
      <c r="A21" s="413"/>
      <c r="B21" s="413"/>
      <c r="C21" s="413"/>
      <c r="D21" s="413"/>
      <c r="E21" s="413"/>
      <c r="F21" s="413"/>
      <c r="G21" s="413"/>
      <c r="H21" s="413"/>
      <c r="I21" s="413"/>
      <c r="J21" s="413"/>
      <c r="K21" s="413"/>
      <c r="L21" s="413"/>
      <c r="M21" s="413"/>
    </row>
  </sheetData>
  <mergeCells count="1">
    <mergeCell ref="A20:M21"/>
  </mergeCells>
  <printOptions horizontalCentered="1" verticalCentered="1"/>
  <pageMargins left="0.70866141732283472" right="0.70866141732283472" top="0.74803149606299213" bottom="0.74803149606299213" header="0.31496062992125984" footer="0.31496062992125984"/>
  <pageSetup scale="90"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112"/>
  <sheetViews>
    <sheetView zoomScaleNormal="100" workbookViewId="0"/>
  </sheetViews>
  <sheetFormatPr defaultRowHeight="15" x14ac:dyDescent="0.25"/>
  <cols>
    <col min="1" max="1" width="32.5703125" customWidth="1"/>
  </cols>
  <sheetData>
    <row r="1" spans="1:31" ht="23.25" x14ac:dyDescent="0.35">
      <c r="A1" s="257" t="s">
        <v>763</v>
      </c>
      <c r="B1" s="1" t="s">
        <v>511</v>
      </c>
      <c r="C1" s="1"/>
      <c r="D1" s="1"/>
      <c r="E1" s="1"/>
      <c r="F1" s="1"/>
      <c r="G1" s="1"/>
      <c r="H1" s="1"/>
      <c r="I1" s="1"/>
      <c r="J1" s="1"/>
      <c r="K1" s="1"/>
      <c r="L1" s="1"/>
      <c r="M1" s="1"/>
      <c r="N1" s="1"/>
      <c r="O1" s="1"/>
      <c r="P1" s="1"/>
      <c r="Q1" s="1"/>
      <c r="R1" s="1"/>
      <c r="S1" s="1"/>
      <c r="T1" s="1"/>
      <c r="U1" s="1"/>
      <c r="V1" s="1"/>
      <c r="W1" s="1"/>
      <c r="X1" s="1"/>
      <c r="Y1" s="1"/>
      <c r="Z1" s="1"/>
      <c r="AA1" s="1"/>
      <c r="AB1" s="1"/>
      <c r="AC1" s="1"/>
      <c r="AD1" s="1"/>
      <c r="AE1" s="1"/>
    </row>
    <row r="3" spans="1:31" ht="14.45" customHeight="1" x14ac:dyDescent="0.25">
      <c r="A3" s="123" t="s">
        <v>751</v>
      </c>
      <c r="B3" s="123"/>
      <c r="C3" s="123"/>
      <c r="D3" s="123"/>
      <c r="E3" s="123"/>
      <c r="F3" s="123"/>
      <c r="G3" s="123"/>
      <c r="H3" s="123"/>
      <c r="I3" s="123"/>
      <c r="J3" s="123"/>
      <c r="K3" s="123"/>
      <c r="L3" s="123"/>
      <c r="M3" s="123"/>
      <c r="N3" s="2"/>
    </row>
    <row r="4" spans="1:31" x14ac:dyDescent="0.25">
      <c r="A4" s="123" t="s">
        <v>752</v>
      </c>
      <c r="B4" s="123"/>
      <c r="C4" s="123"/>
      <c r="D4" s="123"/>
      <c r="E4" s="123"/>
      <c r="F4" s="123"/>
      <c r="G4" s="123"/>
      <c r="H4" s="123"/>
      <c r="I4" s="123"/>
      <c r="J4" s="123"/>
      <c r="K4" s="123"/>
      <c r="L4" s="123"/>
      <c r="M4" s="123"/>
      <c r="N4" s="2"/>
    </row>
    <row r="6" spans="1:31" ht="21" x14ac:dyDescent="0.35">
      <c r="B6" s="125" t="s">
        <v>525</v>
      </c>
    </row>
    <row r="8" spans="1:31" ht="15" customHeight="1" x14ac:dyDescent="0.25">
      <c r="A8" s="425" t="s">
        <v>526</v>
      </c>
      <c r="B8" s="424" t="s">
        <v>527</v>
      </c>
      <c r="C8" s="424" t="s">
        <v>528</v>
      </c>
      <c r="D8" s="424" t="s">
        <v>529</v>
      </c>
      <c r="E8" s="424" t="s">
        <v>530</v>
      </c>
      <c r="F8" s="424" t="s">
        <v>531</v>
      </c>
      <c r="G8" s="424" t="s">
        <v>527</v>
      </c>
      <c r="H8" s="424" t="s">
        <v>528</v>
      </c>
      <c r="I8" s="424" t="s">
        <v>529</v>
      </c>
      <c r="J8" s="424" t="s">
        <v>530</v>
      </c>
      <c r="K8" s="424" t="s">
        <v>531</v>
      </c>
      <c r="L8" s="424" t="s">
        <v>527</v>
      </c>
      <c r="M8" s="424" t="s">
        <v>528</v>
      </c>
      <c r="N8" s="424" t="s">
        <v>529</v>
      </c>
      <c r="O8" s="424" t="s">
        <v>530</v>
      </c>
      <c r="P8" s="424" t="s">
        <v>531</v>
      </c>
      <c r="Q8" s="424" t="s">
        <v>527</v>
      </c>
      <c r="R8" s="424" t="s">
        <v>528</v>
      </c>
      <c r="S8" s="424" t="s">
        <v>529</v>
      </c>
      <c r="T8" s="424" t="s">
        <v>530</v>
      </c>
      <c r="U8" s="424" t="s">
        <v>531</v>
      </c>
      <c r="V8" s="424" t="s">
        <v>527</v>
      </c>
      <c r="W8" s="424" t="s">
        <v>528</v>
      </c>
      <c r="X8" s="424" t="s">
        <v>529</v>
      </c>
      <c r="Y8" s="424" t="s">
        <v>530</v>
      </c>
      <c r="Z8" s="424" t="s">
        <v>531</v>
      </c>
      <c r="AA8" s="424" t="s">
        <v>527</v>
      </c>
      <c r="AB8" s="424" t="s">
        <v>528</v>
      </c>
      <c r="AC8" s="424" t="s">
        <v>529</v>
      </c>
      <c r="AD8" s="424" t="s">
        <v>530</v>
      </c>
      <c r="AE8" s="424" t="s">
        <v>531</v>
      </c>
    </row>
    <row r="9" spans="1:31" x14ac:dyDescent="0.25">
      <c r="A9" s="425"/>
      <c r="B9" s="424"/>
      <c r="C9" s="424"/>
      <c r="D9" s="424"/>
      <c r="E9" s="424"/>
      <c r="F9" s="424"/>
      <c r="G9" s="424"/>
      <c r="H9" s="424"/>
      <c r="I9" s="424"/>
      <c r="J9" s="424"/>
      <c r="K9" s="424"/>
      <c r="L9" s="424"/>
      <c r="M9" s="424"/>
      <c r="N9" s="424"/>
      <c r="O9" s="424"/>
      <c r="P9" s="424"/>
      <c r="Q9" s="424"/>
      <c r="R9" s="424"/>
      <c r="S9" s="424"/>
      <c r="T9" s="424"/>
      <c r="U9" s="424"/>
      <c r="V9" s="424"/>
      <c r="W9" s="424"/>
      <c r="X9" s="424"/>
      <c r="Y9" s="424"/>
      <c r="Z9" s="424"/>
      <c r="AA9" s="424"/>
      <c r="AB9" s="424"/>
      <c r="AC9" s="424"/>
      <c r="AD9" s="424"/>
      <c r="AE9" s="424"/>
    </row>
    <row r="10" spans="1:31" x14ac:dyDescent="0.25">
      <c r="A10" s="425"/>
      <c r="B10" s="424"/>
      <c r="C10" s="424"/>
      <c r="D10" s="424"/>
      <c r="E10" s="424"/>
      <c r="F10" s="424"/>
      <c r="G10" s="424"/>
      <c r="H10" s="424"/>
      <c r="I10" s="424"/>
      <c r="J10" s="424"/>
      <c r="K10" s="424"/>
      <c r="L10" s="424"/>
      <c r="M10" s="424"/>
      <c r="N10" s="424"/>
      <c r="O10" s="424"/>
      <c r="P10" s="424"/>
      <c r="Q10" s="424"/>
      <c r="R10" s="424"/>
      <c r="S10" s="424"/>
      <c r="T10" s="424"/>
      <c r="U10" s="424"/>
      <c r="V10" s="424"/>
      <c r="W10" s="424"/>
      <c r="X10" s="424"/>
      <c r="Y10" s="424"/>
      <c r="Z10" s="424"/>
      <c r="AA10" s="424"/>
      <c r="AB10" s="424"/>
      <c r="AC10" s="424"/>
      <c r="AD10" s="424"/>
      <c r="AE10" s="424"/>
    </row>
    <row r="11" spans="1:31" x14ac:dyDescent="0.25">
      <c r="A11" s="425"/>
      <c r="B11" s="424"/>
      <c r="C11" s="424"/>
      <c r="D11" s="424"/>
      <c r="E11" s="424"/>
      <c r="F11" s="424"/>
      <c r="G11" s="424"/>
      <c r="H11" s="424"/>
      <c r="I11" s="424"/>
      <c r="J11" s="424"/>
      <c r="K11" s="424"/>
      <c r="L11" s="424"/>
      <c r="M11" s="424"/>
      <c r="N11" s="424"/>
      <c r="O11" s="424"/>
      <c r="P11" s="424"/>
      <c r="Q11" s="424"/>
      <c r="R11" s="424"/>
      <c r="S11" s="424"/>
      <c r="T11" s="424"/>
      <c r="U11" s="424"/>
      <c r="V11" s="424"/>
      <c r="W11" s="424"/>
      <c r="X11" s="424"/>
      <c r="Y11" s="424"/>
      <c r="Z11" s="424"/>
      <c r="AA11" s="424"/>
      <c r="AB11" s="424"/>
      <c r="AC11" s="424"/>
      <c r="AD11" s="424"/>
      <c r="AE11" s="424"/>
    </row>
    <row r="12" spans="1:31" x14ac:dyDescent="0.25">
      <c r="A12" s="425"/>
      <c r="B12" s="424"/>
      <c r="C12" s="424"/>
      <c r="D12" s="424"/>
      <c r="E12" s="424"/>
      <c r="F12" s="424"/>
      <c r="G12" s="424"/>
      <c r="H12" s="424"/>
      <c r="I12" s="424"/>
      <c r="J12" s="424"/>
      <c r="K12" s="424"/>
      <c r="L12" s="424"/>
      <c r="M12" s="424"/>
      <c r="N12" s="424"/>
      <c r="O12" s="424"/>
      <c r="P12" s="424"/>
      <c r="Q12" s="424"/>
      <c r="R12" s="424"/>
      <c r="S12" s="424"/>
      <c r="T12" s="424"/>
      <c r="U12" s="424"/>
      <c r="V12" s="424"/>
      <c r="W12" s="424"/>
      <c r="X12" s="424"/>
      <c r="Y12" s="424"/>
      <c r="Z12" s="424"/>
      <c r="AA12" s="424"/>
      <c r="AB12" s="424"/>
      <c r="AC12" s="424"/>
      <c r="AD12" s="424"/>
      <c r="AE12" s="424"/>
    </row>
    <row r="13" spans="1:31" x14ac:dyDescent="0.25">
      <c r="A13" s="128" t="s">
        <v>532</v>
      </c>
      <c r="B13" s="129">
        <v>250</v>
      </c>
      <c r="C13" s="129">
        <v>250</v>
      </c>
      <c r="D13" s="129">
        <v>250</v>
      </c>
      <c r="E13" s="129">
        <v>250</v>
      </c>
      <c r="F13" s="129">
        <v>250</v>
      </c>
      <c r="G13" s="129">
        <v>275</v>
      </c>
      <c r="H13" s="129">
        <v>275</v>
      </c>
      <c r="I13" s="129">
        <v>275</v>
      </c>
      <c r="J13" s="129">
        <v>275</v>
      </c>
      <c r="K13" s="129">
        <v>275</v>
      </c>
      <c r="L13" s="129">
        <v>300</v>
      </c>
      <c r="M13" s="129">
        <v>300</v>
      </c>
      <c r="N13" s="129">
        <v>300</v>
      </c>
      <c r="O13" s="129">
        <v>300</v>
      </c>
      <c r="P13" s="129">
        <v>300</v>
      </c>
      <c r="Q13" s="129">
        <v>325</v>
      </c>
      <c r="R13" s="129">
        <v>325</v>
      </c>
      <c r="S13" s="129">
        <v>325</v>
      </c>
      <c r="T13" s="129">
        <v>325</v>
      </c>
      <c r="U13" s="129">
        <v>325</v>
      </c>
      <c r="V13" s="129">
        <v>350</v>
      </c>
      <c r="W13" s="129">
        <v>350</v>
      </c>
      <c r="X13" s="129">
        <v>350</v>
      </c>
      <c r="Y13" s="129">
        <v>350</v>
      </c>
      <c r="Z13" s="129">
        <v>350</v>
      </c>
      <c r="AA13" s="129">
        <v>375</v>
      </c>
      <c r="AB13" s="129">
        <v>375</v>
      </c>
      <c r="AC13" s="129">
        <v>375</v>
      </c>
      <c r="AD13" s="129">
        <v>375</v>
      </c>
      <c r="AE13" s="129">
        <v>375</v>
      </c>
    </row>
    <row r="14" spans="1:31" x14ac:dyDescent="0.25">
      <c r="A14" s="73" t="s">
        <v>533</v>
      </c>
      <c r="B14" s="115">
        <v>2.42</v>
      </c>
      <c r="C14" s="115">
        <v>7.85</v>
      </c>
      <c r="D14" s="115">
        <v>9.85</v>
      </c>
      <c r="E14" s="115">
        <v>14.32</v>
      </c>
      <c r="F14" s="115">
        <v>12.13</v>
      </c>
      <c r="G14" s="115">
        <v>3.35</v>
      </c>
      <c r="H14" s="115">
        <v>6.46</v>
      </c>
      <c r="I14" s="115">
        <v>8.75</v>
      </c>
      <c r="J14" s="115">
        <v>17.45</v>
      </c>
      <c r="K14" s="115">
        <v>11.2</v>
      </c>
      <c r="L14" s="115">
        <v>2.72</v>
      </c>
      <c r="M14" s="115">
        <v>7.74</v>
      </c>
      <c r="N14" s="115">
        <v>7.71</v>
      </c>
      <c r="O14" s="115">
        <v>17.5</v>
      </c>
      <c r="P14" s="115">
        <v>14.81</v>
      </c>
      <c r="Q14" s="115">
        <v>2.75</v>
      </c>
      <c r="R14" s="115">
        <v>7.85</v>
      </c>
      <c r="S14" s="115">
        <v>9.84</v>
      </c>
      <c r="T14" s="115">
        <v>15.96</v>
      </c>
      <c r="U14" s="115">
        <v>10.6</v>
      </c>
      <c r="V14" s="115">
        <v>2.2999999999999998</v>
      </c>
      <c r="W14" s="115">
        <v>6.3</v>
      </c>
      <c r="X14" s="115">
        <v>8.9499999999999993</v>
      </c>
      <c r="Y14" s="115">
        <v>16.989999999999998</v>
      </c>
      <c r="Z14" s="115">
        <v>10.88</v>
      </c>
      <c r="AA14" s="115">
        <v>3.85</v>
      </c>
      <c r="AB14" s="115">
        <v>7.11</v>
      </c>
      <c r="AC14" s="115">
        <v>11.98</v>
      </c>
      <c r="AD14" s="115">
        <v>14.22</v>
      </c>
      <c r="AE14" s="130">
        <v>10.32</v>
      </c>
    </row>
    <row r="15" spans="1:31" x14ac:dyDescent="0.25">
      <c r="A15" s="73" t="s">
        <v>534</v>
      </c>
      <c r="B15" s="115">
        <v>3.78</v>
      </c>
      <c r="C15" s="115">
        <v>6.48</v>
      </c>
      <c r="D15" s="115">
        <v>7.4</v>
      </c>
      <c r="E15" s="115">
        <v>14.05</v>
      </c>
      <c r="F15" s="115">
        <v>12.87</v>
      </c>
      <c r="G15" s="115">
        <v>3.4</v>
      </c>
      <c r="H15" s="115">
        <v>6.86</v>
      </c>
      <c r="I15" s="115">
        <v>9.9700000000000006</v>
      </c>
      <c r="J15" s="115">
        <v>12.27</v>
      </c>
      <c r="K15" s="115">
        <v>12.33</v>
      </c>
      <c r="L15" s="115">
        <v>2.92</v>
      </c>
      <c r="M15" s="115">
        <v>6.1</v>
      </c>
      <c r="N15" s="115">
        <v>7.47</v>
      </c>
      <c r="O15" s="115">
        <v>17.21</v>
      </c>
      <c r="P15" s="115">
        <v>9.83</v>
      </c>
      <c r="Q15" s="115">
        <v>3.82</v>
      </c>
      <c r="R15" s="115">
        <v>7.22</v>
      </c>
      <c r="S15" s="115">
        <v>10.220000000000001</v>
      </c>
      <c r="T15" s="115">
        <v>11.96</v>
      </c>
      <c r="U15" s="115">
        <v>12.29</v>
      </c>
      <c r="V15" s="115">
        <v>2.1800000000000002</v>
      </c>
      <c r="W15" s="115">
        <v>5.33</v>
      </c>
      <c r="X15" s="115">
        <v>7</v>
      </c>
      <c r="Y15" s="115">
        <v>16.329999999999998</v>
      </c>
      <c r="Z15" s="115">
        <v>12.56</v>
      </c>
      <c r="AA15" s="115">
        <v>2.52</v>
      </c>
      <c r="AB15" s="115">
        <v>5.01</v>
      </c>
      <c r="AC15" s="115">
        <v>9.18</v>
      </c>
      <c r="AD15" s="115">
        <v>19.34</v>
      </c>
      <c r="AE15" s="130">
        <v>10.74</v>
      </c>
    </row>
    <row r="16" spans="1:31" x14ac:dyDescent="0.25">
      <c r="A16" s="73" t="s">
        <v>535</v>
      </c>
      <c r="B16" s="115">
        <v>3.25</v>
      </c>
      <c r="C16" s="115">
        <v>6.72</v>
      </c>
      <c r="D16" s="115">
        <v>7.85</v>
      </c>
      <c r="E16" s="115">
        <v>11.25</v>
      </c>
      <c r="F16" s="115">
        <v>15.07</v>
      </c>
      <c r="G16" s="115">
        <v>2.75</v>
      </c>
      <c r="H16" s="115">
        <v>5.66</v>
      </c>
      <c r="I16" s="115">
        <v>10.6</v>
      </c>
      <c r="J16" s="115">
        <v>11.71</v>
      </c>
      <c r="K16" s="115">
        <v>14.32</v>
      </c>
      <c r="L16" s="115">
        <v>2.59</v>
      </c>
      <c r="M16" s="115">
        <v>5.75</v>
      </c>
      <c r="N16" s="115">
        <v>7.69</v>
      </c>
      <c r="O16" s="115">
        <v>14.44</v>
      </c>
      <c r="P16" s="115">
        <v>14.96</v>
      </c>
      <c r="Q16" s="115">
        <v>3.7</v>
      </c>
      <c r="R16" s="115">
        <v>5.58</v>
      </c>
      <c r="S16" s="115">
        <v>10.32</v>
      </c>
      <c r="T16" s="115">
        <v>11.63</v>
      </c>
      <c r="U16" s="115">
        <v>13.86</v>
      </c>
      <c r="V16" s="115">
        <v>3.93</v>
      </c>
      <c r="W16" s="115">
        <v>6.22</v>
      </c>
      <c r="X16" s="115">
        <v>10.97</v>
      </c>
      <c r="Y16" s="115">
        <v>11.58</v>
      </c>
      <c r="Z16" s="115">
        <v>13.76</v>
      </c>
      <c r="AA16" s="115">
        <v>3.18</v>
      </c>
      <c r="AB16" s="115">
        <v>6.27</v>
      </c>
      <c r="AC16" s="115">
        <v>8.7100000000000009</v>
      </c>
      <c r="AD16" s="115">
        <v>18.05</v>
      </c>
      <c r="AE16" s="130">
        <v>12.83</v>
      </c>
    </row>
    <row r="17" spans="1:31" x14ac:dyDescent="0.25">
      <c r="A17" s="73" t="s">
        <v>536</v>
      </c>
      <c r="B17" s="115">
        <v>2.09</v>
      </c>
      <c r="C17" s="115">
        <v>6.93</v>
      </c>
      <c r="D17" s="115">
        <v>11.32</v>
      </c>
      <c r="E17" s="115">
        <v>19.66</v>
      </c>
      <c r="F17" s="115">
        <v>12.33</v>
      </c>
      <c r="G17" s="115">
        <v>3.16</v>
      </c>
      <c r="H17" s="115">
        <v>5.45</v>
      </c>
      <c r="I17" s="115">
        <v>8.65</v>
      </c>
      <c r="J17" s="115">
        <v>14.85</v>
      </c>
      <c r="K17" s="115">
        <v>12.82</v>
      </c>
      <c r="L17" s="115">
        <v>2.48</v>
      </c>
      <c r="M17" s="115">
        <v>6.89</v>
      </c>
      <c r="N17" s="115">
        <v>8.24</v>
      </c>
      <c r="O17" s="115">
        <v>12.63</v>
      </c>
      <c r="P17" s="115">
        <v>10.14</v>
      </c>
      <c r="Q17" s="115">
        <v>2.41</v>
      </c>
      <c r="R17" s="115">
        <v>7.56</v>
      </c>
      <c r="S17" s="115">
        <v>11.03</v>
      </c>
      <c r="T17" s="115">
        <v>15.15</v>
      </c>
      <c r="U17" s="115">
        <v>9.35</v>
      </c>
      <c r="V17" s="115">
        <v>2.2400000000000002</v>
      </c>
      <c r="W17" s="115">
        <v>5.28</v>
      </c>
      <c r="X17" s="115">
        <v>10.49</v>
      </c>
      <c r="Y17" s="115">
        <v>15.99</v>
      </c>
      <c r="Z17" s="115">
        <v>10.81</v>
      </c>
      <c r="AA17" s="115">
        <v>3.46</v>
      </c>
      <c r="AB17" s="115">
        <v>5.69</v>
      </c>
      <c r="AC17" s="115">
        <v>9.9</v>
      </c>
      <c r="AD17" s="115">
        <v>15.11</v>
      </c>
      <c r="AE17" s="130">
        <v>10</v>
      </c>
    </row>
    <row r="18" spans="1:31" x14ac:dyDescent="0.25">
      <c r="A18" s="73" t="s">
        <v>537</v>
      </c>
      <c r="B18" s="115">
        <v>3.62</v>
      </c>
      <c r="C18" s="115">
        <v>5.49</v>
      </c>
      <c r="D18" s="115">
        <v>9.75</v>
      </c>
      <c r="E18" s="115">
        <v>19.27</v>
      </c>
      <c r="F18" s="115">
        <v>15.3</v>
      </c>
      <c r="G18" s="115">
        <v>2.14</v>
      </c>
      <c r="H18" s="115">
        <v>5.9</v>
      </c>
      <c r="I18" s="115">
        <v>7.14</v>
      </c>
      <c r="J18" s="115">
        <v>12.07</v>
      </c>
      <c r="K18" s="115">
        <v>15.17</v>
      </c>
      <c r="L18" s="115">
        <v>3.23</v>
      </c>
      <c r="M18" s="115">
        <v>6.59</v>
      </c>
      <c r="N18" s="115">
        <v>10.84</v>
      </c>
      <c r="O18" s="115">
        <v>12.07</v>
      </c>
      <c r="P18" s="115">
        <v>13.34</v>
      </c>
      <c r="Q18" s="115">
        <v>3.78</v>
      </c>
      <c r="R18" s="115">
        <v>6.92</v>
      </c>
      <c r="S18" s="115">
        <v>11.29</v>
      </c>
      <c r="T18" s="115">
        <v>19.16</v>
      </c>
      <c r="U18" s="115">
        <v>12.89</v>
      </c>
      <c r="V18" s="115">
        <v>3.86</v>
      </c>
      <c r="W18" s="115">
        <v>7.63</v>
      </c>
      <c r="X18" s="115">
        <v>11.44</v>
      </c>
      <c r="Y18" s="115">
        <v>11.66</v>
      </c>
      <c r="Z18" s="115">
        <v>15.82</v>
      </c>
      <c r="AA18" s="115">
        <v>3.29</v>
      </c>
      <c r="AB18" s="115">
        <v>7.74</v>
      </c>
      <c r="AC18" s="115">
        <v>7.88</v>
      </c>
      <c r="AD18" s="115">
        <v>19.47</v>
      </c>
      <c r="AE18" s="130">
        <v>11.07</v>
      </c>
    </row>
    <row r="19" spans="1:31" x14ac:dyDescent="0.25">
      <c r="A19" s="73" t="s">
        <v>538</v>
      </c>
      <c r="B19" s="115">
        <v>2.85</v>
      </c>
      <c r="C19" s="115">
        <v>5.24</v>
      </c>
      <c r="D19" s="115">
        <v>7.14</v>
      </c>
      <c r="E19" s="115">
        <v>19.28</v>
      </c>
      <c r="F19" s="115">
        <v>11.95</v>
      </c>
      <c r="G19" s="115">
        <v>3.53</v>
      </c>
      <c r="H19" s="115">
        <v>7.22</v>
      </c>
      <c r="I19" s="115">
        <v>9.41</v>
      </c>
      <c r="J19" s="115">
        <v>14.83</v>
      </c>
      <c r="K19" s="115">
        <v>12.4</v>
      </c>
      <c r="L19" s="115">
        <v>3.37</v>
      </c>
      <c r="M19" s="115">
        <v>7.26</v>
      </c>
      <c r="N19" s="115">
        <v>10.49</v>
      </c>
      <c r="O19" s="115">
        <v>17.7</v>
      </c>
      <c r="P19" s="115">
        <v>11.98</v>
      </c>
      <c r="Q19" s="115">
        <v>2.79</v>
      </c>
      <c r="R19" s="115">
        <v>5.03</v>
      </c>
      <c r="S19" s="115">
        <v>8.9</v>
      </c>
      <c r="T19" s="115">
        <v>16.36</v>
      </c>
      <c r="U19" s="115">
        <v>11.07</v>
      </c>
      <c r="V19" s="115">
        <v>2.87</v>
      </c>
      <c r="W19" s="115">
        <v>5.9</v>
      </c>
      <c r="X19" s="115">
        <v>10.38</v>
      </c>
      <c r="Y19" s="115">
        <v>12.71</v>
      </c>
      <c r="Z19" s="115">
        <v>14.18</v>
      </c>
      <c r="AA19" s="115">
        <v>2.2999999999999998</v>
      </c>
      <c r="AB19" s="115">
        <v>5.29</v>
      </c>
      <c r="AC19" s="115">
        <v>9.41</v>
      </c>
      <c r="AD19" s="115">
        <v>11.38</v>
      </c>
      <c r="AE19" s="130">
        <v>10.81</v>
      </c>
    </row>
    <row r="20" spans="1:31" x14ac:dyDescent="0.25">
      <c r="A20" s="73" t="s">
        <v>539</v>
      </c>
      <c r="B20" s="115">
        <v>2.15</v>
      </c>
      <c r="C20" s="115">
        <v>6.09</v>
      </c>
      <c r="D20" s="115">
        <v>8.42</v>
      </c>
      <c r="E20" s="115">
        <v>12.47</v>
      </c>
      <c r="F20" s="115">
        <v>15.8</v>
      </c>
      <c r="G20" s="115">
        <v>2.0099999999999998</v>
      </c>
      <c r="H20" s="115">
        <v>6.86</v>
      </c>
      <c r="I20" s="115">
        <v>10.81</v>
      </c>
      <c r="J20" s="115">
        <v>16.39</v>
      </c>
      <c r="K20" s="115">
        <v>12.71</v>
      </c>
      <c r="L20" s="115">
        <v>3.24</v>
      </c>
      <c r="M20" s="115">
        <v>6.35</v>
      </c>
      <c r="N20" s="115">
        <v>7.18</v>
      </c>
      <c r="O20" s="115">
        <v>19.29</v>
      </c>
      <c r="P20" s="115">
        <v>13.54</v>
      </c>
      <c r="Q20" s="115">
        <v>2.56</v>
      </c>
      <c r="R20" s="115">
        <v>7.13</v>
      </c>
      <c r="S20" s="115">
        <v>7.06</v>
      </c>
      <c r="T20" s="115">
        <v>16.07</v>
      </c>
      <c r="U20" s="115">
        <v>14.17</v>
      </c>
      <c r="V20" s="115">
        <v>2.25</v>
      </c>
      <c r="W20" s="115">
        <v>7.44</v>
      </c>
      <c r="X20" s="115">
        <v>11.74</v>
      </c>
      <c r="Y20" s="115">
        <v>12.03</v>
      </c>
      <c r="Z20" s="115">
        <v>14.18</v>
      </c>
      <c r="AA20" s="115">
        <v>3.41</v>
      </c>
      <c r="AB20" s="115">
        <v>6.07</v>
      </c>
      <c r="AC20" s="115">
        <v>8.5299999999999994</v>
      </c>
      <c r="AD20" s="115">
        <v>16.13</v>
      </c>
      <c r="AE20" s="130">
        <v>15.75</v>
      </c>
    </row>
    <row r="21" spans="1:31" x14ac:dyDescent="0.25">
      <c r="A21" s="73" t="s">
        <v>540</v>
      </c>
      <c r="B21" s="115">
        <v>2.21</v>
      </c>
      <c r="C21" s="115">
        <v>6.63</v>
      </c>
      <c r="D21" s="115">
        <v>9.51</v>
      </c>
      <c r="E21" s="115">
        <v>12.05</v>
      </c>
      <c r="F21" s="115">
        <v>11.43</v>
      </c>
      <c r="G21" s="115">
        <v>2.4500000000000002</v>
      </c>
      <c r="H21" s="115">
        <v>7.06</v>
      </c>
      <c r="I21" s="115">
        <v>11.73</v>
      </c>
      <c r="J21" s="115">
        <v>19.149999999999999</v>
      </c>
      <c r="K21" s="115">
        <v>9.34</v>
      </c>
      <c r="L21" s="115">
        <v>3.79</v>
      </c>
      <c r="M21" s="115">
        <v>5.6</v>
      </c>
      <c r="N21" s="115">
        <v>11.53</v>
      </c>
      <c r="O21" s="115">
        <v>15.82</v>
      </c>
      <c r="P21" s="115">
        <v>14.77</v>
      </c>
      <c r="Q21" s="115">
        <v>3.98</v>
      </c>
      <c r="R21" s="115">
        <v>5.49</v>
      </c>
      <c r="S21" s="115">
        <v>7.31</v>
      </c>
      <c r="T21" s="115">
        <v>14.81</v>
      </c>
      <c r="U21" s="115">
        <v>11.12</v>
      </c>
      <c r="V21" s="115">
        <v>3.87</v>
      </c>
      <c r="W21" s="115">
        <v>5.75</v>
      </c>
      <c r="X21" s="115">
        <v>7.24</v>
      </c>
      <c r="Y21" s="115">
        <v>17.75</v>
      </c>
      <c r="Z21" s="115">
        <v>10.79</v>
      </c>
      <c r="AA21" s="115">
        <v>2.15</v>
      </c>
      <c r="AB21" s="115">
        <v>5.84</v>
      </c>
      <c r="AC21" s="115">
        <v>9.11</v>
      </c>
      <c r="AD21" s="115">
        <v>11.89</v>
      </c>
      <c r="AE21" s="130">
        <v>12.09</v>
      </c>
    </row>
    <row r="22" spans="1:31" x14ac:dyDescent="0.25">
      <c r="A22" s="73" t="s">
        <v>541</v>
      </c>
      <c r="B22" s="115">
        <v>2.2799999999999998</v>
      </c>
      <c r="C22" s="115">
        <v>6.3</v>
      </c>
      <c r="D22" s="115">
        <v>7.85</v>
      </c>
      <c r="E22" s="115">
        <v>18.25</v>
      </c>
      <c r="F22" s="115">
        <v>10.01</v>
      </c>
      <c r="G22" s="115">
        <v>3.54</v>
      </c>
      <c r="H22" s="115">
        <v>6.29</v>
      </c>
      <c r="I22" s="115">
        <v>10.47</v>
      </c>
      <c r="J22" s="115">
        <v>13.49</v>
      </c>
      <c r="K22" s="115">
        <v>14.48</v>
      </c>
      <c r="L22" s="115">
        <v>3.83</v>
      </c>
      <c r="M22" s="115">
        <v>5.0199999999999996</v>
      </c>
      <c r="N22" s="115">
        <v>11.94</v>
      </c>
      <c r="O22" s="115">
        <v>14.63</v>
      </c>
      <c r="P22" s="115">
        <v>12.94</v>
      </c>
      <c r="Q22" s="115">
        <v>3.24</v>
      </c>
      <c r="R22" s="115">
        <v>7.13</v>
      </c>
      <c r="S22" s="115">
        <v>11.03</v>
      </c>
      <c r="T22" s="115">
        <v>16.309999999999999</v>
      </c>
      <c r="U22" s="115">
        <v>13.9</v>
      </c>
      <c r="V22" s="115">
        <v>2.76</v>
      </c>
      <c r="W22" s="115">
        <v>7.16</v>
      </c>
      <c r="X22" s="115">
        <v>9.08</v>
      </c>
      <c r="Y22" s="115">
        <v>17.5</v>
      </c>
      <c r="Z22" s="115">
        <v>14.53</v>
      </c>
      <c r="AA22" s="115">
        <v>2.2000000000000002</v>
      </c>
      <c r="AB22" s="115">
        <v>7.6</v>
      </c>
      <c r="AC22" s="115">
        <v>8.41</v>
      </c>
      <c r="AD22" s="115">
        <v>11.55</v>
      </c>
      <c r="AE22" s="130">
        <v>9.93</v>
      </c>
    </row>
    <row r="23" spans="1:31" x14ac:dyDescent="0.25">
      <c r="A23" s="73" t="s">
        <v>542</v>
      </c>
      <c r="B23" s="115">
        <v>2.08</v>
      </c>
      <c r="C23" s="115">
        <v>6.87</v>
      </c>
      <c r="D23" s="115">
        <v>11.28</v>
      </c>
      <c r="E23" s="115">
        <v>18.66</v>
      </c>
      <c r="F23" s="115">
        <v>11.09</v>
      </c>
      <c r="G23" s="115">
        <v>2.93</v>
      </c>
      <c r="H23" s="115">
        <v>6.46</v>
      </c>
      <c r="I23" s="115">
        <v>8.33</v>
      </c>
      <c r="J23" s="115">
        <v>19.93</v>
      </c>
      <c r="K23" s="115">
        <v>14.26</v>
      </c>
      <c r="L23" s="115">
        <v>3.28</v>
      </c>
      <c r="M23" s="115">
        <v>6.45</v>
      </c>
      <c r="N23" s="115">
        <v>10.65</v>
      </c>
      <c r="O23" s="115">
        <v>19.420000000000002</v>
      </c>
      <c r="P23" s="115">
        <v>12.39</v>
      </c>
      <c r="Q23" s="115">
        <v>3.27</v>
      </c>
      <c r="R23" s="115">
        <v>7.24</v>
      </c>
      <c r="S23" s="115">
        <v>10.07</v>
      </c>
      <c r="T23" s="115">
        <v>18.510000000000002</v>
      </c>
      <c r="U23" s="115">
        <v>10.32</v>
      </c>
      <c r="V23" s="115">
        <v>3.69</v>
      </c>
      <c r="W23" s="115">
        <v>6.21</v>
      </c>
      <c r="X23" s="115">
        <v>9.85</v>
      </c>
      <c r="Y23" s="115">
        <v>17.600000000000001</v>
      </c>
      <c r="Z23" s="115">
        <v>10.64</v>
      </c>
      <c r="AA23" s="115">
        <v>2.04</v>
      </c>
      <c r="AB23" s="115">
        <v>7</v>
      </c>
      <c r="AC23" s="115">
        <v>9.41</v>
      </c>
      <c r="AD23" s="115">
        <v>12.83</v>
      </c>
      <c r="AE23" s="130">
        <v>15.15</v>
      </c>
    </row>
    <row r="24" spans="1:31" x14ac:dyDescent="0.25">
      <c r="A24" s="73" t="s">
        <v>543</v>
      </c>
      <c r="B24" s="115">
        <v>3.04</v>
      </c>
      <c r="C24" s="115">
        <v>7.63</v>
      </c>
      <c r="D24" s="115">
        <v>8.67</v>
      </c>
      <c r="E24" s="115">
        <v>16.489999999999998</v>
      </c>
      <c r="F24" s="115">
        <v>10.56</v>
      </c>
      <c r="G24" s="115">
        <v>2.08</v>
      </c>
      <c r="H24" s="115">
        <v>7.51</v>
      </c>
      <c r="I24" s="115">
        <v>7.86</v>
      </c>
      <c r="J24" s="115">
        <v>14.74</v>
      </c>
      <c r="K24" s="115">
        <v>12.36</v>
      </c>
      <c r="L24" s="115">
        <v>3.11</v>
      </c>
      <c r="M24" s="115">
        <v>5.18</v>
      </c>
      <c r="N24" s="115">
        <v>8.77</v>
      </c>
      <c r="O24" s="115">
        <v>15.33</v>
      </c>
      <c r="P24" s="115">
        <v>12.16</v>
      </c>
      <c r="Q24" s="115">
        <v>2.6</v>
      </c>
      <c r="R24" s="115">
        <v>7.47</v>
      </c>
      <c r="S24" s="115">
        <v>8.76</v>
      </c>
      <c r="T24" s="115">
        <v>11.91</v>
      </c>
      <c r="U24" s="115">
        <v>15.37</v>
      </c>
      <c r="V24" s="115">
        <v>3.93</v>
      </c>
      <c r="W24" s="115">
        <v>5.82</v>
      </c>
      <c r="X24" s="115">
        <v>8.0399999999999991</v>
      </c>
      <c r="Y24" s="115">
        <v>11.17</v>
      </c>
      <c r="Z24" s="115">
        <v>13.86</v>
      </c>
      <c r="AA24" s="115">
        <v>3.15</v>
      </c>
      <c r="AB24" s="115">
        <v>7.75</v>
      </c>
      <c r="AC24" s="115">
        <v>8.66</v>
      </c>
      <c r="AD24" s="115">
        <v>13.77</v>
      </c>
      <c r="AE24" s="130">
        <v>11.02</v>
      </c>
    </row>
    <row r="25" spans="1:31" x14ac:dyDescent="0.25">
      <c r="A25" s="73" t="s">
        <v>544</v>
      </c>
      <c r="B25" s="115">
        <v>2.44</v>
      </c>
      <c r="C25" s="115">
        <v>7.35</v>
      </c>
      <c r="D25" s="115">
        <v>10.07</v>
      </c>
      <c r="E25" s="115">
        <v>18.309999999999999</v>
      </c>
      <c r="F25" s="115">
        <v>12.1</v>
      </c>
      <c r="G25" s="115">
        <v>2.16</v>
      </c>
      <c r="H25" s="115">
        <v>6.28</v>
      </c>
      <c r="I25" s="115">
        <v>10.67</v>
      </c>
      <c r="J25" s="115">
        <v>14.98</v>
      </c>
      <c r="K25" s="115">
        <v>10.38</v>
      </c>
      <c r="L25" s="115">
        <v>3.75</v>
      </c>
      <c r="M25" s="115">
        <v>7.79</v>
      </c>
      <c r="N25" s="115">
        <v>11.48</v>
      </c>
      <c r="O25" s="115">
        <v>12.34</v>
      </c>
      <c r="P25" s="115">
        <v>10.5</v>
      </c>
      <c r="Q25" s="115">
        <v>4</v>
      </c>
      <c r="R25" s="115">
        <v>6.92</v>
      </c>
      <c r="S25" s="115">
        <v>9.77</v>
      </c>
      <c r="T25" s="115">
        <v>18.91</v>
      </c>
      <c r="U25" s="115">
        <v>14.86</v>
      </c>
      <c r="V25" s="115">
        <v>2.92</v>
      </c>
      <c r="W25" s="115">
        <v>5.34</v>
      </c>
      <c r="X25" s="115">
        <v>7.74</v>
      </c>
      <c r="Y25" s="115">
        <v>13.3</v>
      </c>
      <c r="Z25" s="115">
        <v>9.56</v>
      </c>
      <c r="AA25" s="115">
        <v>3.26</v>
      </c>
      <c r="AB25" s="115">
        <v>6.61</v>
      </c>
      <c r="AC25" s="115">
        <v>7.62</v>
      </c>
      <c r="AD25" s="115">
        <v>19.68</v>
      </c>
      <c r="AE25" s="130">
        <v>11.32</v>
      </c>
    </row>
    <row r="26" spans="1:31" x14ac:dyDescent="0.25">
      <c r="A26" s="73" t="s">
        <v>545</v>
      </c>
      <c r="B26" s="115">
        <v>3.85</v>
      </c>
      <c r="C26" s="115">
        <v>5.17</v>
      </c>
      <c r="D26" s="115">
        <v>10.82</v>
      </c>
      <c r="E26" s="115">
        <v>14.03</v>
      </c>
      <c r="F26" s="115">
        <v>9.07</v>
      </c>
      <c r="G26" s="115">
        <v>3.62</v>
      </c>
      <c r="H26" s="115">
        <v>7.11</v>
      </c>
      <c r="I26" s="115">
        <v>11.75</v>
      </c>
      <c r="J26" s="115">
        <v>11.86</v>
      </c>
      <c r="K26" s="115">
        <v>14.88</v>
      </c>
      <c r="L26" s="115">
        <v>3.26</v>
      </c>
      <c r="M26" s="115">
        <v>5.45</v>
      </c>
      <c r="N26" s="115">
        <v>11.35</v>
      </c>
      <c r="O26" s="115">
        <v>12.29</v>
      </c>
      <c r="P26" s="115">
        <v>9.99</v>
      </c>
      <c r="Q26" s="115">
        <v>2.96</v>
      </c>
      <c r="R26" s="115">
        <v>5.72</v>
      </c>
      <c r="S26" s="115">
        <v>9.9600000000000009</v>
      </c>
      <c r="T26" s="115">
        <v>12.98</v>
      </c>
      <c r="U26" s="115">
        <v>14.15</v>
      </c>
      <c r="V26" s="115">
        <v>2.4900000000000002</v>
      </c>
      <c r="W26" s="115">
        <v>7.62</v>
      </c>
      <c r="X26" s="115">
        <v>8.57</v>
      </c>
      <c r="Y26" s="115">
        <v>17.97</v>
      </c>
      <c r="Z26" s="115">
        <v>11.41</v>
      </c>
      <c r="AA26" s="115">
        <v>2.75</v>
      </c>
      <c r="AB26" s="115">
        <v>6.84</v>
      </c>
      <c r="AC26" s="115">
        <v>11.28</v>
      </c>
      <c r="AD26" s="115">
        <v>13.23</v>
      </c>
      <c r="AE26" s="130">
        <v>14.21</v>
      </c>
    </row>
    <row r="27" spans="1:31" x14ac:dyDescent="0.25">
      <c r="A27" s="73" t="s">
        <v>546</v>
      </c>
      <c r="B27" s="115">
        <v>2.79</v>
      </c>
      <c r="C27" s="115">
        <v>7.58</v>
      </c>
      <c r="D27" s="115">
        <v>7.83</v>
      </c>
      <c r="E27" s="115">
        <v>18.739999999999998</v>
      </c>
      <c r="F27" s="115">
        <v>9.9499999999999993</v>
      </c>
      <c r="G27" s="115">
        <v>2.92</v>
      </c>
      <c r="H27" s="115">
        <v>5.38</v>
      </c>
      <c r="I27" s="115">
        <v>9.48</v>
      </c>
      <c r="J27" s="115">
        <v>12.5</v>
      </c>
      <c r="K27" s="115">
        <v>10.67</v>
      </c>
      <c r="L27" s="115">
        <v>2.66</v>
      </c>
      <c r="M27" s="115">
        <v>6.21</v>
      </c>
      <c r="N27" s="115">
        <v>7.68</v>
      </c>
      <c r="O27" s="115">
        <v>15.12</v>
      </c>
      <c r="P27" s="115">
        <v>14.6</v>
      </c>
      <c r="Q27" s="115">
        <v>3.18</v>
      </c>
      <c r="R27" s="115">
        <v>5.55</v>
      </c>
      <c r="S27" s="115">
        <v>10.8</v>
      </c>
      <c r="T27" s="115">
        <v>18.440000000000001</v>
      </c>
      <c r="U27" s="115">
        <v>12.96</v>
      </c>
      <c r="V27" s="115">
        <v>3.8</v>
      </c>
      <c r="W27" s="115">
        <v>7.85</v>
      </c>
      <c r="X27" s="115">
        <v>7.26</v>
      </c>
      <c r="Y27" s="115">
        <v>13.02</v>
      </c>
      <c r="Z27" s="115">
        <v>12.95</v>
      </c>
      <c r="AA27" s="115">
        <v>2.1800000000000002</v>
      </c>
      <c r="AB27" s="115">
        <v>6.17</v>
      </c>
      <c r="AC27" s="115">
        <v>8.81</v>
      </c>
      <c r="AD27" s="115">
        <v>19.34</v>
      </c>
      <c r="AE27" s="130">
        <v>12.55</v>
      </c>
    </row>
    <row r="28" spans="1:31" x14ac:dyDescent="0.25">
      <c r="A28" s="73" t="s">
        <v>547</v>
      </c>
      <c r="B28" s="115">
        <v>2.87</v>
      </c>
      <c r="C28" s="115">
        <v>6.07</v>
      </c>
      <c r="D28" s="115">
        <v>8.07</v>
      </c>
      <c r="E28" s="115">
        <v>12.87</v>
      </c>
      <c r="F28" s="115">
        <v>10.67</v>
      </c>
      <c r="G28" s="115">
        <v>3.98</v>
      </c>
      <c r="H28" s="115">
        <v>7.69</v>
      </c>
      <c r="I28" s="115">
        <v>7.19</v>
      </c>
      <c r="J28" s="115">
        <v>18.87</v>
      </c>
      <c r="K28" s="115">
        <v>10.18</v>
      </c>
      <c r="L28" s="115">
        <v>2.0699999999999998</v>
      </c>
      <c r="M28" s="115">
        <v>5.9</v>
      </c>
      <c r="N28" s="115">
        <v>11.57</v>
      </c>
      <c r="O28" s="115">
        <v>17.89</v>
      </c>
      <c r="P28" s="115">
        <v>15.1</v>
      </c>
      <c r="Q28" s="115">
        <v>3.46</v>
      </c>
      <c r="R28" s="115">
        <v>7.7</v>
      </c>
      <c r="S28" s="115">
        <v>9.23</v>
      </c>
      <c r="T28" s="115">
        <v>16.23</v>
      </c>
      <c r="U28" s="115">
        <v>11.7</v>
      </c>
      <c r="V28" s="115">
        <v>2.88</v>
      </c>
      <c r="W28" s="115">
        <v>6.63</v>
      </c>
      <c r="X28" s="115">
        <v>7.27</v>
      </c>
      <c r="Y28" s="115">
        <v>19.73</v>
      </c>
      <c r="Z28" s="115">
        <v>15.18</v>
      </c>
      <c r="AA28" s="115">
        <v>2.0299999999999998</v>
      </c>
      <c r="AB28" s="115">
        <v>7.83</v>
      </c>
      <c r="AC28" s="115">
        <v>8.35</v>
      </c>
      <c r="AD28" s="115">
        <v>13.89</v>
      </c>
      <c r="AE28" s="130">
        <v>15.98</v>
      </c>
    </row>
    <row r="29" spans="1:31" x14ac:dyDescent="0.25">
      <c r="A29" s="73" t="s">
        <v>548</v>
      </c>
      <c r="B29" s="115">
        <v>3.14</v>
      </c>
      <c r="C29" s="115">
        <v>5.55</v>
      </c>
      <c r="D29" s="115">
        <v>10.49</v>
      </c>
      <c r="E29" s="115">
        <v>16.489999999999998</v>
      </c>
      <c r="F29" s="115">
        <v>14.47</v>
      </c>
      <c r="G29" s="115">
        <v>3.31</v>
      </c>
      <c r="H29" s="115">
        <v>6.2</v>
      </c>
      <c r="I29" s="115">
        <v>10.88</v>
      </c>
      <c r="J29" s="115">
        <v>19.87</v>
      </c>
      <c r="K29" s="115">
        <v>13.64</v>
      </c>
      <c r="L29" s="115">
        <v>3.99</v>
      </c>
      <c r="M29" s="115">
        <v>5.38</v>
      </c>
      <c r="N29" s="115">
        <v>8.31</v>
      </c>
      <c r="O29" s="115">
        <v>15.59</v>
      </c>
      <c r="P29" s="115">
        <v>14.46</v>
      </c>
      <c r="Q29" s="115">
        <v>2.92</v>
      </c>
      <c r="R29" s="115">
        <v>5.79</v>
      </c>
      <c r="S29" s="115">
        <v>7.21</v>
      </c>
      <c r="T29" s="115">
        <v>19.62</v>
      </c>
      <c r="U29" s="115">
        <v>12.69</v>
      </c>
      <c r="V29" s="115">
        <v>3.47</v>
      </c>
      <c r="W29" s="115">
        <v>6.17</v>
      </c>
      <c r="X29" s="115">
        <v>10.46</v>
      </c>
      <c r="Y29" s="115">
        <v>11.87</v>
      </c>
      <c r="Z29" s="115">
        <v>10.5</v>
      </c>
      <c r="AA29" s="115">
        <v>2.44</v>
      </c>
      <c r="AB29" s="115">
        <v>6.54</v>
      </c>
      <c r="AC29" s="115">
        <v>11.96</v>
      </c>
      <c r="AD29" s="115">
        <v>18.489999999999998</v>
      </c>
      <c r="AE29" s="130">
        <v>10.32</v>
      </c>
    </row>
    <row r="30" spans="1:31" x14ac:dyDescent="0.25">
      <c r="A30" s="73" t="s">
        <v>549</v>
      </c>
      <c r="B30" s="115">
        <v>3.01</v>
      </c>
      <c r="C30" s="115">
        <v>7.28</v>
      </c>
      <c r="D30" s="115">
        <v>11.14</v>
      </c>
      <c r="E30" s="115">
        <v>11.86</v>
      </c>
      <c r="F30" s="115">
        <v>15.76</v>
      </c>
      <c r="G30" s="115">
        <v>2.42</v>
      </c>
      <c r="H30" s="115">
        <v>5.69</v>
      </c>
      <c r="I30" s="115">
        <v>10.43</v>
      </c>
      <c r="J30" s="115">
        <v>14.07</v>
      </c>
      <c r="K30" s="115">
        <v>9.77</v>
      </c>
      <c r="L30" s="115">
        <v>3.72</v>
      </c>
      <c r="M30" s="115">
        <v>5.58</v>
      </c>
      <c r="N30" s="115">
        <v>10.7</v>
      </c>
      <c r="O30" s="115">
        <v>11.85</v>
      </c>
      <c r="P30" s="115">
        <v>15.32</v>
      </c>
      <c r="Q30" s="115">
        <v>2.2999999999999998</v>
      </c>
      <c r="R30" s="115">
        <v>5.19</v>
      </c>
      <c r="S30" s="115">
        <v>9.57</v>
      </c>
      <c r="T30" s="115">
        <v>15.08</v>
      </c>
      <c r="U30" s="115">
        <v>12.96</v>
      </c>
      <c r="V30" s="115">
        <v>3.02</v>
      </c>
      <c r="W30" s="115">
        <v>6.18</v>
      </c>
      <c r="X30" s="115">
        <v>8.82</v>
      </c>
      <c r="Y30" s="115">
        <v>19.32</v>
      </c>
      <c r="Z30" s="115">
        <v>14.01</v>
      </c>
      <c r="AA30" s="115">
        <v>3.67</v>
      </c>
      <c r="AB30" s="115">
        <v>7.85</v>
      </c>
      <c r="AC30" s="115">
        <v>9.34</v>
      </c>
      <c r="AD30" s="115">
        <v>13.58</v>
      </c>
      <c r="AE30" s="130">
        <v>13.93</v>
      </c>
    </row>
    <row r="31" spans="1:31" x14ac:dyDescent="0.25">
      <c r="A31" s="73" t="s">
        <v>550</v>
      </c>
      <c r="B31" s="115">
        <v>2.36</v>
      </c>
      <c r="C31" s="115">
        <v>6.47</v>
      </c>
      <c r="D31" s="115">
        <v>7.5</v>
      </c>
      <c r="E31" s="115">
        <v>17.61</v>
      </c>
      <c r="F31" s="115">
        <v>10.08</v>
      </c>
      <c r="G31" s="115">
        <v>2.4300000000000002</v>
      </c>
      <c r="H31" s="115">
        <v>6.62</v>
      </c>
      <c r="I31" s="115">
        <v>9.06</v>
      </c>
      <c r="J31" s="115">
        <v>19.71</v>
      </c>
      <c r="K31" s="115">
        <v>13.97</v>
      </c>
      <c r="L31" s="115">
        <v>2.96</v>
      </c>
      <c r="M31" s="115">
        <v>6.91</v>
      </c>
      <c r="N31" s="115">
        <v>7.81</v>
      </c>
      <c r="O31" s="115">
        <v>18.8</v>
      </c>
      <c r="P31" s="115">
        <v>13.7</v>
      </c>
      <c r="Q31" s="115">
        <v>3.06</v>
      </c>
      <c r="R31" s="115">
        <v>6.94</v>
      </c>
      <c r="S31" s="115">
        <v>10.47</v>
      </c>
      <c r="T31" s="115">
        <v>17.940000000000001</v>
      </c>
      <c r="U31" s="115">
        <v>13.69</v>
      </c>
      <c r="V31" s="115">
        <v>2.87</v>
      </c>
      <c r="W31" s="115">
        <v>6.86</v>
      </c>
      <c r="X31" s="115">
        <v>11.3</v>
      </c>
      <c r="Y31" s="115">
        <v>17.53</v>
      </c>
      <c r="Z31" s="115">
        <v>9.83</v>
      </c>
      <c r="AA31" s="115">
        <v>3.58</v>
      </c>
      <c r="AB31" s="115">
        <v>5.45</v>
      </c>
      <c r="AC31" s="115">
        <v>10.65</v>
      </c>
      <c r="AD31" s="115">
        <v>19.53</v>
      </c>
      <c r="AE31" s="130">
        <v>13.99</v>
      </c>
    </row>
    <row r="32" spans="1:31" x14ac:dyDescent="0.25">
      <c r="A32" s="73" t="s">
        <v>551</v>
      </c>
      <c r="B32" s="115">
        <v>3.23</v>
      </c>
      <c r="C32" s="115">
        <v>7.75</v>
      </c>
      <c r="D32" s="115">
        <v>9.4600000000000009</v>
      </c>
      <c r="E32" s="115">
        <v>14.58</v>
      </c>
      <c r="F32" s="115">
        <v>12.16</v>
      </c>
      <c r="G32" s="115">
        <v>2.12</v>
      </c>
      <c r="H32" s="115">
        <v>6.16</v>
      </c>
      <c r="I32" s="115">
        <v>8.7899999999999991</v>
      </c>
      <c r="J32" s="115">
        <v>15.16</v>
      </c>
      <c r="K32" s="115">
        <v>10.65</v>
      </c>
      <c r="L32" s="115">
        <v>3.39</v>
      </c>
      <c r="M32" s="115">
        <v>6.63</v>
      </c>
      <c r="N32" s="115">
        <v>10.78</v>
      </c>
      <c r="O32" s="115">
        <v>15.24</v>
      </c>
      <c r="P32" s="115">
        <v>14.08</v>
      </c>
      <c r="Q32" s="115">
        <v>2.75</v>
      </c>
      <c r="R32" s="115">
        <v>7.11</v>
      </c>
      <c r="S32" s="115">
        <v>8.4700000000000006</v>
      </c>
      <c r="T32" s="115">
        <v>15.72</v>
      </c>
      <c r="U32" s="115">
        <v>14.7</v>
      </c>
      <c r="V32" s="115">
        <v>2.6</v>
      </c>
      <c r="W32" s="115">
        <v>7.61</v>
      </c>
      <c r="X32" s="115">
        <v>10.119999999999999</v>
      </c>
      <c r="Y32" s="115">
        <v>16.98</v>
      </c>
      <c r="Z32" s="115">
        <v>9.11</v>
      </c>
      <c r="AA32" s="115">
        <v>3.82</v>
      </c>
      <c r="AB32" s="115">
        <v>5.78</v>
      </c>
      <c r="AC32" s="115">
        <v>11.54</v>
      </c>
      <c r="AD32" s="115">
        <v>19.57</v>
      </c>
      <c r="AE32" s="130">
        <v>10.9</v>
      </c>
    </row>
    <row r="33" spans="1:31" x14ac:dyDescent="0.25">
      <c r="A33" s="73" t="s">
        <v>552</v>
      </c>
      <c r="B33" s="115">
        <v>3.09</v>
      </c>
      <c r="C33" s="115">
        <v>5.0599999999999996</v>
      </c>
      <c r="D33" s="115">
        <v>9.98</v>
      </c>
      <c r="E33" s="115">
        <v>15.94</v>
      </c>
      <c r="F33" s="115">
        <v>12.18</v>
      </c>
      <c r="G33" s="115">
        <v>2.83</v>
      </c>
      <c r="H33" s="115">
        <v>6.15</v>
      </c>
      <c r="I33" s="115">
        <v>7.2</v>
      </c>
      <c r="J33" s="115">
        <v>13.06</v>
      </c>
      <c r="K33" s="115">
        <v>10.97</v>
      </c>
      <c r="L33" s="115">
        <v>3.45</v>
      </c>
      <c r="M33" s="115">
        <v>5.0599999999999996</v>
      </c>
      <c r="N33" s="115">
        <v>11.51</v>
      </c>
      <c r="O33" s="115">
        <v>13.4</v>
      </c>
      <c r="P33" s="115">
        <v>15.75</v>
      </c>
      <c r="Q33" s="115">
        <v>2.14</v>
      </c>
      <c r="R33" s="115">
        <v>6.85</v>
      </c>
      <c r="S33" s="115">
        <v>7.76</v>
      </c>
      <c r="T33" s="115">
        <v>15.22</v>
      </c>
      <c r="U33" s="115">
        <v>12.86</v>
      </c>
      <c r="V33" s="115">
        <v>2.46</v>
      </c>
      <c r="W33" s="115">
        <v>6.15</v>
      </c>
      <c r="X33" s="115">
        <v>11.29</v>
      </c>
      <c r="Y33" s="115">
        <v>13.32</v>
      </c>
      <c r="Z33" s="115">
        <v>11.41</v>
      </c>
      <c r="AA33" s="115">
        <v>2.97</v>
      </c>
      <c r="AB33" s="115">
        <v>6.62</v>
      </c>
      <c r="AC33" s="115">
        <v>7.57</v>
      </c>
      <c r="AD33" s="115">
        <v>12.09</v>
      </c>
      <c r="AE33" s="130">
        <v>12.98</v>
      </c>
    </row>
    <row r="34" spans="1:31" x14ac:dyDescent="0.25">
      <c r="A34" s="73" t="s">
        <v>553</v>
      </c>
      <c r="B34" s="115">
        <v>3.31</v>
      </c>
      <c r="C34" s="115">
        <v>5.41</v>
      </c>
      <c r="D34" s="115">
        <v>11.12</v>
      </c>
      <c r="E34" s="115">
        <v>15.28</v>
      </c>
      <c r="F34" s="115">
        <v>11.28</v>
      </c>
      <c r="G34" s="115">
        <v>3.97</v>
      </c>
      <c r="H34" s="115">
        <v>6.25</v>
      </c>
      <c r="I34" s="115">
        <v>10.81</v>
      </c>
      <c r="J34" s="115">
        <v>19.559999999999999</v>
      </c>
      <c r="K34" s="115">
        <v>10.3</v>
      </c>
      <c r="L34" s="115">
        <v>2.52</v>
      </c>
      <c r="M34" s="115">
        <v>6.32</v>
      </c>
      <c r="N34" s="115">
        <v>8.4499999999999993</v>
      </c>
      <c r="O34" s="115">
        <v>19.489999999999998</v>
      </c>
      <c r="P34" s="115">
        <v>9.49</v>
      </c>
      <c r="Q34" s="115">
        <v>2.75</v>
      </c>
      <c r="R34" s="115">
        <v>7.74</v>
      </c>
      <c r="S34" s="115">
        <v>9.8699999999999992</v>
      </c>
      <c r="T34" s="115">
        <v>11.84</v>
      </c>
      <c r="U34" s="115">
        <v>10.49</v>
      </c>
      <c r="V34" s="115">
        <v>2.68</v>
      </c>
      <c r="W34" s="115">
        <v>7.07</v>
      </c>
      <c r="X34" s="115">
        <v>11.59</v>
      </c>
      <c r="Y34" s="115">
        <v>18.170000000000002</v>
      </c>
      <c r="Z34" s="115">
        <v>10.37</v>
      </c>
      <c r="AA34" s="115">
        <v>3.11</v>
      </c>
      <c r="AB34" s="115">
        <v>5.61</v>
      </c>
      <c r="AC34" s="115">
        <v>8.69</v>
      </c>
      <c r="AD34" s="115">
        <v>14.86</v>
      </c>
      <c r="AE34" s="130">
        <v>10.92</v>
      </c>
    </row>
    <row r="35" spans="1:31" x14ac:dyDescent="0.25">
      <c r="A35" s="73" t="s">
        <v>554</v>
      </c>
      <c r="B35" s="115">
        <v>3.23</v>
      </c>
      <c r="C35" s="115">
        <v>5.12</v>
      </c>
      <c r="D35" s="115">
        <v>9.61</v>
      </c>
      <c r="E35" s="115">
        <v>11.69</v>
      </c>
      <c r="F35" s="115">
        <v>11.52</v>
      </c>
      <c r="G35" s="115">
        <v>3.03</v>
      </c>
      <c r="H35" s="115">
        <v>7.64</v>
      </c>
      <c r="I35" s="115">
        <v>8.59</v>
      </c>
      <c r="J35" s="115">
        <v>18.649999999999999</v>
      </c>
      <c r="K35" s="115">
        <v>14.49</v>
      </c>
      <c r="L35" s="115">
        <v>3.9</v>
      </c>
      <c r="M35" s="115">
        <v>5.43</v>
      </c>
      <c r="N35" s="115">
        <v>10.82</v>
      </c>
      <c r="O35" s="115">
        <v>16.510000000000002</v>
      </c>
      <c r="P35" s="115">
        <v>14.24</v>
      </c>
      <c r="Q35" s="115">
        <v>3.57</v>
      </c>
      <c r="R35" s="115">
        <v>6.08</v>
      </c>
      <c r="S35" s="115">
        <v>8.66</v>
      </c>
      <c r="T35" s="115">
        <v>11.46</v>
      </c>
      <c r="U35" s="115">
        <v>15.33</v>
      </c>
      <c r="V35" s="115">
        <v>2.86</v>
      </c>
      <c r="W35" s="115">
        <v>5.19</v>
      </c>
      <c r="X35" s="115">
        <v>7.24</v>
      </c>
      <c r="Y35" s="115">
        <v>12.69</v>
      </c>
      <c r="Z35" s="115">
        <v>12.17</v>
      </c>
      <c r="AA35" s="115">
        <v>2.75</v>
      </c>
      <c r="AB35" s="115">
        <v>5.36</v>
      </c>
      <c r="AC35" s="115">
        <v>11.52</v>
      </c>
      <c r="AD35" s="115">
        <v>18.27</v>
      </c>
      <c r="AE35" s="130">
        <v>11.61</v>
      </c>
    </row>
    <row r="36" spans="1:31" x14ac:dyDescent="0.25">
      <c r="A36" s="73" t="s">
        <v>555</v>
      </c>
      <c r="B36" s="115">
        <v>2.13</v>
      </c>
      <c r="C36" s="115">
        <v>6.36</v>
      </c>
      <c r="D36" s="115">
        <v>10.98</v>
      </c>
      <c r="E36" s="115">
        <v>16.739999999999998</v>
      </c>
      <c r="F36" s="115">
        <v>11.73</v>
      </c>
      <c r="G36" s="115">
        <v>3.31</v>
      </c>
      <c r="H36" s="115">
        <v>5.18</v>
      </c>
      <c r="I36" s="115">
        <v>9.16</v>
      </c>
      <c r="J36" s="115">
        <v>15.56</v>
      </c>
      <c r="K36" s="115">
        <v>10.42</v>
      </c>
      <c r="L36" s="115">
        <v>3.43</v>
      </c>
      <c r="M36" s="115">
        <v>7.41</v>
      </c>
      <c r="N36" s="115">
        <v>8.7799999999999994</v>
      </c>
      <c r="O36" s="115">
        <v>19.989999999999998</v>
      </c>
      <c r="P36" s="115">
        <v>12.43</v>
      </c>
      <c r="Q36" s="115">
        <v>2.64</v>
      </c>
      <c r="R36" s="115">
        <v>5.89</v>
      </c>
      <c r="S36" s="115">
        <v>11.48</v>
      </c>
      <c r="T36" s="115">
        <v>14.25</v>
      </c>
      <c r="U36" s="115">
        <v>10.98</v>
      </c>
      <c r="V36" s="115">
        <v>3.74</v>
      </c>
      <c r="W36" s="115">
        <v>5.35</v>
      </c>
      <c r="X36" s="115">
        <v>7.83</v>
      </c>
      <c r="Y36" s="115">
        <v>18.04</v>
      </c>
      <c r="Z36" s="115">
        <v>14.84</v>
      </c>
      <c r="AA36" s="115">
        <v>2.11</v>
      </c>
      <c r="AB36" s="115">
        <v>6.93</v>
      </c>
      <c r="AC36" s="115">
        <v>8.5399999999999991</v>
      </c>
      <c r="AD36" s="115">
        <v>18.72</v>
      </c>
      <c r="AE36" s="130">
        <v>13.33</v>
      </c>
    </row>
    <row r="37" spans="1:31" x14ac:dyDescent="0.25">
      <c r="A37" s="73" t="s">
        <v>556</v>
      </c>
      <c r="B37" s="115">
        <v>2.52</v>
      </c>
      <c r="C37" s="115">
        <v>7.28</v>
      </c>
      <c r="D37" s="115">
        <v>10.87</v>
      </c>
      <c r="E37" s="115">
        <v>16.5</v>
      </c>
      <c r="F37" s="115">
        <v>12.55</v>
      </c>
      <c r="G37" s="115">
        <v>3.75</v>
      </c>
      <c r="H37" s="115">
        <v>5.29</v>
      </c>
      <c r="I37" s="115">
        <v>8.25</v>
      </c>
      <c r="J37" s="115">
        <v>13.4</v>
      </c>
      <c r="K37" s="115">
        <v>14.32</v>
      </c>
      <c r="L37" s="115">
        <v>3.21</v>
      </c>
      <c r="M37" s="115">
        <v>6.65</v>
      </c>
      <c r="N37" s="115">
        <v>11.35</v>
      </c>
      <c r="O37" s="115">
        <v>11.32</v>
      </c>
      <c r="P37" s="115">
        <v>9.4</v>
      </c>
      <c r="Q37" s="115">
        <v>2.7</v>
      </c>
      <c r="R37" s="115">
        <v>7.27</v>
      </c>
      <c r="S37" s="115">
        <v>11.02</v>
      </c>
      <c r="T37" s="115">
        <v>16.84</v>
      </c>
      <c r="U37" s="115">
        <v>9.32</v>
      </c>
      <c r="V37" s="115">
        <v>2.6</v>
      </c>
      <c r="W37" s="115">
        <v>6.28</v>
      </c>
      <c r="X37" s="115">
        <v>7.31</v>
      </c>
      <c r="Y37" s="115">
        <v>13.35</v>
      </c>
      <c r="Z37" s="115">
        <v>10.199999999999999</v>
      </c>
      <c r="AA37" s="115">
        <v>2.23</v>
      </c>
      <c r="AB37" s="115">
        <v>6.42</v>
      </c>
      <c r="AC37" s="115">
        <v>7.98</v>
      </c>
      <c r="AD37" s="115">
        <v>11.63</v>
      </c>
      <c r="AE37" s="130">
        <v>9.5</v>
      </c>
    </row>
    <row r="38" spans="1:31" x14ac:dyDescent="0.25">
      <c r="A38" s="73" t="s">
        <v>557</v>
      </c>
      <c r="B38" s="115">
        <v>3.03</v>
      </c>
      <c r="C38" s="115">
        <v>6.21</v>
      </c>
      <c r="D38" s="115">
        <v>7.32</v>
      </c>
      <c r="E38" s="115">
        <v>12.82</v>
      </c>
      <c r="F38" s="115">
        <v>10.6</v>
      </c>
      <c r="G38" s="115">
        <v>2.8</v>
      </c>
      <c r="H38" s="115">
        <v>6.72</v>
      </c>
      <c r="I38" s="115">
        <v>11.34</v>
      </c>
      <c r="J38" s="115">
        <v>13.5</v>
      </c>
      <c r="K38" s="115">
        <v>12.03</v>
      </c>
      <c r="L38" s="115">
        <v>3.9</v>
      </c>
      <c r="M38" s="115">
        <v>5.07</v>
      </c>
      <c r="N38" s="115">
        <v>11.36</v>
      </c>
      <c r="O38" s="115">
        <v>12.65</v>
      </c>
      <c r="P38" s="115">
        <v>12.19</v>
      </c>
      <c r="Q38" s="115">
        <v>3.96</v>
      </c>
      <c r="R38" s="115">
        <v>6.19</v>
      </c>
      <c r="S38" s="115">
        <v>7.91</v>
      </c>
      <c r="T38" s="115">
        <v>16.28</v>
      </c>
      <c r="U38" s="115">
        <v>12.85</v>
      </c>
      <c r="V38" s="115">
        <v>2.39</v>
      </c>
      <c r="W38" s="115">
        <v>6.11</v>
      </c>
      <c r="X38" s="115">
        <v>11</v>
      </c>
      <c r="Y38" s="115">
        <v>15.27</v>
      </c>
      <c r="Z38" s="115">
        <v>13.05</v>
      </c>
      <c r="AA38" s="115">
        <v>2.97</v>
      </c>
      <c r="AB38" s="115">
        <v>6.22</v>
      </c>
      <c r="AC38" s="115">
        <v>8.51</v>
      </c>
      <c r="AD38" s="115">
        <v>16.88</v>
      </c>
      <c r="AE38" s="130">
        <v>14.86</v>
      </c>
    </row>
    <row r="39" spans="1:31" x14ac:dyDescent="0.25">
      <c r="A39" s="73" t="s">
        <v>558</v>
      </c>
      <c r="B39" s="115">
        <v>3.41</v>
      </c>
      <c r="C39" s="115">
        <v>6.56</v>
      </c>
      <c r="D39" s="115">
        <v>9.24</v>
      </c>
      <c r="E39" s="115">
        <v>15.02</v>
      </c>
      <c r="F39" s="115">
        <v>9.26</v>
      </c>
      <c r="G39" s="115">
        <v>3.22</v>
      </c>
      <c r="H39" s="115">
        <v>5.74</v>
      </c>
      <c r="I39" s="115">
        <v>7.48</v>
      </c>
      <c r="J39" s="115">
        <v>18.329999999999998</v>
      </c>
      <c r="K39" s="115">
        <v>13.6</v>
      </c>
      <c r="L39" s="115">
        <v>2.99</v>
      </c>
      <c r="M39" s="115">
        <v>7.51</v>
      </c>
      <c r="N39" s="115">
        <v>7.64</v>
      </c>
      <c r="O39" s="115">
        <v>12.28</v>
      </c>
      <c r="P39" s="115">
        <v>10.58</v>
      </c>
      <c r="Q39" s="115">
        <v>2.2200000000000002</v>
      </c>
      <c r="R39" s="115">
        <v>5.45</v>
      </c>
      <c r="S39" s="115">
        <v>8.26</v>
      </c>
      <c r="T39" s="115">
        <v>17.54</v>
      </c>
      <c r="U39" s="115">
        <v>12.03</v>
      </c>
      <c r="V39" s="115">
        <v>2.48</v>
      </c>
      <c r="W39" s="115">
        <v>5.21</v>
      </c>
      <c r="X39" s="115">
        <v>7.92</v>
      </c>
      <c r="Y39" s="115">
        <v>15.46</v>
      </c>
      <c r="Z39" s="115">
        <v>10.48</v>
      </c>
      <c r="AA39" s="115">
        <v>3.46</v>
      </c>
      <c r="AB39" s="115">
        <v>6.4</v>
      </c>
      <c r="AC39" s="115">
        <v>8.3800000000000008</v>
      </c>
      <c r="AD39" s="115">
        <v>17.71</v>
      </c>
      <c r="AE39" s="130">
        <v>14.68</v>
      </c>
    </row>
    <row r="40" spans="1:31" x14ac:dyDescent="0.25">
      <c r="A40" s="73" t="s">
        <v>559</v>
      </c>
      <c r="B40" s="115">
        <v>3.1</v>
      </c>
      <c r="C40" s="115">
        <v>7.93</v>
      </c>
      <c r="D40" s="115">
        <v>7.43</v>
      </c>
      <c r="E40" s="115">
        <v>17.77</v>
      </c>
      <c r="F40" s="115">
        <v>14.49</v>
      </c>
      <c r="G40" s="115">
        <v>3.28</v>
      </c>
      <c r="H40" s="115">
        <v>7.86</v>
      </c>
      <c r="I40" s="115">
        <v>11.83</v>
      </c>
      <c r="J40" s="115">
        <v>18.34</v>
      </c>
      <c r="K40" s="115">
        <v>15.55</v>
      </c>
      <c r="L40" s="115">
        <v>2.13</v>
      </c>
      <c r="M40" s="115">
        <v>6.91</v>
      </c>
      <c r="N40" s="115">
        <v>7.05</v>
      </c>
      <c r="O40" s="115">
        <v>15.09</v>
      </c>
      <c r="P40" s="115">
        <v>16</v>
      </c>
      <c r="Q40" s="115">
        <v>2.59</v>
      </c>
      <c r="R40" s="115">
        <v>6.38</v>
      </c>
      <c r="S40" s="115">
        <v>11.88</v>
      </c>
      <c r="T40" s="115">
        <v>12.78</v>
      </c>
      <c r="U40" s="115">
        <v>9.7899999999999991</v>
      </c>
      <c r="V40" s="115">
        <v>2.73</v>
      </c>
      <c r="W40" s="115">
        <v>5.8</v>
      </c>
      <c r="X40" s="115">
        <v>8.34</v>
      </c>
      <c r="Y40" s="115">
        <v>16.78</v>
      </c>
      <c r="Z40" s="115">
        <v>15.62</v>
      </c>
      <c r="AA40" s="115">
        <v>2.11</v>
      </c>
      <c r="AB40" s="115">
        <v>5.37</v>
      </c>
      <c r="AC40" s="115">
        <v>11.49</v>
      </c>
      <c r="AD40" s="115">
        <v>15.92</v>
      </c>
      <c r="AE40" s="130">
        <v>11.05</v>
      </c>
    </row>
    <row r="41" spans="1:31" x14ac:dyDescent="0.25">
      <c r="A41" s="73" t="s">
        <v>560</v>
      </c>
      <c r="B41" s="115">
        <v>2.88</v>
      </c>
      <c r="C41" s="115">
        <v>7.84</v>
      </c>
      <c r="D41" s="115">
        <v>9.27</v>
      </c>
      <c r="E41" s="115">
        <v>19.61</v>
      </c>
      <c r="F41" s="115">
        <v>10.67</v>
      </c>
      <c r="G41" s="115">
        <v>3.58</v>
      </c>
      <c r="H41" s="115">
        <v>6.91</v>
      </c>
      <c r="I41" s="115">
        <v>9.84</v>
      </c>
      <c r="J41" s="115">
        <v>11.06</v>
      </c>
      <c r="K41" s="115">
        <v>15</v>
      </c>
      <c r="L41" s="115">
        <v>3.34</v>
      </c>
      <c r="M41" s="115">
        <v>6.86</v>
      </c>
      <c r="N41" s="115">
        <v>7.76</v>
      </c>
      <c r="O41" s="115">
        <v>13.83</v>
      </c>
      <c r="P41" s="115">
        <v>12.45</v>
      </c>
      <c r="Q41" s="115">
        <v>3.33</v>
      </c>
      <c r="R41" s="115">
        <v>6.96</v>
      </c>
      <c r="S41" s="115">
        <v>9.17</v>
      </c>
      <c r="T41" s="115">
        <v>16.489999999999998</v>
      </c>
      <c r="U41" s="115">
        <v>9.2899999999999991</v>
      </c>
      <c r="V41" s="115">
        <v>3.32</v>
      </c>
      <c r="W41" s="115">
        <v>6.4</v>
      </c>
      <c r="X41" s="115">
        <v>8.57</v>
      </c>
      <c r="Y41" s="115">
        <v>12.24</v>
      </c>
      <c r="Z41" s="115">
        <v>13.32</v>
      </c>
      <c r="AA41" s="115">
        <v>2.67</v>
      </c>
      <c r="AB41" s="115">
        <v>5.99</v>
      </c>
      <c r="AC41" s="115">
        <v>8.24</v>
      </c>
      <c r="AD41" s="115">
        <v>14.49</v>
      </c>
      <c r="AE41" s="130">
        <v>10.73</v>
      </c>
    </row>
    <row r="42" spans="1:31" x14ac:dyDescent="0.25">
      <c r="A42" s="73" t="s">
        <v>561</v>
      </c>
      <c r="B42" s="115">
        <v>2.21</v>
      </c>
      <c r="C42" s="115">
        <v>6.16</v>
      </c>
      <c r="D42" s="115">
        <v>9.93</v>
      </c>
      <c r="E42" s="115">
        <v>13.89</v>
      </c>
      <c r="F42" s="115">
        <v>14.69</v>
      </c>
      <c r="G42" s="115">
        <v>3.29</v>
      </c>
      <c r="H42" s="115">
        <v>6.15</v>
      </c>
      <c r="I42" s="115">
        <v>10.35</v>
      </c>
      <c r="J42" s="115">
        <v>12.73</v>
      </c>
      <c r="K42" s="115">
        <v>14.23</v>
      </c>
      <c r="L42" s="115">
        <v>3.43</v>
      </c>
      <c r="M42" s="115">
        <v>6.1</v>
      </c>
      <c r="N42" s="115">
        <v>9.43</v>
      </c>
      <c r="O42" s="115">
        <v>15.67</v>
      </c>
      <c r="P42" s="115">
        <v>13.79</v>
      </c>
      <c r="Q42" s="115">
        <v>2.2200000000000002</v>
      </c>
      <c r="R42" s="115">
        <v>7.86</v>
      </c>
      <c r="S42" s="115">
        <v>9.89</v>
      </c>
      <c r="T42" s="115">
        <v>15.92</v>
      </c>
      <c r="U42" s="115">
        <v>12.45</v>
      </c>
      <c r="V42" s="115">
        <v>3.36</v>
      </c>
      <c r="W42" s="115">
        <v>7.64</v>
      </c>
      <c r="X42" s="115">
        <v>7</v>
      </c>
      <c r="Y42" s="115">
        <v>11.49</v>
      </c>
      <c r="Z42" s="115">
        <v>11.5</v>
      </c>
      <c r="AA42" s="115">
        <v>3.25</v>
      </c>
      <c r="AB42" s="115">
        <v>7.77</v>
      </c>
      <c r="AC42" s="115">
        <v>10.43</v>
      </c>
      <c r="AD42" s="115">
        <v>18.48</v>
      </c>
      <c r="AE42" s="130">
        <v>10.16</v>
      </c>
    </row>
    <row r="43" spans="1:31" x14ac:dyDescent="0.25">
      <c r="A43" s="73" t="s">
        <v>562</v>
      </c>
      <c r="B43" s="115">
        <v>2.5099999999999998</v>
      </c>
      <c r="C43" s="115">
        <v>7.27</v>
      </c>
      <c r="D43" s="115">
        <v>7.92</v>
      </c>
      <c r="E43" s="115">
        <v>17.239999999999998</v>
      </c>
      <c r="F43" s="115">
        <v>11.57</v>
      </c>
      <c r="G43" s="115">
        <v>2.52</v>
      </c>
      <c r="H43" s="115">
        <v>7.63</v>
      </c>
      <c r="I43" s="115">
        <v>10.48</v>
      </c>
      <c r="J43" s="115">
        <v>15.15</v>
      </c>
      <c r="K43" s="115">
        <v>15.3</v>
      </c>
      <c r="L43" s="115">
        <v>2.52</v>
      </c>
      <c r="M43" s="115">
        <v>7.65</v>
      </c>
      <c r="N43" s="115">
        <v>7.01</v>
      </c>
      <c r="O43" s="115">
        <v>17.399999999999999</v>
      </c>
      <c r="P43" s="115">
        <v>10.68</v>
      </c>
      <c r="Q43" s="115">
        <v>2.67</v>
      </c>
      <c r="R43" s="115">
        <v>5.09</v>
      </c>
      <c r="S43" s="115">
        <v>7.41</v>
      </c>
      <c r="T43" s="115">
        <v>13.1</v>
      </c>
      <c r="U43" s="115">
        <v>14.26</v>
      </c>
      <c r="V43" s="115">
        <v>3.6</v>
      </c>
      <c r="W43" s="115">
        <v>7.4</v>
      </c>
      <c r="X43" s="115">
        <v>9.6300000000000008</v>
      </c>
      <c r="Y43" s="115">
        <v>16.71</v>
      </c>
      <c r="Z43" s="115">
        <v>13.53</v>
      </c>
      <c r="AA43" s="115">
        <v>3.9</v>
      </c>
      <c r="AB43" s="115">
        <v>5.52</v>
      </c>
      <c r="AC43" s="115">
        <v>7.98</v>
      </c>
      <c r="AD43" s="115">
        <v>19.239999999999998</v>
      </c>
      <c r="AE43" s="130">
        <v>12.93</v>
      </c>
    </row>
    <row r="44" spans="1:31" x14ac:dyDescent="0.25">
      <c r="A44" s="73" t="s">
        <v>563</v>
      </c>
      <c r="B44" s="115">
        <v>2.82</v>
      </c>
      <c r="C44" s="115">
        <v>6.75</v>
      </c>
      <c r="D44" s="115">
        <v>10.26</v>
      </c>
      <c r="E44" s="115">
        <v>17.05</v>
      </c>
      <c r="F44" s="115">
        <v>13.64</v>
      </c>
      <c r="G44" s="115">
        <v>2.93</v>
      </c>
      <c r="H44" s="115">
        <v>5.39</v>
      </c>
      <c r="I44" s="115">
        <v>11.98</v>
      </c>
      <c r="J44" s="115">
        <v>14.94</v>
      </c>
      <c r="K44" s="115">
        <v>10.71</v>
      </c>
      <c r="L44" s="115">
        <v>2.19</v>
      </c>
      <c r="M44" s="115">
        <v>7.6</v>
      </c>
      <c r="N44" s="115">
        <v>7.63</v>
      </c>
      <c r="O44" s="115">
        <v>19.739999999999998</v>
      </c>
      <c r="P44" s="115">
        <v>12.56</v>
      </c>
      <c r="Q44" s="115">
        <v>2.92</v>
      </c>
      <c r="R44" s="115">
        <v>5.97</v>
      </c>
      <c r="S44" s="115">
        <v>11.52</v>
      </c>
      <c r="T44" s="115">
        <v>12.69</v>
      </c>
      <c r="U44" s="115">
        <v>10.95</v>
      </c>
      <c r="V44" s="115">
        <v>3.16</v>
      </c>
      <c r="W44" s="115">
        <v>6.5</v>
      </c>
      <c r="X44" s="115">
        <v>9.7799999999999994</v>
      </c>
      <c r="Y44" s="115">
        <v>18.559999999999999</v>
      </c>
      <c r="Z44" s="115">
        <v>13.36</v>
      </c>
      <c r="AA44" s="115">
        <v>2.81</v>
      </c>
      <c r="AB44" s="115">
        <v>6.64</v>
      </c>
      <c r="AC44" s="115">
        <v>8.1300000000000008</v>
      </c>
      <c r="AD44" s="115">
        <v>13.35</v>
      </c>
      <c r="AE44" s="130">
        <v>11.54</v>
      </c>
    </row>
    <row r="45" spans="1:31" x14ac:dyDescent="0.25">
      <c r="A45" s="73" t="s">
        <v>564</v>
      </c>
      <c r="B45" s="115">
        <v>2.44</v>
      </c>
      <c r="C45" s="115">
        <v>7.21</v>
      </c>
      <c r="D45" s="115">
        <v>7.92</v>
      </c>
      <c r="E45" s="115">
        <v>18.23</v>
      </c>
      <c r="F45" s="115">
        <v>9.34</v>
      </c>
      <c r="G45" s="115">
        <v>3.53</v>
      </c>
      <c r="H45" s="115">
        <v>7.78</v>
      </c>
      <c r="I45" s="115">
        <v>7.94</v>
      </c>
      <c r="J45" s="115">
        <v>16.78</v>
      </c>
      <c r="K45" s="115">
        <v>11.59</v>
      </c>
      <c r="L45" s="115">
        <v>3.02</v>
      </c>
      <c r="M45" s="115">
        <v>7.91</v>
      </c>
      <c r="N45" s="115">
        <v>10.029999999999999</v>
      </c>
      <c r="O45" s="115">
        <v>17.64</v>
      </c>
      <c r="P45" s="115">
        <v>13.49</v>
      </c>
      <c r="Q45" s="115">
        <v>3.04</v>
      </c>
      <c r="R45" s="115">
        <v>7.63</v>
      </c>
      <c r="S45" s="115">
        <v>9.93</v>
      </c>
      <c r="T45" s="115">
        <v>11.15</v>
      </c>
      <c r="U45" s="115">
        <v>11.8</v>
      </c>
      <c r="V45" s="115">
        <v>2.56</v>
      </c>
      <c r="W45" s="115">
        <v>6.58</v>
      </c>
      <c r="X45" s="115">
        <v>8.52</v>
      </c>
      <c r="Y45" s="115">
        <v>15.12</v>
      </c>
      <c r="Z45" s="115">
        <v>13.06</v>
      </c>
      <c r="AA45" s="115">
        <v>3.26</v>
      </c>
      <c r="AB45" s="115">
        <v>5.55</v>
      </c>
      <c r="AC45" s="115">
        <v>9.85</v>
      </c>
      <c r="AD45" s="115">
        <v>12.54</v>
      </c>
      <c r="AE45" s="130">
        <v>10.68</v>
      </c>
    </row>
    <row r="46" spans="1:31" x14ac:dyDescent="0.25">
      <c r="A46" s="73" t="s">
        <v>565</v>
      </c>
      <c r="B46" s="115">
        <v>2.56</v>
      </c>
      <c r="C46" s="115">
        <v>5.26</v>
      </c>
      <c r="D46" s="115">
        <v>11.07</v>
      </c>
      <c r="E46" s="115">
        <v>15.57</v>
      </c>
      <c r="F46" s="115">
        <v>10.41</v>
      </c>
      <c r="G46" s="115">
        <v>3.54</v>
      </c>
      <c r="H46" s="115">
        <v>6.19</v>
      </c>
      <c r="I46" s="115">
        <v>7.69</v>
      </c>
      <c r="J46" s="115">
        <v>15.61</v>
      </c>
      <c r="K46" s="115">
        <v>15.79</v>
      </c>
      <c r="L46" s="115">
        <v>2.38</v>
      </c>
      <c r="M46" s="115">
        <v>5.07</v>
      </c>
      <c r="N46" s="115">
        <v>10.36</v>
      </c>
      <c r="O46" s="115">
        <v>15.74</v>
      </c>
      <c r="P46" s="115">
        <v>12.49</v>
      </c>
      <c r="Q46" s="115">
        <v>2.83</v>
      </c>
      <c r="R46" s="115">
        <v>7.89</v>
      </c>
      <c r="S46" s="115">
        <v>7.13</v>
      </c>
      <c r="T46" s="115">
        <v>19.32</v>
      </c>
      <c r="U46" s="115">
        <v>9.7100000000000009</v>
      </c>
      <c r="V46" s="115">
        <v>3.85</v>
      </c>
      <c r="W46" s="115">
        <v>7.15</v>
      </c>
      <c r="X46" s="115">
        <v>9.8699999999999992</v>
      </c>
      <c r="Y46" s="115">
        <v>19.63</v>
      </c>
      <c r="Z46" s="115">
        <v>9.8000000000000007</v>
      </c>
      <c r="AA46" s="115">
        <v>2.75</v>
      </c>
      <c r="AB46" s="115">
        <v>7.76</v>
      </c>
      <c r="AC46" s="115">
        <v>7.9</v>
      </c>
      <c r="AD46" s="115">
        <v>19.579999999999998</v>
      </c>
      <c r="AE46" s="130">
        <v>9.14</v>
      </c>
    </row>
    <row r="47" spans="1:31" x14ac:dyDescent="0.25">
      <c r="A47" s="73" t="s">
        <v>566</v>
      </c>
      <c r="B47" s="115">
        <v>2.94</v>
      </c>
      <c r="C47" s="115">
        <v>7.85</v>
      </c>
      <c r="D47" s="115">
        <v>10.79</v>
      </c>
      <c r="E47" s="115">
        <v>11.41</v>
      </c>
      <c r="F47" s="115">
        <v>13.63</v>
      </c>
      <c r="G47" s="115">
        <v>2.2400000000000002</v>
      </c>
      <c r="H47" s="115">
        <v>5.3</v>
      </c>
      <c r="I47" s="115">
        <v>10.26</v>
      </c>
      <c r="J47" s="115">
        <v>13.15</v>
      </c>
      <c r="K47" s="115">
        <v>12.48</v>
      </c>
      <c r="L47" s="115">
        <v>2.3199999999999998</v>
      </c>
      <c r="M47" s="115">
        <v>5.76</v>
      </c>
      <c r="N47" s="115">
        <v>10.51</v>
      </c>
      <c r="O47" s="115">
        <v>14.37</v>
      </c>
      <c r="P47" s="115">
        <v>13.13</v>
      </c>
      <c r="Q47" s="115">
        <v>2.81</v>
      </c>
      <c r="R47" s="115">
        <v>7.03</v>
      </c>
      <c r="S47" s="115">
        <v>9.61</v>
      </c>
      <c r="T47" s="115">
        <v>13.16</v>
      </c>
      <c r="U47" s="115">
        <v>12.87</v>
      </c>
      <c r="V47" s="115">
        <v>2</v>
      </c>
      <c r="W47" s="115">
        <v>7.58</v>
      </c>
      <c r="X47" s="115">
        <v>11.74</v>
      </c>
      <c r="Y47" s="115">
        <v>12.49</v>
      </c>
      <c r="Z47" s="115">
        <v>11.4</v>
      </c>
      <c r="AA47" s="115">
        <v>3.8</v>
      </c>
      <c r="AB47" s="115">
        <v>7.89</v>
      </c>
      <c r="AC47" s="115">
        <v>11.02</v>
      </c>
      <c r="AD47" s="115">
        <v>14.84</v>
      </c>
      <c r="AE47" s="130">
        <v>11.53</v>
      </c>
    </row>
    <row r="48" spans="1:31" x14ac:dyDescent="0.25">
      <c r="A48" s="73" t="s">
        <v>567</v>
      </c>
      <c r="B48" s="115">
        <v>2.78</v>
      </c>
      <c r="C48" s="115">
        <v>6.66</v>
      </c>
      <c r="D48" s="115">
        <v>11.76</v>
      </c>
      <c r="E48" s="115">
        <v>16.57</v>
      </c>
      <c r="F48" s="115">
        <v>12.25</v>
      </c>
      <c r="G48" s="115">
        <v>3.17</v>
      </c>
      <c r="H48" s="115">
        <v>7.38</v>
      </c>
      <c r="I48" s="115">
        <v>9.9600000000000009</v>
      </c>
      <c r="J48" s="115">
        <v>17.98</v>
      </c>
      <c r="K48" s="115">
        <v>11.43</v>
      </c>
      <c r="L48" s="115">
        <v>2.63</v>
      </c>
      <c r="M48" s="115">
        <v>5.84</v>
      </c>
      <c r="N48" s="115">
        <v>7.87</v>
      </c>
      <c r="O48" s="115">
        <v>19.309999999999999</v>
      </c>
      <c r="P48" s="115">
        <v>12.32</v>
      </c>
      <c r="Q48" s="115">
        <v>3.1</v>
      </c>
      <c r="R48" s="115">
        <v>5.21</v>
      </c>
      <c r="S48" s="115">
        <v>10.65</v>
      </c>
      <c r="T48" s="115">
        <v>17.36</v>
      </c>
      <c r="U48" s="115">
        <v>13.83</v>
      </c>
      <c r="V48" s="115">
        <v>2.6</v>
      </c>
      <c r="W48" s="115">
        <v>6.96</v>
      </c>
      <c r="X48" s="115">
        <v>9.07</v>
      </c>
      <c r="Y48" s="115">
        <v>17.8</v>
      </c>
      <c r="Z48" s="115">
        <v>13.69</v>
      </c>
      <c r="AA48" s="115">
        <v>2.57</v>
      </c>
      <c r="AB48" s="115">
        <v>7.03</v>
      </c>
      <c r="AC48" s="115">
        <v>10.87</v>
      </c>
      <c r="AD48" s="115">
        <v>13.2</v>
      </c>
      <c r="AE48" s="130">
        <v>14.87</v>
      </c>
    </row>
    <row r="49" spans="1:31" x14ac:dyDescent="0.25">
      <c r="A49" s="73" t="s">
        <v>568</v>
      </c>
      <c r="B49" s="115">
        <v>3.88</v>
      </c>
      <c r="C49" s="115">
        <v>7.89</v>
      </c>
      <c r="D49" s="115">
        <v>7.12</v>
      </c>
      <c r="E49" s="115">
        <v>19.82</v>
      </c>
      <c r="F49" s="115">
        <v>9.08</v>
      </c>
      <c r="G49" s="115">
        <v>2.63</v>
      </c>
      <c r="H49" s="115">
        <v>7.16</v>
      </c>
      <c r="I49" s="115">
        <v>11.62</v>
      </c>
      <c r="J49" s="115">
        <v>14.26</v>
      </c>
      <c r="K49" s="115">
        <v>10.15</v>
      </c>
      <c r="L49" s="115">
        <v>3.73</v>
      </c>
      <c r="M49" s="115">
        <v>6.5</v>
      </c>
      <c r="N49" s="115">
        <v>11.49</v>
      </c>
      <c r="O49" s="115">
        <v>19.79</v>
      </c>
      <c r="P49" s="115">
        <v>9.26</v>
      </c>
      <c r="Q49" s="115">
        <v>2.16</v>
      </c>
      <c r="R49" s="115">
        <v>5.08</v>
      </c>
      <c r="S49" s="115">
        <v>9.8000000000000007</v>
      </c>
      <c r="T49" s="115">
        <v>18.66</v>
      </c>
      <c r="U49" s="115">
        <v>9.36</v>
      </c>
      <c r="V49" s="115">
        <v>3.21</v>
      </c>
      <c r="W49" s="115">
        <v>5.7</v>
      </c>
      <c r="X49" s="115">
        <v>7.07</v>
      </c>
      <c r="Y49" s="115">
        <v>19.73</v>
      </c>
      <c r="Z49" s="115">
        <v>13.27</v>
      </c>
      <c r="AA49" s="115">
        <v>2.2400000000000002</v>
      </c>
      <c r="AB49" s="115">
        <v>5.03</v>
      </c>
      <c r="AC49" s="115">
        <v>10.54</v>
      </c>
      <c r="AD49" s="115">
        <v>18.13</v>
      </c>
      <c r="AE49" s="130">
        <v>14.47</v>
      </c>
    </row>
    <row r="50" spans="1:31" x14ac:dyDescent="0.25">
      <c r="A50" s="73" t="s">
        <v>569</v>
      </c>
      <c r="B50" s="115">
        <v>2.74</v>
      </c>
      <c r="C50" s="115">
        <v>5.78</v>
      </c>
      <c r="D50" s="115">
        <v>11.14</v>
      </c>
      <c r="E50" s="115">
        <v>17.86</v>
      </c>
      <c r="F50" s="115">
        <v>15.53</v>
      </c>
      <c r="G50" s="115">
        <v>3.15</v>
      </c>
      <c r="H50" s="115">
        <v>7.91</v>
      </c>
      <c r="I50" s="115">
        <v>9.2899999999999991</v>
      </c>
      <c r="J50" s="115">
        <v>11.57</v>
      </c>
      <c r="K50" s="115">
        <v>9.76</v>
      </c>
      <c r="L50" s="115">
        <v>3.02</v>
      </c>
      <c r="M50" s="115">
        <v>5.52</v>
      </c>
      <c r="N50" s="115">
        <v>10.07</v>
      </c>
      <c r="O50" s="115">
        <v>16.09</v>
      </c>
      <c r="P50" s="115">
        <v>12.65</v>
      </c>
      <c r="Q50" s="115">
        <v>2.21</v>
      </c>
      <c r="R50" s="115">
        <v>6.26</v>
      </c>
      <c r="S50" s="115">
        <v>9.91</v>
      </c>
      <c r="T50" s="115">
        <v>15.07</v>
      </c>
      <c r="U50" s="115">
        <v>10.62</v>
      </c>
      <c r="V50" s="115">
        <v>2.66</v>
      </c>
      <c r="W50" s="115">
        <v>7.5</v>
      </c>
      <c r="X50" s="115">
        <v>9.3000000000000007</v>
      </c>
      <c r="Y50" s="115">
        <v>15.65</v>
      </c>
      <c r="Z50" s="115">
        <v>14.44</v>
      </c>
      <c r="AA50" s="115">
        <v>3.21</v>
      </c>
      <c r="AB50" s="115">
        <v>5.91</v>
      </c>
      <c r="AC50" s="115">
        <v>11.3</v>
      </c>
      <c r="AD50" s="115">
        <v>17.93</v>
      </c>
      <c r="AE50" s="130">
        <v>15.35</v>
      </c>
    </row>
    <row r="51" spans="1:31" x14ac:dyDescent="0.25">
      <c r="A51" s="73" t="s">
        <v>570</v>
      </c>
      <c r="B51" s="115">
        <v>3.7</v>
      </c>
      <c r="C51" s="115">
        <v>7.08</v>
      </c>
      <c r="D51" s="115">
        <v>11.99</v>
      </c>
      <c r="E51" s="115">
        <v>14.01</v>
      </c>
      <c r="F51" s="115">
        <v>10.55</v>
      </c>
      <c r="G51" s="115">
        <v>3.46</v>
      </c>
      <c r="H51" s="115">
        <v>7.84</v>
      </c>
      <c r="I51" s="115">
        <v>7.63</v>
      </c>
      <c r="J51" s="115">
        <v>11.96</v>
      </c>
      <c r="K51" s="115">
        <v>14.79</v>
      </c>
      <c r="L51" s="115">
        <v>2.12</v>
      </c>
      <c r="M51" s="115">
        <v>5.42</v>
      </c>
      <c r="N51" s="115">
        <v>7.01</v>
      </c>
      <c r="O51" s="115">
        <v>16.41</v>
      </c>
      <c r="P51" s="115">
        <v>12.36</v>
      </c>
      <c r="Q51" s="115">
        <v>3.33</v>
      </c>
      <c r="R51" s="115">
        <v>7.05</v>
      </c>
      <c r="S51" s="115">
        <v>7.73</v>
      </c>
      <c r="T51" s="115">
        <v>19</v>
      </c>
      <c r="U51" s="115">
        <v>10.94</v>
      </c>
      <c r="V51" s="115">
        <v>3.3</v>
      </c>
      <c r="W51" s="115">
        <v>7.83</v>
      </c>
      <c r="X51" s="115">
        <v>11.54</v>
      </c>
      <c r="Y51" s="115">
        <v>11.69</v>
      </c>
      <c r="Z51" s="115">
        <v>15.86</v>
      </c>
      <c r="AA51" s="115">
        <v>2.08</v>
      </c>
      <c r="AB51" s="115">
        <v>6.32</v>
      </c>
      <c r="AC51" s="115">
        <v>11.8</v>
      </c>
      <c r="AD51" s="115">
        <v>13.05</v>
      </c>
      <c r="AE51" s="130">
        <v>12.33</v>
      </c>
    </row>
    <row r="52" spans="1:31" x14ac:dyDescent="0.25">
      <c r="A52" s="73" t="s">
        <v>571</v>
      </c>
      <c r="B52" s="115">
        <v>3.81</v>
      </c>
      <c r="C52" s="115">
        <v>6.65</v>
      </c>
      <c r="D52" s="115">
        <v>7.76</v>
      </c>
      <c r="E52" s="115">
        <v>18.059999999999999</v>
      </c>
      <c r="F52" s="115">
        <v>11.93</v>
      </c>
      <c r="G52" s="115">
        <v>2.94</v>
      </c>
      <c r="H52" s="115">
        <v>6.5</v>
      </c>
      <c r="I52" s="115">
        <v>9.06</v>
      </c>
      <c r="J52" s="115">
        <v>12.06</v>
      </c>
      <c r="K52" s="115">
        <v>12.82</v>
      </c>
      <c r="L52" s="115">
        <v>3.21</v>
      </c>
      <c r="M52" s="115">
        <v>7.99</v>
      </c>
      <c r="N52" s="115">
        <v>10.52</v>
      </c>
      <c r="O52" s="115">
        <v>12.66</v>
      </c>
      <c r="P52" s="115">
        <v>10.56</v>
      </c>
      <c r="Q52" s="115">
        <v>2.2200000000000002</v>
      </c>
      <c r="R52" s="115">
        <v>6.96</v>
      </c>
      <c r="S52" s="115">
        <v>10.49</v>
      </c>
      <c r="T52" s="115">
        <v>12.81</v>
      </c>
      <c r="U52" s="115">
        <v>12.96</v>
      </c>
      <c r="V52" s="115">
        <v>3</v>
      </c>
      <c r="W52" s="115">
        <v>7.28</v>
      </c>
      <c r="X52" s="115">
        <v>8.24</v>
      </c>
      <c r="Y52" s="115">
        <v>19.59</v>
      </c>
      <c r="Z52" s="115">
        <v>10.42</v>
      </c>
      <c r="AA52" s="115">
        <v>2.1800000000000002</v>
      </c>
      <c r="AB52" s="115">
        <v>7.67</v>
      </c>
      <c r="AC52" s="115">
        <v>11.2</v>
      </c>
      <c r="AD52" s="115">
        <v>16.22</v>
      </c>
      <c r="AE52" s="130">
        <v>13.39</v>
      </c>
    </row>
    <row r="53" spans="1:31" x14ac:dyDescent="0.25">
      <c r="A53" s="73" t="s">
        <v>572</v>
      </c>
      <c r="B53" s="115">
        <v>3.41</v>
      </c>
      <c r="C53" s="115">
        <v>5.04</v>
      </c>
      <c r="D53" s="115">
        <v>9.39</v>
      </c>
      <c r="E53" s="115">
        <v>15.05</v>
      </c>
      <c r="F53" s="115">
        <v>12.01</v>
      </c>
      <c r="G53" s="115">
        <v>3.91</v>
      </c>
      <c r="H53" s="115">
        <v>7.56</v>
      </c>
      <c r="I53" s="115">
        <v>9.86</v>
      </c>
      <c r="J53" s="115">
        <v>19.8</v>
      </c>
      <c r="K53" s="115">
        <v>13.66</v>
      </c>
      <c r="L53" s="115">
        <v>2.35</v>
      </c>
      <c r="M53" s="115">
        <v>7.84</v>
      </c>
      <c r="N53" s="115">
        <v>8.11</v>
      </c>
      <c r="O53" s="115">
        <v>11.6</v>
      </c>
      <c r="P53" s="115">
        <v>13.97</v>
      </c>
      <c r="Q53" s="115">
        <v>2.44</v>
      </c>
      <c r="R53" s="115">
        <v>5.03</v>
      </c>
      <c r="S53" s="115">
        <v>11.74</v>
      </c>
      <c r="T53" s="115">
        <v>13.16</v>
      </c>
      <c r="U53" s="115">
        <v>15.09</v>
      </c>
      <c r="V53" s="115">
        <v>3.2</v>
      </c>
      <c r="W53" s="115">
        <v>7.7</v>
      </c>
      <c r="X53" s="115">
        <v>9.89</v>
      </c>
      <c r="Y53" s="115">
        <v>17.309999999999999</v>
      </c>
      <c r="Z53" s="115">
        <v>12.02</v>
      </c>
      <c r="AA53" s="115">
        <v>3.25</v>
      </c>
      <c r="AB53" s="115">
        <v>7.73</v>
      </c>
      <c r="AC53" s="115">
        <v>7.27</v>
      </c>
      <c r="AD53" s="115">
        <v>16.649999999999999</v>
      </c>
      <c r="AE53" s="130">
        <v>9.52</v>
      </c>
    </row>
    <row r="54" spans="1:31" x14ac:dyDescent="0.25">
      <c r="A54" s="73" t="s">
        <v>573</v>
      </c>
      <c r="B54" s="115">
        <v>3.03</v>
      </c>
      <c r="C54" s="115">
        <v>6.81</v>
      </c>
      <c r="D54" s="115">
        <v>9.75</v>
      </c>
      <c r="E54" s="115">
        <v>12.52</v>
      </c>
      <c r="F54" s="115">
        <v>10.43</v>
      </c>
      <c r="G54" s="115">
        <v>2.33</v>
      </c>
      <c r="H54" s="115">
        <v>7.18</v>
      </c>
      <c r="I54" s="115">
        <v>8.75</v>
      </c>
      <c r="J54" s="115">
        <v>18.97</v>
      </c>
      <c r="K54" s="115">
        <v>15.07</v>
      </c>
      <c r="L54" s="115">
        <v>3.17</v>
      </c>
      <c r="M54" s="115">
        <v>6.7</v>
      </c>
      <c r="N54" s="115">
        <v>8.57</v>
      </c>
      <c r="O54" s="115">
        <v>18.91</v>
      </c>
      <c r="P54" s="115">
        <v>9.7100000000000009</v>
      </c>
      <c r="Q54" s="115">
        <v>2.81</v>
      </c>
      <c r="R54" s="115">
        <v>5.16</v>
      </c>
      <c r="S54" s="115">
        <v>10.46</v>
      </c>
      <c r="T54" s="115">
        <v>19.190000000000001</v>
      </c>
      <c r="U54" s="115">
        <v>14.13</v>
      </c>
      <c r="V54" s="115">
        <v>3.09</v>
      </c>
      <c r="W54" s="115">
        <v>5.48</v>
      </c>
      <c r="X54" s="115">
        <v>10.07</v>
      </c>
      <c r="Y54" s="115">
        <v>17.16</v>
      </c>
      <c r="Z54" s="115">
        <v>10.58</v>
      </c>
      <c r="AA54" s="115">
        <v>3.16</v>
      </c>
      <c r="AB54" s="115">
        <v>5.51</v>
      </c>
      <c r="AC54" s="115">
        <v>11.23</v>
      </c>
      <c r="AD54" s="115">
        <v>11.57</v>
      </c>
      <c r="AE54" s="130">
        <v>10.58</v>
      </c>
    </row>
    <row r="55" spans="1:31" x14ac:dyDescent="0.25">
      <c r="A55" s="73" t="s">
        <v>574</v>
      </c>
      <c r="B55" s="115">
        <v>3.07</v>
      </c>
      <c r="C55" s="115">
        <v>5.07</v>
      </c>
      <c r="D55" s="115">
        <v>9.74</v>
      </c>
      <c r="E55" s="115">
        <v>12.81</v>
      </c>
      <c r="F55" s="115">
        <v>14.34</v>
      </c>
      <c r="G55" s="115">
        <v>2.7</v>
      </c>
      <c r="H55" s="115">
        <v>5.89</v>
      </c>
      <c r="I55" s="115">
        <v>8.77</v>
      </c>
      <c r="J55" s="115">
        <v>14.11</v>
      </c>
      <c r="K55" s="115">
        <v>15.98</v>
      </c>
      <c r="L55" s="115">
        <v>3.37</v>
      </c>
      <c r="M55" s="115">
        <v>5.48</v>
      </c>
      <c r="N55" s="115">
        <v>11.38</v>
      </c>
      <c r="O55" s="115">
        <v>12.99</v>
      </c>
      <c r="P55" s="115">
        <v>12.36</v>
      </c>
      <c r="Q55" s="115">
        <v>2.64</v>
      </c>
      <c r="R55" s="115">
        <v>6.85</v>
      </c>
      <c r="S55" s="115">
        <v>8.18</v>
      </c>
      <c r="T55" s="115">
        <v>17.5</v>
      </c>
      <c r="U55" s="115">
        <v>15.96</v>
      </c>
      <c r="V55" s="115">
        <v>2.73</v>
      </c>
      <c r="W55" s="115">
        <v>6.99</v>
      </c>
      <c r="X55" s="115">
        <v>9.74</v>
      </c>
      <c r="Y55" s="115">
        <v>17.190000000000001</v>
      </c>
      <c r="Z55" s="115">
        <v>11.03</v>
      </c>
      <c r="AA55" s="115">
        <v>2.79</v>
      </c>
      <c r="AB55" s="115">
        <v>7.18</v>
      </c>
      <c r="AC55" s="115">
        <v>7.71</v>
      </c>
      <c r="AD55" s="115">
        <v>14.16</v>
      </c>
      <c r="AE55" s="130">
        <v>13.14</v>
      </c>
    </row>
    <row r="56" spans="1:31" x14ac:dyDescent="0.25">
      <c r="A56" s="73" t="s">
        <v>575</v>
      </c>
      <c r="B56" s="115">
        <v>3.43</v>
      </c>
      <c r="C56" s="115">
        <v>6.71</v>
      </c>
      <c r="D56" s="115">
        <v>10.26</v>
      </c>
      <c r="E56" s="115">
        <v>11.63</v>
      </c>
      <c r="F56" s="115">
        <v>14.5</v>
      </c>
      <c r="G56" s="115">
        <v>3.92</v>
      </c>
      <c r="H56" s="115">
        <v>6.93</v>
      </c>
      <c r="I56" s="115">
        <v>11.29</v>
      </c>
      <c r="J56" s="115">
        <v>18.260000000000002</v>
      </c>
      <c r="K56" s="115">
        <v>9.43</v>
      </c>
      <c r="L56" s="115">
        <v>3.31</v>
      </c>
      <c r="M56" s="115">
        <v>6.37</v>
      </c>
      <c r="N56" s="115">
        <v>11.35</v>
      </c>
      <c r="O56" s="115">
        <v>16.23</v>
      </c>
      <c r="P56" s="115">
        <v>13.9</v>
      </c>
      <c r="Q56" s="115">
        <v>2.77</v>
      </c>
      <c r="R56" s="115">
        <v>5.55</v>
      </c>
      <c r="S56" s="115">
        <v>7.52</v>
      </c>
      <c r="T56" s="115">
        <v>18.05</v>
      </c>
      <c r="U56" s="115">
        <v>12.87</v>
      </c>
      <c r="V56" s="115">
        <v>3.96</v>
      </c>
      <c r="W56" s="115">
        <v>7.23</v>
      </c>
      <c r="X56" s="115">
        <v>10.06</v>
      </c>
      <c r="Y56" s="115">
        <v>19.36</v>
      </c>
      <c r="Z56" s="115">
        <v>11.63</v>
      </c>
      <c r="AA56" s="115">
        <v>2.81</v>
      </c>
      <c r="AB56" s="115">
        <v>7.82</v>
      </c>
      <c r="AC56" s="115">
        <v>8.11</v>
      </c>
      <c r="AD56" s="115">
        <v>18.61</v>
      </c>
      <c r="AE56" s="130">
        <v>10.32</v>
      </c>
    </row>
    <row r="57" spans="1:31" x14ac:dyDescent="0.25">
      <c r="A57" s="73" t="s">
        <v>576</v>
      </c>
      <c r="B57" s="115">
        <v>2.56</v>
      </c>
      <c r="C57" s="115">
        <v>5.42</v>
      </c>
      <c r="D57" s="115">
        <v>8.6300000000000008</v>
      </c>
      <c r="E57" s="115">
        <v>11.97</v>
      </c>
      <c r="F57" s="115">
        <v>12.58</v>
      </c>
      <c r="G57" s="115">
        <v>3.49</v>
      </c>
      <c r="H57" s="115">
        <v>6.06</v>
      </c>
      <c r="I57" s="115">
        <v>10.48</v>
      </c>
      <c r="J57" s="115">
        <v>17.329999999999998</v>
      </c>
      <c r="K57" s="115">
        <v>12.22</v>
      </c>
      <c r="L57" s="115">
        <v>2.4300000000000002</v>
      </c>
      <c r="M57" s="115">
        <v>5.62</v>
      </c>
      <c r="N57" s="115">
        <v>7.47</v>
      </c>
      <c r="O57" s="115">
        <v>16.649999999999999</v>
      </c>
      <c r="P57" s="115">
        <v>12.33</v>
      </c>
      <c r="Q57" s="115">
        <v>3.95</v>
      </c>
      <c r="R57" s="115">
        <v>7.25</v>
      </c>
      <c r="S57" s="115">
        <v>8.25</v>
      </c>
      <c r="T57" s="115">
        <v>12.98</v>
      </c>
      <c r="U57" s="115">
        <v>14.49</v>
      </c>
      <c r="V57" s="115">
        <v>2.54</v>
      </c>
      <c r="W57" s="115">
        <v>5.21</v>
      </c>
      <c r="X57" s="115">
        <v>9.44</v>
      </c>
      <c r="Y57" s="115">
        <v>18.98</v>
      </c>
      <c r="Z57" s="115">
        <v>11.45</v>
      </c>
      <c r="AA57" s="115">
        <v>2.2799999999999998</v>
      </c>
      <c r="AB57" s="115">
        <v>6.16</v>
      </c>
      <c r="AC57" s="115">
        <v>10.48</v>
      </c>
      <c r="AD57" s="115">
        <v>15.07</v>
      </c>
      <c r="AE57" s="130">
        <v>11.22</v>
      </c>
    </row>
    <row r="58" spans="1:31" x14ac:dyDescent="0.25">
      <c r="A58" s="73" t="s">
        <v>577</v>
      </c>
      <c r="B58" s="115">
        <v>3.87</v>
      </c>
      <c r="C58" s="115">
        <v>5.3</v>
      </c>
      <c r="D58" s="115">
        <v>10.25</v>
      </c>
      <c r="E58" s="115">
        <v>13.98</v>
      </c>
      <c r="F58" s="115">
        <v>13.14</v>
      </c>
      <c r="G58" s="115">
        <v>2.14</v>
      </c>
      <c r="H58" s="115">
        <v>5.17</v>
      </c>
      <c r="I58" s="115">
        <v>8.91</v>
      </c>
      <c r="J58" s="115">
        <v>16.239999999999998</v>
      </c>
      <c r="K58" s="115">
        <v>15.3</v>
      </c>
      <c r="L58" s="115">
        <v>3.46</v>
      </c>
      <c r="M58" s="115">
        <v>7.34</v>
      </c>
      <c r="N58" s="115">
        <v>11.35</v>
      </c>
      <c r="O58" s="115">
        <v>19.690000000000001</v>
      </c>
      <c r="P58" s="115">
        <v>10.66</v>
      </c>
      <c r="Q58" s="115">
        <v>3.4</v>
      </c>
      <c r="R58" s="115">
        <v>6.15</v>
      </c>
      <c r="S58" s="115">
        <v>7.01</v>
      </c>
      <c r="T58" s="115">
        <v>16.399999999999999</v>
      </c>
      <c r="U58" s="115">
        <v>12.42</v>
      </c>
      <c r="V58" s="115">
        <v>3.8</v>
      </c>
      <c r="W58" s="115">
        <v>5.52</v>
      </c>
      <c r="X58" s="115">
        <v>11.24</v>
      </c>
      <c r="Y58" s="115">
        <v>17.71</v>
      </c>
      <c r="Z58" s="115">
        <v>15.7</v>
      </c>
      <c r="AA58" s="115">
        <v>2.3199999999999998</v>
      </c>
      <c r="AB58" s="115">
        <v>6.55</v>
      </c>
      <c r="AC58" s="115">
        <v>8.6199999999999992</v>
      </c>
      <c r="AD58" s="115">
        <v>17.329999999999998</v>
      </c>
      <c r="AE58" s="130">
        <v>12.19</v>
      </c>
    </row>
    <row r="59" spans="1:31" x14ac:dyDescent="0.25">
      <c r="A59" s="73" t="s">
        <v>578</v>
      </c>
      <c r="B59" s="115">
        <v>3.79</v>
      </c>
      <c r="C59" s="115">
        <v>5.68</v>
      </c>
      <c r="D59" s="115">
        <v>11.15</v>
      </c>
      <c r="E59" s="115">
        <v>19.8</v>
      </c>
      <c r="F59" s="115">
        <v>10.57</v>
      </c>
      <c r="G59" s="115">
        <v>2.15</v>
      </c>
      <c r="H59" s="115">
        <v>7.62</v>
      </c>
      <c r="I59" s="115">
        <v>9.2100000000000009</v>
      </c>
      <c r="J59" s="115">
        <v>13.43</v>
      </c>
      <c r="K59" s="115">
        <v>12.75</v>
      </c>
      <c r="L59" s="115">
        <v>2.88</v>
      </c>
      <c r="M59" s="115">
        <v>6.26</v>
      </c>
      <c r="N59" s="115">
        <v>7.11</v>
      </c>
      <c r="O59" s="115">
        <v>16.36</v>
      </c>
      <c r="P59" s="115">
        <v>9.0299999999999994</v>
      </c>
      <c r="Q59" s="115">
        <v>2.5499999999999998</v>
      </c>
      <c r="R59" s="115">
        <v>7</v>
      </c>
      <c r="S59" s="115">
        <v>7.07</v>
      </c>
      <c r="T59" s="115">
        <v>16.649999999999999</v>
      </c>
      <c r="U59" s="115">
        <v>12.78</v>
      </c>
      <c r="V59" s="115">
        <v>2.5099999999999998</v>
      </c>
      <c r="W59" s="115">
        <v>5.09</v>
      </c>
      <c r="X59" s="115">
        <v>10.8</v>
      </c>
      <c r="Y59" s="115">
        <v>18.940000000000001</v>
      </c>
      <c r="Z59" s="115">
        <v>9.02</v>
      </c>
      <c r="AA59" s="115">
        <v>3.73</v>
      </c>
      <c r="AB59" s="115">
        <v>5.67</v>
      </c>
      <c r="AC59" s="115">
        <v>11.92</v>
      </c>
      <c r="AD59" s="115">
        <v>14.67</v>
      </c>
      <c r="AE59" s="130">
        <v>13.41</v>
      </c>
    </row>
    <row r="60" spans="1:31" x14ac:dyDescent="0.25">
      <c r="A60" s="73" t="s">
        <v>579</v>
      </c>
      <c r="B60" s="115">
        <v>2.08</v>
      </c>
      <c r="C60" s="115">
        <v>5.26</v>
      </c>
      <c r="D60" s="115">
        <v>7.15</v>
      </c>
      <c r="E60" s="115">
        <v>17.190000000000001</v>
      </c>
      <c r="F60" s="115">
        <v>9.44</v>
      </c>
      <c r="G60" s="115">
        <v>3.27</v>
      </c>
      <c r="H60" s="115">
        <v>5.4</v>
      </c>
      <c r="I60" s="115">
        <v>8.93</v>
      </c>
      <c r="J60" s="115">
        <v>14.92</v>
      </c>
      <c r="K60" s="115">
        <v>15.34</v>
      </c>
      <c r="L60" s="115">
        <v>3.7</v>
      </c>
      <c r="M60" s="115">
        <v>7.75</v>
      </c>
      <c r="N60" s="115">
        <v>11.58</v>
      </c>
      <c r="O60" s="115">
        <v>18.39</v>
      </c>
      <c r="P60" s="115">
        <v>13.91</v>
      </c>
      <c r="Q60" s="115">
        <v>2.58</v>
      </c>
      <c r="R60" s="115">
        <v>6.29</v>
      </c>
      <c r="S60" s="115">
        <v>8.0399999999999991</v>
      </c>
      <c r="T60" s="115">
        <v>14.55</v>
      </c>
      <c r="U60" s="115">
        <v>9.99</v>
      </c>
      <c r="V60" s="115">
        <v>2.2400000000000002</v>
      </c>
      <c r="W60" s="115">
        <v>6.95</v>
      </c>
      <c r="X60" s="115">
        <v>10.17</v>
      </c>
      <c r="Y60" s="115">
        <v>13.23</v>
      </c>
      <c r="Z60" s="115">
        <v>11.45</v>
      </c>
      <c r="AA60" s="115">
        <v>3.95</v>
      </c>
      <c r="AB60" s="115">
        <v>5.33</v>
      </c>
      <c r="AC60" s="115">
        <v>11.28</v>
      </c>
      <c r="AD60" s="115">
        <v>11.12</v>
      </c>
      <c r="AE60" s="130">
        <v>9.7200000000000006</v>
      </c>
    </row>
    <row r="61" spans="1:31" x14ac:dyDescent="0.25">
      <c r="A61" s="73" t="s">
        <v>580</v>
      </c>
      <c r="B61" s="115">
        <v>2.23</v>
      </c>
      <c r="C61" s="115">
        <v>5.76</v>
      </c>
      <c r="D61" s="115">
        <v>8.18</v>
      </c>
      <c r="E61" s="115">
        <v>14.97</v>
      </c>
      <c r="F61" s="115">
        <v>9.61</v>
      </c>
      <c r="G61" s="115">
        <v>3.47</v>
      </c>
      <c r="H61" s="115">
        <v>5.95</v>
      </c>
      <c r="I61" s="115">
        <v>9.16</v>
      </c>
      <c r="J61" s="115">
        <v>17.600000000000001</v>
      </c>
      <c r="K61" s="115">
        <v>9.92</v>
      </c>
      <c r="L61" s="115">
        <v>2.23</v>
      </c>
      <c r="M61" s="115">
        <v>6.05</v>
      </c>
      <c r="N61" s="115">
        <v>11.76</v>
      </c>
      <c r="O61" s="115">
        <v>18.73</v>
      </c>
      <c r="P61" s="115">
        <v>12.09</v>
      </c>
      <c r="Q61" s="115">
        <v>3.91</v>
      </c>
      <c r="R61" s="115">
        <v>6.17</v>
      </c>
      <c r="S61" s="115">
        <v>9.48</v>
      </c>
      <c r="T61" s="115">
        <v>18.38</v>
      </c>
      <c r="U61" s="115">
        <v>10.98</v>
      </c>
      <c r="V61" s="115">
        <v>3.56</v>
      </c>
      <c r="W61" s="115">
        <v>7.13</v>
      </c>
      <c r="X61" s="115">
        <v>7.49</v>
      </c>
      <c r="Y61" s="115">
        <v>14.62</v>
      </c>
      <c r="Z61" s="115">
        <v>14.05</v>
      </c>
      <c r="AA61" s="115">
        <v>3.18</v>
      </c>
      <c r="AB61" s="115">
        <v>7.56</v>
      </c>
      <c r="AC61" s="115">
        <v>8.69</v>
      </c>
      <c r="AD61" s="115">
        <v>16.13</v>
      </c>
      <c r="AE61" s="130">
        <v>9.27</v>
      </c>
    </row>
    <row r="62" spans="1:31" x14ac:dyDescent="0.25">
      <c r="A62" s="73" t="s">
        <v>581</v>
      </c>
      <c r="B62" s="115">
        <v>2.84</v>
      </c>
      <c r="C62" s="115">
        <v>7.52</v>
      </c>
      <c r="D62" s="115">
        <v>11.96</v>
      </c>
      <c r="E62" s="115">
        <v>18.940000000000001</v>
      </c>
      <c r="F62" s="115">
        <v>12.37</v>
      </c>
      <c r="G62" s="115">
        <v>2.35</v>
      </c>
      <c r="H62" s="115">
        <v>6.69</v>
      </c>
      <c r="I62" s="115">
        <v>10.68</v>
      </c>
      <c r="J62" s="115">
        <v>17.89</v>
      </c>
      <c r="K62" s="115">
        <v>14.28</v>
      </c>
      <c r="L62" s="115">
        <v>2.4900000000000002</v>
      </c>
      <c r="M62" s="115">
        <v>6.02</v>
      </c>
      <c r="N62" s="115">
        <v>8.9700000000000006</v>
      </c>
      <c r="O62" s="115">
        <v>19.38</v>
      </c>
      <c r="P62" s="115">
        <v>11.72</v>
      </c>
      <c r="Q62" s="115">
        <v>3.46</v>
      </c>
      <c r="R62" s="115">
        <v>5.42</v>
      </c>
      <c r="S62" s="115">
        <v>8.6300000000000008</v>
      </c>
      <c r="T62" s="115">
        <v>14.16</v>
      </c>
      <c r="U62" s="115">
        <v>9.0500000000000007</v>
      </c>
      <c r="V62" s="115">
        <v>2.19</v>
      </c>
      <c r="W62" s="115">
        <v>5.7</v>
      </c>
      <c r="X62" s="115">
        <v>10.89</v>
      </c>
      <c r="Y62" s="115">
        <v>11.28</v>
      </c>
      <c r="Z62" s="115">
        <v>9.41</v>
      </c>
      <c r="AA62" s="115">
        <v>3.31</v>
      </c>
      <c r="AB62" s="115">
        <v>7.35</v>
      </c>
      <c r="AC62" s="115">
        <v>11.3</v>
      </c>
      <c r="AD62" s="115">
        <v>15.57</v>
      </c>
      <c r="AE62" s="130">
        <v>9.25</v>
      </c>
    </row>
    <row r="63" spans="1:31" x14ac:dyDescent="0.25">
      <c r="A63" s="73" t="s">
        <v>582</v>
      </c>
      <c r="B63" s="115">
        <v>3.53</v>
      </c>
      <c r="C63" s="115">
        <v>6.48</v>
      </c>
      <c r="D63" s="115">
        <v>10.38</v>
      </c>
      <c r="E63" s="115">
        <v>15.48</v>
      </c>
      <c r="F63" s="115">
        <v>14.9</v>
      </c>
      <c r="G63" s="115">
        <v>3.42</v>
      </c>
      <c r="H63" s="115">
        <v>5.08</v>
      </c>
      <c r="I63" s="115">
        <v>7.83</v>
      </c>
      <c r="J63" s="115">
        <v>19.18</v>
      </c>
      <c r="K63" s="115">
        <v>9.7799999999999994</v>
      </c>
      <c r="L63" s="115">
        <v>3.94</v>
      </c>
      <c r="M63" s="115">
        <v>5.44</v>
      </c>
      <c r="N63" s="115">
        <v>11.4</v>
      </c>
      <c r="O63" s="115">
        <v>13.4</v>
      </c>
      <c r="P63" s="115">
        <v>13.01</v>
      </c>
      <c r="Q63" s="115">
        <v>2.59</v>
      </c>
      <c r="R63" s="115">
        <v>7.44</v>
      </c>
      <c r="S63" s="115">
        <v>7.46</v>
      </c>
      <c r="T63" s="115">
        <v>15.7</v>
      </c>
      <c r="U63" s="115">
        <v>13.85</v>
      </c>
      <c r="V63" s="115">
        <v>2.83</v>
      </c>
      <c r="W63" s="115">
        <v>7.48</v>
      </c>
      <c r="X63" s="115">
        <v>10.71</v>
      </c>
      <c r="Y63" s="115">
        <v>12.31</v>
      </c>
      <c r="Z63" s="115">
        <v>10.85</v>
      </c>
      <c r="AA63" s="115">
        <v>2.13</v>
      </c>
      <c r="AB63" s="115">
        <v>7.14</v>
      </c>
      <c r="AC63" s="115">
        <v>9.49</v>
      </c>
      <c r="AD63" s="115">
        <v>16.510000000000002</v>
      </c>
      <c r="AE63" s="130">
        <v>12.07</v>
      </c>
    </row>
    <row r="64" spans="1:31" x14ac:dyDescent="0.25">
      <c r="A64" s="73" t="s">
        <v>583</v>
      </c>
      <c r="B64" s="115">
        <v>2.75</v>
      </c>
      <c r="C64" s="115">
        <v>6.45</v>
      </c>
      <c r="D64" s="115">
        <v>9.07</v>
      </c>
      <c r="E64" s="115">
        <v>15.62</v>
      </c>
      <c r="F64" s="115">
        <v>9.9</v>
      </c>
      <c r="G64" s="115">
        <v>3.17</v>
      </c>
      <c r="H64" s="115">
        <v>7.74</v>
      </c>
      <c r="I64" s="115">
        <v>7.16</v>
      </c>
      <c r="J64" s="115">
        <v>17.43</v>
      </c>
      <c r="K64" s="115">
        <v>9.6300000000000008</v>
      </c>
      <c r="L64" s="115">
        <v>2.0699999999999998</v>
      </c>
      <c r="M64" s="115">
        <v>7.1</v>
      </c>
      <c r="N64" s="115">
        <v>9.41</v>
      </c>
      <c r="O64" s="115">
        <v>16.09</v>
      </c>
      <c r="P64" s="115">
        <v>11.78</v>
      </c>
      <c r="Q64" s="115">
        <v>3.36</v>
      </c>
      <c r="R64" s="115">
        <v>5.94</v>
      </c>
      <c r="S64" s="115">
        <v>7.25</v>
      </c>
      <c r="T64" s="115">
        <v>11.61</v>
      </c>
      <c r="U64" s="115">
        <v>13.7</v>
      </c>
      <c r="V64" s="115">
        <v>2.68</v>
      </c>
      <c r="W64" s="115">
        <v>5.36</v>
      </c>
      <c r="X64" s="115">
        <v>9.6999999999999993</v>
      </c>
      <c r="Y64" s="115">
        <v>11.24</v>
      </c>
      <c r="Z64" s="115">
        <v>10.17</v>
      </c>
      <c r="AA64" s="115">
        <v>2.44</v>
      </c>
      <c r="AB64" s="115">
        <v>6.9</v>
      </c>
      <c r="AC64" s="115">
        <v>7.14</v>
      </c>
      <c r="AD64" s="115">
        <v>13.54</v>
      </c>
      <c r="AE64" s="130">
        <v>15.93</v>
      </c>
    </row>
    <row r="65" spans="1:31" x14ac:dyDescent="0.25">
      <c r="A65" s="73" t="s">
        <v>584</v>
      </c>
      <c r="B65" s="115">
        <v>3.31</v>
      </c>
      <c r="C65" s="115">
        <v>5.88</v>
      </c>
      <c r="D65" s="115">
        <v>9.19</v>
      </c>
      <c r="E65" s="115">
        <v>11.56</v>
      </c>
      <c r="F65" s="115">
        <v>14.1</v>
      </c>
      <c r="G65" s="115">
        <v>2.48</v>
      </c>
      <c r="H65" s="115">
        <v>5.15</v>
      </c>
      <c r="I65" s="115">
        <v>9.5399999999999991</v>
      </c>
      <c r="J65" s="115">
        <v>19.170000000000002</v>
      </c>
      <c r="K65" s="115">
        <v>10.79</v>
      </c>
      <c r="L65" s="115">
        <v>2.4900000000000002</v>
      </c>
      <c r="M65" s="115">
        <v>6.83</v>
      </c>
      <c r="N65" s="115">
        <v>7.82</v>
      </c>
      <c r="O65" s="115">
        <v>16.95</v>
      </c>
      <c r="P65" s="115">
        <v>10.16</v>
      </c>
      <c r="Q65" s="115">
        <v>3.04</v>
      </c>
      <c r="R65" s="115">
        <v>7.1</v>
      </c>
      <c r="S65" s="115">
        <v>9.31</v>
      </c>
      <c r="T65" s="115">
        <v>17.510000000000002</v>
      </c>
      <c r="U65" s="115">
        <v>14.68</v>
      </c>
      <c r="V65" s="115">
        <v>2.34</v>
      </c>
      <c r="W65" s="115">
        <v>5.64</v>
      </c>
      <c r="X65" s="115">
        <v>9.1999999999999993</v>
      </c>
      <c r="Y65" s="115">
        <v>19.690000000000001</v>
      </c>
      <c r="Z65" s="115">
        <v>11.24</v>
      </c>
      <c r="AA65" s="115">
        <v>3.82</v>
      </c>
      <c r="AB65" s="115">
        <v>7.88</v>
      </c>
      <c r="AC65" s="115">
        <v>11.27</v>
      </c>
      <c r="AD65" s="115">
        <v>13.3</v>
      </c>
      <c r="AE65" s="130">
        <v>11</v>
      </c>
    </row>
    <row r="66" spans="1:31" x14ac:dyDescent="0.25">
      <c r="A66" s="73" t="s">
        <v>585</v>
      </c>
      <c r="B66" s="115">
        <v>3.65</v>
      </c>
      <c r="C66" s="115">
        <v>5.42</v>
      </c>
      <c r="D66" s="115">
        <v>8.61</v>
      </c>
      <c r="E66" s="115">
        <v>11.63</v>
      </c>
      <c r="F66" s="115">
        <v>12.27</v>
      </c>
      <c r="G66" s="115">
        <v>3.9</v>
      </c>
      <c r="H66" s="115">
        <v>6.52</v>
      </c>
      <c r="I66" s="115">
        <v>8.81</v>
      </c>
      <c r="J66" s="115">
        <v>15.74</v>
      </c>
      <c r="K66" s="115">
        <v>11.62</v>
      </c>
      <c r="L66" s="115">
        <v>2.31</v>
      </c>
      <c r="M66" s="115">
        <v>7.88</v>
      </c>
      <c r="N66" s="115">
        <v>9.7799999999999994</v>
      </c>
      <c r="O66" s="115">
        <v>16.45</v>
      </c>
      <c r="P66" s="115">
        <v>15.27</v>
      </c>
      <c r="Q66" s="115">
        <v>2.6</v>
      </c>
      <c r="R66" s="115">
        <v>6.97</v>
      </c>
      <c r="S66" s="115">
        <v>11.57</v>
      </c>
      <c r="T66" s="115">
        <v>12.26</v>
      </c>
      <c r="U66" s="115">
        <v>12.19</v>
      </c>
      <c r="V66" s="115">
        <v>3.79</v>
      </c>
      <c r="W66" s="115">
        <v>7.67</v>
      </c>
      <c r="X66" s="115">
        <v>7.75</v>
      </c>
      <c r="Y66" s="115">
        <v>19.48</v>
      </c>
      <c r="Z66" s="115">
        <v>11.12</v>
      </c>
      <c r="AA66" s="115">
        <v>3.99</v>
      </c>
      <c r="AB66" s="115">
        <v>5.16</v>
      </c>
      <c r="AC66" s="115">
        <v>10.5</v>
      </c>
      <c r="AD66" s="115">
        <v>16.54</v>
      </c>
      <c r="AE66" s="130">
        <v>9.67</v>
      </c>
    </row>
    <row r="67" spans="1:31" x14ac:dyDescent="0.25">
      <c r="A67" s="73" t="s">
        <v>586</v>
      </c>
      <c r="B67" s="115">
        <v>3.95</v>
      </c>
      <c r="C67" s="115">
        <v>5.75</v>
      </c>
      <c r="D67" s="115">
        <v>11</v>
      </c>
      <c r="E67" s="115">
        <v>18.29</v>
      </c>
      <c r="F67" s="115">
        <v>13.92</v>
      </c>
      <c r="G67" s="115">
        <v>2.16</v>
      </c>
      <c r="H67" s="115">
        <v>5.88</v>
      </c>
      <c r="I67" s="115">
        <v>9.7799999999999994</v>
      </c>
      <c r="J67" s="115">
        <v>13.63</v>
      </c>
      <c r="K67" s="115">
        <v>13.74</v>
      </c>
      <c r="L67" s="115">
        <v>3.56</v>
      </c>
      <c r="M67" s="115">
        <v>7</v>
      </c>
      <c r="N67" s="115">
        <v>8.14</v>
      </c>
      <c r="O67" s="115">
        <v>18.260000000000002</v>
      </c>
      <c r="P67" s="115">
        <v>10.49</v>
      </c>
      <c r="Q67" s="115">
        <v>3.89</v>
      </c>
      <c r="R67" s="115">
        <v>5.16</v>
      </c>
      <c r="S67" s="115">
        <v>7.59</v>
      </c>
      <c r="T67" s="115">
        <v>15.41</v>
      </c>
      <c r="U67" s="115">
        <v>10.92</v>
      </c>
      <c r="V67" s="115">
        <v>3.46</v>
      </c>
      <c r="W67" s="115">
        <v>5.29</v>
      </c>
      <c r="X67" s="115">
        <v>7.34</v>
      </c>
      <c r="Y67" s="115">
        <v>13.2</v>
      </c>
      <c r="Z67" s="115">
        <v>15.88</v>
      </c>
      <c r="AA67" s="115">
        <v>2.19</v>
      </c>
      <c r="AB67" s="115">
        <v>7.6</v>
      </c>
      <c r="AC67" s="115">
        <v>11.4</v>
      </c>
      <c r="AD67" s="115">
        <v>16.21</v>
      </c>
      <c r="AE67" s="130">
        <v>10.72</v>
      </c>
    </row>
    <row r="68" spans="1:31" x14ac:dyDescent="0.25">
      <c r="A68" s="73" t="s">
        <v>587</v>
      </c>
      <c r="B68" s="115">
        <v>2.74</v>
      </c>
      <c r="C68" s="115">
        <v>5.45</v>
      </c>
      <c r="D68" s="115">
        <v>10.49</v>
      </c>
      <c r="E68" s="115">
        <v>11.24</v>
      </c>
      <c r="F68" s="115">
        <v>11.89</v>
      </c>
      <c r="G68" s="115">
        <v>3.51</v>
      </c>
      <c r="H68" s="115">
        <v>6.65</v>
      </c>
      <c r="I68" s="115">
        <v>11.41</v>
      </c>
      <c r="J68" s="115">
        <v>12.38</v>
      </c>
      <c r="K68" s="115">
        <v>9.2799999999999994</v>
      </c>
      <c r="L68" s="115">
        <v>2.63</v>
      </c>
      <c r="M68" s="115">
        <v>5.56</v>
      </c>
      <c r="N68" s="115">
        <v>10.62</v>
      </c>
      <c r="O68" s="115">
        <v>18.87</v>
      </c>
      <c r="P68" s="115">
        <v>10.220000000000001</v>
      </c>
      <c r="Q68" s="115">
        <v>2.74</v>
      </c>
      <c r="R68" s="115">
        <v>7.84</v>
      </c>
      <c r="S68" s="115">
        <v>10.84</v>
      </c>
      <c r="T68" s="115">
        <v>15.73</v>
      </c>
      <c r="U68" s="115">
        <v>10.4</v>
      </c>
      <c r="V68" s="115">
        <v>3.51</v>
      </c>
      <c r="W68" s="115">
        <v>7.49</v>
      </c>
      <c r="X68" s="115">
        <v>9.36</v>
      </c>
      <c r="Y68" s="115">
        <v>17.68</v>
      </c>
      <c r="Z68" s="115">
        <v>14.83</v>
      </c>
      <c r="AA68" s="115">
        <v>3.24</v>
      </c>
      <c r="AB68" s="115">
        <v>7</v>
      </c>
      <c r="AC68" s="115">
        <v>7.64</v>
      </c>
      <c r="AD68" s="115">
        <v>18.21</v>
      </c>
      <c r="AE68" s="130">
        <v>13.59</v>
      </c>
    </row>
    <row r="69" spans="1:31" x14ac:dyDescent="0.25">
      <c r="A69" s="73" t="s">
        <v>588</v>
      </c>
      <c r="B69" s="115">
        <v>2.35</v>
      </c>
      <c r="C69" s="115">
        <v>7.33</v>
      </c>
      <c r="D69" s="115">
        <v>9.3699999999999992</v>
      </c>
      <c r="E69" s="115">
        <v>12.05</v>
      </c>
      <c r="F69" s="115">
        <v>14.07</v>
      </c>
      <c r="G69" s="115">
        <v>2.92</v>
      </c>
      <c r="H69" s="115">
        <v>7.04</v>
      </c>
      <c r="I69" s="115">
        <v>8.89</v>
      </c>
      <c r="J69" s="115">
        <v>19.399999999999999</v>
      </c>
      <c r="K69" s="115">
        <v>14.22</v>
      </c>
      <c r="L69" s="115">
        <v>2.2999999999999998</v>
      </c>
      <c r="M69" s="115">
        <v>5.83</v>
      </c>
      <c r="N69" s="115">
        <v>9.9600000000000009</v>
      </c>
      <c r="O69" s="115">
        <v>19.649999999999999</v>
      </c>
      <c r="P69" s="115">
        <v>15.19</v>
      </c>
      <c r="Q69" s="115">
        <v>2.72</v>
      </c>
      <c r="R69" s="115">
        <v>5.63</v>
      </c>
      <c r="S69" s="115">
        <v>7.78</v>
      </c>
      <c r="T69" s="115">
        <v>16.440000000000001</v>
      </c>
      <c r="U69" s="115">
        <v>10.39</v>
      </c>
      <c r="V69" s="115">
        <v>2.59</v>
      </c>
      <c r="W69" s="115">
        <v>5</v>
      </c>
      <c r="X69" s="115">
        <v>9.09</v>
      </c>
      <c r="Y69" s="115">
        <v>17.010000000000002</v>
      </c>
      <c r="Z69" s="115">
        <v>9.51</v>
      </c>
      <c r="AA69" s="115">
        <v>3.74</v>
      </c>
      <c r="AB69" s="115">
        <v>7.99</v>
      </c>
      <c r="AC69" s="115">
        <v>10.39</v>
      </c>
      <c r="AD69" s="115">
        <v>11.57</v>
      </c>
      <c r="AE69" s="130">
        <v>10.74</v>
      </c>
    </row>
    <row r="70" spans="1:31" x14ac:dyDescent="0.25">
      <c r="A70" s="73" t="s">
        <v>589</v>
      </c>
      <c r="B70" s="115">
        <v>2.11</v>
      </c>
      <c r="C70" s="115">
        <v>6.95</v>
      </c>
      <c r="D70" s="115">
        <v>9.68</v>
      </c>
      <c r="E70" s="115">
        <v>16.02</v>
      </c>
      <c r="F70" s="115">
        <v>10.64</v>
      </c>
      <c r="G70" s="115">
        <v>3.11</v>
      </c>
      <c r="H70" s="115">
        <v>6.03</v>
      </c>
      <c r="I70" s="115">
        <v>7.46</v>
      </c>
      <c r="J70" s="115">
        <v>13.15</v>
      </c>
      <c r="K70" s="115">
        <v>9.6300000000000008</v>
      </c>
      <c r="L70" s="115">
        <v>3.75</v>
      </c>
      <c r="M70" s="115">
        <v>5.34</v>
      </c>
      <c r="N70" s="115">
        <v>8.5</v>
      </c>
      <c r="O70" s="115">
        <v>18.16</v>
      </c>
      <c r="P70" s="115">
        <v>13.7</v>
      </c>
      <c r="Q70" s="115">
        <v>3.17</v>
      </c>
      <c r="R70" s="115">
        <v>6.74</v>
      </c>
      <c r="S70" s="115">
        <v>7.04</v>
      </c>
      <c r="T70" s="115">
        <v>16.82</v>
      </c>
      <c r="U70" s="115">
        <v>13.83</v>
      </c>
      <c r="V70" s="115">
        <v>2.13</v>
      </c>
      <c r="W70" s="115">
        <v>5.6</v>
      </c>
      <c r="X70" s="115">
        <v>7.3</v>
      </c>
      <c r="Y70" s="115">
        <v>16.600000000000001</v>
      </c>
      <c r="Z70" s="115">
        <v>15.34</v>
      </c>
      <c r="AA70" s="115">
        <v>2.2000000000000002</v>
      </c>
      <c r="AB70" s="115">
        <v>7.61</v>
      </c>
      <c r="AC70" s="115">
        <v>10.61</v>
      </c>
      <c r="AD70" s="115">
        <v>19.8</v>
      </c>
      <c r="AE70" s="130">
        <v>9.18</v>
      </c>
    </row>
    <row r="71" spans="1:31" x14ac:dyDescent="0.25">
      <c r="A71" s="73" t="s">
        <v>590</v>
      </c>
      <c r="B71" s="115">
        <v>2.33</v>
      </c>
      <c r="C71" s="115">
        <v>6.77</v>
      </c>
      <c r="D71" s="115">
        <v>10.1</v>
      </c>
      <c r="E71" s="115">
        <v>12.29</v>
      </c>
      <c r="F71" s="115">
        <v>15.58</v>
      </c>
      <c r="G71" s="115">
        <v>2.36</v>
      </c>
      <c r="H71" s="115">
        <v>6.32</v>
      </c>
      <c r="I71" s="115">
        <v>10.130000000000001</v>
      </c>
      <c r="J71" s="115">
        <v>13.72</v>
      </c>
      <c r="K71" s="115">
        <v>13.28</v>
      </c>
      <c r="L71" s="115">
        <v>2.19</v>
      </c>
      <c r="M71" s="115">
        <v>5.83</v>
      </c>
      <c r="N71" s="115">
        <v>9.92</v>
      </c>
      <c r="O71" s="115">
        <v>17.059999999999999</v>
      </c>
      <c r="P71" s="115">
        <v>11.59</v>
      </c>
      <c r="Q71" s="115">
        <v>3.67</v>
      </c>
      <c r="R71" s="115">
        <v>5.67</v>
      </c>
      <c r="S71" s="115">
        <v>9.49</v>
      </c>
      <c r="T71" s="115">
        <v>19.95</v>
      </c>
      <c r="U71" s="115">
        <v>9.36</v>
      </c>
      <c r="V71" s="115">
        <v>3.31</v>
      </c>
      <c r="W71" s="115">
        <v>5.01</v>
      </c>
      <c r="X71" s="115">
        <v>7.55</v>
      </c>
      <c r="Y71" s="115">
        <v>17</v>
      </c>
      <c r="Z71" s="115">
        <v>10.09</v>
      </c>
      <c r="AA71" s="115">
        <v>2.9</v>
      </c>
      <c r="AB71" s="115">
        <v>5.83</v>
      </c>
      <c r="AC71" s="115">
        <v>9.36</v>
      </c>
      <c r="AD71" s="115">
        <v>11.52</v>
      </c>
      <c r="AE71" s="130">
        <v>15.46</v>
      </c>
    </row>
    <row r="72" spans="1:31" x14ac:dyDescent="0.25">
      <c r="A72" s="73" t="s">
        <v>591</v>
      </c>
      <c r="B72" s="115">
        <v>3.25</v>
      </c>
      <c r="C72" s="115">
        <v>5.83</v>
      </c>
      <c r="D72" s="115">
        <v>9.3800000000000008</v>
      </c>
      <c r="E72" s="115">
        <v>13.9</v>
      </c>
      <c r="F72" s="115">
        <v>15.2</v>
      </c>
      <c r="G72" s="115">
        <v>2.09</v>
      </c>
      <c r="H72" s="115">
        <v>5.53</v>
      </c>
      <c r="I72" s="115">
        <v>9.49</v>
      </c>
      <c r="J72" s="115">
        <v>18.22</v>
      </c>
      <c r="K72" s="115">
        <v>12.23</v>
      </c>
      <c r="L72" s="115">
        <v>3.94</v>
      </c>
      <c r="M72" s="115">
        <v>6.87</v>
      </c>
      <c r="N72" s="115">
        <v>9.74</v>
      </c>
      <c r="O72" s="115">
        <v>11.07</v>
      </c>
      <c r="P72" s="115">
        <v>15.53</v>
      </c>
      <c r="Q72" s="115">
        <v>3.65</v>
      </c>
      <c r="R72" s="115">
        <v>6.48</v>
      </c>
      <c r="S72" s="115">
        <v>9.76</v>
      </c>
      <c r="T72" s="115">
        <v>16.39</v>
      </c>
      <c r="U72" s="115">
        <v>13.99</v>
      </c>
      <c r="V72" s="115">
        <v>3.44</v>
      </c>
      <c r="W72" s="115">
        <v>7.73</v>
      </c>
      <c r="X72" s="115">
        <v>11.68</v>
      </c>
      <c r="Y72" s="115">
        <v>13.26</v>
      </c>
      <c r="Z72" s="115">
        <v>15.21</v>
      </c>
      <c r="AA72" s="115">
        <v>2.66</v>
      </c>
      <c r="AB72" s="115">
        <v>5.8</v>
      </c>
      <c r="AC72" s="115">
        <v>9.5299999999999994</v>
      </c>
      <c r="AD72" s="115">
        <v>12.09</v>
      </c>
      <c r="AE72" s="130">
        <v>13.74</v>
      </c>
    </row>
    <row r="73" spans="1:31" x14ac:dyDescent="0.25">
      <c r="A73" s="73" t="s">
        <v>592</v>
      </c>
      <c r="B73" s="115">
        <v>2.64</v>
      </c>
      <c r="C73" s="115">
        <v>5.53</v>
      </c>
      <c r="D73" s="115">
        <v>11.03</v>
      </c>
      <c r="E73" s="115">
        <v>14.05</v>
      </c>
      <c r="F73" s="115">
        <v>9.11</v>
      </c>
      <c r="G73" s="115">
        <v>3.13</v>
      </c>
      <c r="H73" s="115">
        <v>6.51</v>
      </c>
      <c r="I73" s="115">
        <v>11.29</v>
      </c>
      <c r="J73" s="115">
        <v>18.989999999999998</v>
      </c>
      <c r="K73" s="115">
        <v>14.44</v>
      </c>
      <c r="L73" s="115">
        <v>3.55</v>
      </c>
      <c r="M73" s="115">
        <v>5.38</v>
      </c>
      <c r="N73" s="115">
        <v>8.07</v>
      </c>
      <c r="O73" s="115">
        <v>17.11</v>
      </c>
      <c r="P73" s="115">
        <v>9.01</v>
      </c>
      <c r="Q73" s="115">
        <v>3.94</v>
      </c>
      <c r="R73" s="115">
        <v>7.28</v>
      </c>
      <c r="S73" s="115">
        <v>8.59</v>
      </c>
      <c r="T73" s="115">
        <v>19.8</v>
      </c>
      <c r="U73" s="115">
        <v>14.74</v>
      </c>
      <c r="V73" s="115">
        <v>3.08</v>
      </c>
      <c r="W73" s="115">
        <v>6.92</v>
      </c>
      <c r="X73" s="115">
        <v>9.06</v>
      </c>
      <c r="Y73" s="115">
        <v>16.55</v>
      </c>
      <c r="Z73" s="115">
        <v>14.2</v>
      </c>
      <c r="AA73" s="115">
        <v>3.82</v>
      </c>
      <c r="AB73" s="115">
        <v>6.88</v>
      </c>
      <c r="AC73" s="115">
        <v>7.94</v>
      </c>
      <c r="AD73" s="115">
        <v>12.39</v>
      </c>
      <c r="AE73" s="130">
        <v>9.4</v>
      </c>
    </row>
    <row r="74" spans="1:31" x14ac:dyDescent="0.25">
      <c r="A74" s="73" t="s">
        <v>593</v>
      </c>
      <c r="B74" s="115">
        <v>2.12</v>
      </c>
      <c r="C74" s="115">
        <v>7.22</v>
      </c>
      <c r="D74" s="115">
        <v>9.74</v>
      </c>
      <c r="E74" s="115">
        <v>18.899999999999999</v>
      </c>
      <c r="F74" s="115">
        <v>15.01</v>
      </c>
      <c r="G74" s="115">
        <v>3.16</v>
      </c>
      <c r="H74" s="115">
        <v>6.91</v>
      </c>
      <c r="I74" s="115">
        <v>11.41</v>
      </c>
      <c r="J74" s="115">
        <v>14.8</v>
      </c>
      <c r="K74" s="115">
        <v>14.49</v>
      </c>
      <c r="L74" s="115">
        <v>3.02</v>
      </c>
      <c r="M74" s="115">
        <v>7.75</v>
      </c>
      <c r="N74" s="115">
        <v>11.43</v>
      </c>
      <c r="O74" s="115">
        <v>17.27</v>
      </c>
      <c r="P74" s="115">
        <v>9.24</v>
      </c>
      <c r="Q74" s="115">
        <v>3.06</v>
      </c>
      <c r="R74" s="115">
        <v>7.04</v>
      </c>
      <c r="S74" s="115">
        <v>11.59</v>
      </c>
      <c r="T74" s="115">
        <v>19.16</v>
      </c>
      <c r="U74" s="115">
        <v>15.28</v>
      </c>
      <c r="V74" s="115">
        <v>3.28</v>
      </c>
      <c r="W74" s="115">
        <v>5.16</v>
      </c>
      <c r="X74" s="115">
        <v>8.68</v>
      </c>
      <c r="Y74" s="115">
        <v>14.75</v>
      </c>
      <c r="Z74" s="115">
        <v>10.9</v>
      </c>
      <c r="AA74" s="115">
        <v>3.4</v>
      </c>
      <c r="AB74" s="115">
        <v>7.54</v>
      </c>
      <c r="AC74" s="115">
        <v>9.06</v>
      </c>
      <c r="AD74" s="115">
        <v>15.41</v>
      </c>
      <c r="AE74" s="130">
        <v>11.35</v>
      </c>
    </row>
    <row r="75" spans="1:31" x14ac:dyDescent="0.25">
      <c r="A75" s="73" t="s">
        <v>594</v>
      </c>
      <c r="B75" s="115">
        <v>2.38</v>
      </c>
      <c r="C75" s="115">
        <v>7.31</v>
      </c>
      <c r="D75" s="115">
        <v>9.84</v>
      </c>
      <c r="E75" s="115">
        <v>16.21</v>
      </c>
      <c r="F75" s="115">
        <v>13.71</v>
      </c>
      <c r="G75" s="115">
        <v>3.25</v>
      </c>
      <c r="H75" s="115">
        <v>7.48</v>
      </c>
      <c r="I75" s="115">
        <v>9.8800000000000008</v>
      </c>
      <c r="J75" s="115">
        <v>11.76</v>
      </c>
      <c r="K75" s="115">
        <v>14.05</v>
      </c>
      <c r="L75" s="115">
        <v>3.52</v>
      </c>
      <c r="M75" s="115">
        <v>6.97</v>
      </c>
      <c r="N75" s="115">
        <v>10.7</v>
      </c>
      <c r="O75" s="115">
        <v>13.44</v>
      </c>
      <c r="P75" s="115">
        <v>14.63</v>
      </c>
      <c r="Q75" s="115">
        <v>3.03</v>
      </c>
      <c r="R75" s="115">
        <v>7.89</v>
      </c>
      <c r="S75" s="115">
        <v>11.03</v>
      </c>
      <c r="T75" s="115">
        <v>14.41</v>
      </c>
      <c r="U75" s="115">
        <v>9.06</v>
      </c>
      <c r="V75" s="115">
        <v>2.52</v>
      </c>
      <c r="W75" s="115">
        <v>6.5</v>
      </c>
      <c r="X75" s="115">
        <v>7.04</v>
      </c>
      <c r="Y75" s="115">
        <v>17.809999999999999</v>
      </c>
      <c r="Z75" s="115">
        <v>12.03</v>
      </c>
      <c r="AA75" s="115">
        <v>3.08</v>
      </c>
      <c r="AB75" s="115">
        <v>7.78</v>
      </c>
      <c r="AC75" s="115">
        <v>8.67</v>
      </c>
      <c r="AD75" s="115">
        <v>12.56</v>
      </c>
      <c r="AE75" s="130">
        <v>12.86</v>
      </c>
    </row>
    <row r="76" spans="1:31" x14ac:dyDescent="0.25">
      <c r="A76" s="73" t="s">
        <v>595</v>
      </c>
      <c r="B76" s="115">
        <v>3.63</v>
      </c>
      <c r="C76" s="115">
        <v>6.16</v>
      </c>
      <c r="D76" s="115">
        <v>9.66</v>
      </c>
      <c r="E76" s="115">
        <v>12.44</v>
      </c>
      <c r="F76" s="115">
        <v>10.3</v>
      </c>
      <c r="G76" s="115">
        <v>2.5099999999999998</v>
      </c>
      <c r="H76" s="115">
        <v>5</v>
      </c>
      <c r="I76" s="115">
        <v>8.58</v>
      </c>
      <c r="J76" s="115">
        <v>12.15</v>
      </c>
      <c r="K76" s="115">
        <v>14.77</v>
      </c>
      <c r="L76" s="115">
        <v>3.18</v>
      </c>
      <c r="M76" s="115">
        <v>7.12</v>
      </c>
      <c r="N76" s="115">
        <v>11.33</v>
      </c>
      <c r="O76" s="115">
        <v>16.670000000000002</v>
      </c>
      <c r="P76" s="115">
        <v>13.62</v>
      </c>
      <c r="Q76" s="115">
        <v>2.2999999999999998</v>
      </c>
      <c r="R76" s="115">
        <v>7.53</v>
      </c>
      <c r="S76" s="115">
        <v>9.17</v>
      </c>
      <c r="T76" s="115">
        <v>16.34</v>
      </c>
      <c r="U76" s="115">
        <v>12.42</v>
      </c>
      <c r="V76" s="115">
        <v>2.2599999999999998</v>
      </c>
      <c r="W76" s="115">
        <v>5.74</v>
      </c>
      <c r="X76" s="115">
        <v>10.02</v>
      </c>
      <c r="Y76" s="115">
        <v>18.41</v>
      </c>
      <c r="Z76" s="115">
        <v>11.99</v>
      </c>
      <c r="AA76" s="115">
        <v>2.97</v>
      </c>
      <c r="AB76" s="115">
        <v>7.79</v>
      </c>
      <c r="AC76" s="115">
        <v>7.66</v>
      </c>
      <c r="AD76" s="115">
        <v>11.81</v>
      </c>
      <c r="AE76" s="130">
        <v>9.81</v>
      </c>
    </row>
    <row r="77" spans="1:31" x14ac:dyDescent="0.25">
      <c r="A77" s="73" t="s">
        <v>596</v>
      </c>
      <c r="B77" s="115">
        <v>3.73</v>
      </c>
      <c r="C77" s="115">
        <v>6.31</v>
      </c>
      <c r="D77" s="115">
        <v>9.99</v>
      </c>
      <c r="E77" s="115">
        <v>18.39</v>
      </c>
      <c r="F77" s="115">
        <v>11.78</v>
      </c>
      <c r="G77" s="115">
        <v>2.67</v>
      </c>
      <c r="H77" s="115">
        <v>5.91</v>
      </c>
      <c r="I77" s="115">
        <v>11.98</v>
      </c>
      <c r="J77" s="115">
        <v>12.32</v>
      </c>
      <c r="K77" s="115">
        <v>12</v>
      </c>
      <c r="L77" s="115">
        <v>3.69</v>
      </c>
      <c r="M77" s="115">
        <v>6.2</v>
      </c>
      <c r="N77" s="115">
        <v>7.81</v>
      </c>
      <c r="O77" s="115">
        <v>14.77</v>
      </c>
      <c r="P77" s="115">
        <v>10.34</v>
      </c>
      <c r="Q77" s="115">
        <v>3.49</v>
      </c>
      <c r="R77" s="115">
        <v>6.93</v>
      </c>
      <c r="S77" s="115">
        <v>9.4</v>
      </c>
      <c r="T77" s="115">
        <v>13.82</v>
      </c>
      <c r="U77" s="115">
        <v>11.05</v>
      </c>
      <c r="V77" s="115">
        <v>3</v>
      </c>
      <c r="W77" s="115">
        <v>6.23</v>
      </c>
      <c r="X77" s="115">
        <v>8.08</v>
      </c>
      <c r="Y77" s="115">
        <v>19.68</v>
      </c>
      <c r="Z77" s="115">
        <v>13.83</v>
      </c>
      <c r="AA77" s="115">
        <v>3.76</v>
      </c>
      <c r="AB77" s="115">
        <v>5.16</v>
      </c>
      <c r="AC77" s="115">
        <v>8.64</v>
      </c>
      <c r="AD77" s="115">
        <v>13.3</v>
      </c>
      <c r="AE77" s="130">
        <v>12.22</v>
      </c>
    </row>
    <row r="78" spans="1:31" x14ac:dyDescent="0.25">
      <c r="A78" s="73" t="s">
        <v>597</v>
      </c>
      <c r="B78" s="115">
        <v>3.52</v>
      </c>
      <c r="C78" s="115">
        <v>5.64</v>
      </c>
      <c r="D78" s="115">
        <v>9.92</v>
      </c>
      <c r="E78" s="115">
        <v>12.73</v>
      </c>
      <c r="F78" s="115">
        <v>10.82</v>
      </c>
      <c r="G78" s="115">
        <v>3.51</v>
      </c>
      <c r="H78" s="115">
        <v>6.41</v>
      </c>
      <c r="I78" s="115">
        <v>9.58</v>
      </c>
      <c r="J78" s="115">
        <v>14.49</v>
      </c>
      <c r="K78" s="115">
        <v>11.03</v>
      </c>
      <c r="L78" s="115">
        <v>2.85</v>
      </c>
      <c r="M78" s="115">
        <v>6.62</v>
      </c>
      <c r="N78" s="115">
        <v>10.95</v>
      </c>
      <c r="O78" s="115">
        <v>19.86</v>
      </c>
      <c r="P78" s="115">
        <v>13.31</v>
      </c>
      <c r="Q78" s="115">
        <v>2.99</v>
      </c>
      <c r="R78" s="115">
        <v>7.1</v>
      </c>
      <c r="S78" s="115">
        <v>11.12</v>
      </c>
      <c r="T78" s="115">
        <v>13.9</v>
      </c>
      <c r="U78" s="115">
        <v>14.88</v>
      </c>
      <c r="V78" s="115">
        <v>3.53</v>
      </c>
      <c r="W78" s="115">
        <v>6.28</v>
      </c>
      <c r="X78" s="115">
        <v>8.98</v>
      </c>
      <c r="Y78" s="115">
        <v>18.57</v>
      </c>
      <c r="Z78" s="115">
        <v>15.99</v>
      </c>
      <c r="AA78" s="115">
        <v>2.35</v>
      </c>
      <c r="AB78" s="115">
        <v>5.96</v>
      </c>
      <c r="AC78" s="115">
        <v>9.58</v>
      </c>
      <c r="AD78" s="115">
        <v>13.87</v>
      </c>
      <c r="AE78" s="130">
        <v>13.91</v>
      </c>
    </row>
    <row r="79" spans="1:31" x14ac:dyDescent="0.25">
      <c r="A79" s="73" t="s">
        <v>598</v>
      </c>
      <c r="B79" s="115">
        <v>3.59</v>
      </c>
      <c r="C79" s="115">
        <v>5.45</v>
      </c>
      <c r="D79" s="115">
        <v>9.94</v>
      </c>
      <c r="E79" s="115">
        <v>15.46</v>
      </c>
      <c r="F79" s="115">
        <v>11.6</v>
      </c>
      <c r="G79" s="115">
        <v>2.5099999999999998</v>
      </c>
      <c r="H79" s="115">
        <v>5.73</v>
      </c>
      <c r="I79" s="115">
        <v>11.96</v>
      </c>
      <c r="J79" s="115">
        <v>19.37</v>
      </c>
      <c r="K79" s="115">
        <v>10.34</v>
      </c>
      <c r="L79" s="115">
        <v>3.62</v>
      </c>
      <c r="M79" s="115">
        <v>7.9</v>
      </c>
      <c r="N79" s="115">
        <v>9.77</v>
      </c>
      <c r="O79" s="115">
        <v>15.23</v>
      </c>
      <c r="P79" s="115">
        <v>10.36</v>
      </c>
      <c r="Q79" s="115">
        <v>2.86</v>
      </c>
      <c r="R79" s="115">
        <v>6.47</v>
      </c>
      <c r="S79" s="115">
        <v>11.77</v>
      </c>
      <c r="T79" s="115">
        <v>19.170000000000002</v>
      </c>
      <c r="U79" s="115">
        <v>13.91</v>
      </c>
      <c r="V79" s="115">
        <v>3.44</v>
      </c>
      <c r="W79" s="115">
        <v>6.64</v>
      </c>
      <c r="X79" s="115">
        <v>11.18</v>
      </c>
      <c r="Y79" s="115">
        <v>19.77</v>
      </c>
      <c r="Z79" s="115">
        <v>9.33</v>
      </c>
      <c r="AA79" s="115">
        <v>3.49</v>
      </c>
      <c r="AB79" s="115">
        <v>7.53</v>
      </c>
      <c r="AC79" s="115">
        <v>7.57</v>
      </c>
      <c r="AD79" s="115">
        <v>12.32</v>
      </c>
      <c r="AE79" s="130">
        <v>11.37</v>
      </c>
    </row>
    <row r="80" spans="1:31" x14ac:dyDescent="0.25">
      <c r="A80" s="73" t="s">
        <v>599</v>
      </c>
      <c r="B80" s="115">
        <v>3.52</v>
      </c>
      <c r="C80" s="115">
        <v>7.77</v>
      </c>
      <c r="D80" s="115">
        <v>7.58</v>
      </c>
      <c r="E80" s="115">
        <v>12.14</v>
      </c>
      <c r="F80" s="115">
        <v>10.73</v>
      </c>
      <c r="G80" s="115">
        <v>2.12</v>
      </c>
      <c r="H80" s="115">
        <v>5.43</v>
      </c>
      <c r="I80" s="115">
        <v>11.31</v>
      </c>
      <c r="J80" s="115">
        <v>12.1</v>
      </c>
      <c r="K80" s="115">
        <v>9.86</v>
      </c>
      <c r="L80" s="115">
        <v>2.74</v>
      </c>
      <c r="M80" s="115">
        <v>5.56</v>
      </c>
      <c r="N80" s="115">
        <v>9.4700000000000006</v>
      </c>
      <c r="O80" s="115">
        <v>14.78</v>
      </c>
      <c r="P80" s="115">
        <v>14.91</v>
      </c>
      <c r="Q80" s="115">
        <v>3.83</v>
      </c>
      <c r="R80" s="115">
        <v>6.76</v>
      </c>
      <c r="S80" s="115">
        <v>8.0500000000000007</v>
      </c>
      <c r="T80" s="115">
        <v>19.559999999999999</v>
      </c>
      <c r="U80" s="115">
        <v>12.48</v>
      </c>
      <c r="V80" s="115">
        <v>3.8</v>
      </c>
      <c r="W80" s="115">
        <v>5.79</v>
      </c>
      <c r="X80" s="115">
        <v>7.37</v>
      </c>
      <c r="Y80" s="115">
        <v>16.850000000000001</v>
      </c>
      <c r="Z80" s="115">
        <v>13.9</v>
      </c>
      <c r="AA80" s="115">
        <v>3.01</v>
      </c>
      <c r="AB80" s="115">
        <v>7.88</v>
      </c>
      <c r="AC80" s="115">
        <v>11.33</v>
      </c>
      <c r="AD80" s="115">
        <v>13.52</v>
      </c>
      <c r="AE80" s="130">
        <v>9.27</v>
      </c>
    </row>
    <row r="81" spans="1:31" x14ac:dyDescent="0.25">
      <c r="A81" s="73" t="s">
        <v>600</v>
      </c>
      <c r="B81" s="115">
        <v>3.19</v>
      </c>
      <c r="C81" s="115">
        <v>7.9</v>
      </c>
      <c r="D81" s="115">
        <v>8.69</v>
      </c>
      <c r="E81" s="115">
        <v>12.78</v>
      </c>
      <c r="F81" s="115">
        <v>15.83</v>
      </c>
      <c r="G81" s="115">
        <v>3.84</v>
      </c>
      <c r="H81" s="115">
        <v>7.12</v>
      </c>
      <c r="I81" s="115">
        <v>11.84</v>
      </c>
      <c r="J81" s="115">
        <v>18.13</v>
      </c>
      <c r="K81" s="115">
        <v>15.76</v>
      </c>
      <c r="L81" s="115">
        <v>2.81</v>
      </c>
      <c r="M81" s="115">
        <v>6.5</v>
      </c>
      <c r="N81" s="115">
        <v>9.91</v>
      </c>
      <c r="O81" s="115">
        <v>13.73</v>
      </c>
      <c r="P81" s="115">
        <v>15.83</v>
      </c>
      <c r="Q81" s="115">
        <v>2.83</v>
      </c>
      <c r="R81" s="115">
        <v>5.44</v>
      </c>
      <c r="S81" s="115">
        <v>10.8</v>
      </c>
      <c r="T81" s="115">
        <v>16.760000000000002</v>
      </c>
      <c r="U81" s="115">
        <v>11.55</v>
      </c>
      <c r="V81" s="115">
        <v>2.85</v>
      </c>
      <c r="W81" s="115">
        <v>7.47</v>
      </c>
      <c r="X81" s="115">
        <v>8.64</v>
      </c>
      <c r="Y81" s="115">
        <v>14.93</v>
      </c>
      <c r="Z81" s="115">
        <v>13.07</v>
      </c>
      <c r="AA81" s="115">
        <v>3.06</v>
      </c>
      <c r="AB81" s="115">
        <v>5.31</v>
      </c>
      <c r="AC81" s="115">
        <v>7.01</v>
      </c>
      <c r="AD81" s="115">
        <v>17.989999999999998</v>
      </c>
      <c r="AE81" s="130">
        <v>12.15</v>
      </c>
    </row>
    <row r="82" spans="1:31" x14ac:dyDescent="0.25">
      <c r="A82" s="73" t="s">
        <v>601</v>
      </c>
      <c r="B82" s="115">
        <v>3.54</v>
      </c>
      <c r="C82" s="115">
        <v>5.32</v>
      </c>
      <c r="D82" s="115">
        <v>7.92</v>
      </c>
      <c r="E82" s="115">
        <v>12</v>
      </c>
      <c r="F82" s="115">
        <v>9.9600000000000009</v>
      </c>
      <c r="G82" s="115">
        <v>2.2200000000000002</v>
      </c>
      <c r="H82" s="115">
        <v>6.97</v>
      </c>
      <c r="I82" s="115">
        <v>10.050000000000001</v>
      </c>
      <c r="J82" s="115">
        <v>14.44</v>
      </c>
      <c r="K82" s="115">
        <v>9.77</v>
      </c>
      <c r="L82" s="115">
        <v>3.67</v>
      </c>
      <c r="M82" s="115">
        <v>7.36</v>
      </c>
      <c r="N82" s="115">
        <v>10.02</v>
      </c>
      <c r="O82" s="115">
        <v>19.920000000000002</v>
      </c>
      <c r="P82" s="115">
        <v>9.11</v>
      </c>
      <c r="Q82" s="115">
        <v>3.78</v>
      </c>
      <c r="R82" s="115">
        <v>5.74</v>
      </c>
      <c r="S82" s="115">
        <v>7.37</v>
      </c>
      <c r="T82" s="115">
        <v>14.75</v>
      </c>
      <c r="U82" s="115">
        <v>9</v>
      </c>
      <c r="V82" s="115">
        <v>2.5299999999999998</v>
      </c>
      <c r="W82" s="115">
        <v>5.48</v>
      </c>
      <c r="X82" s="115">
        <v>8.75</v>
      </c>
      <c r="Y82" s="115">
        <v>11.37</v>
      </c>
      <c r="Z82" s="115">
        <v>13.46</v>
      </c>
      <c r="AA82" s="115">
        <v>3.4</v>
      </c>
      <c r="AB82" s="115">
        <v>7.19</v>
      </c>
      <c r="AC82" s="115">
        <v>8.0500000000000007</v>
      </c>
      <c r="AD82" s="115">
        <v>14.47</v>
      </c>
      <c r="AE82" s="130">
        <v>12.99</v>
      </c>
    </row>
    <row r="83" spans="1:31" x14ac:dyDescent="0.25">
      <c r="A83" s="73" t="s">
        <v>602</v>
      </c>
      <c r="B83" s="115">
        <v>3.41</v>
      </c>
      <c r="C83" s="115">
        <v>6.07</v>
      </c>
      <c r="D83" s="115">
        <v>7.29</v>
      </c>
      <c r="E83" s="115">
        <v>11.71</v>
      </c>
      <c r="F83" s="115">
        <v>10.06</v>
      </c>
      <c r="G83" s="115">
        <v>3.98</v>
      </c>
      <c r="H83" s="115">
        <v>5.64</v>
      </c>
      <c r="I83" s="115">
        <v>8.75</v>
      </c>
      <c r="J83" s="115">
        <v>11.79</v>
      </c>
      <c r="K83" s="115">
        <v>11.68</v>
      </c>
      <c r="L83" s="115">
        <v>3.68</v>
      </c>
      <c r="M83" s="115">
        <v>6.09</v>
      </c>
      <c r="N83" s="115">
        <v>8.98</v>
      </c>
      <c r="O83" s="115">
        <v>16.38</v>
      </c>
      <c r="P83" s="115">
        <v>12.08</v>
      </c>
      <c r="Q83" s="115">
        <v>3.14</v>
      </c>
      <c r="R83" s="115">
        <v>6.47</v>
      </c>
      <c r="S83" s="115">
        <v>9.19</v>
      </c>
      <c r="T83" s="115">
        <v>12.1</v>
      </c>
      <c r="U83" s="115">
        <v>9.6300000000000008</v>
      </c>
      <c r="V83" s="115">
        <v>3.88</v>
      </c>
      <c r="W83" s="115">
        <v>5.54</v>
      </c>
      <c r="X83" s="115">
        <v>11.87</v>
      </c>
      <c r="Y83" s="115">
        <v>11.87</v>
      </c>
      <c r="Z83" s="115">
        <v>13.25</v>
      </c>
      <c r="AA83" s="115">
        <v>2.78</v>
      </c>
      <c r="AB83" s="115">
        <v>6.84</v>
      </c>
      <c r="AC83" s="115">
        <v>7.42</v>
      </c>
      <c r="AD83" s="115">
        <v>12.95</v>
      </c>
      <c r="AE83" s="130">
        <v>12.83</v>
      </c>
    </row>
    <row r="84" spans="1:31" x14ac:dyDescent="0.25">
      <c r="A84" s="73" t="s">
        <v>603</v>
      </c>
      <c r="B84" s="115">
        <v>3.7</v>
      </c>
      <c r="C84" s="115">
        <v>7.37</v>
      </c>
      <c r="D84" s="115">
        <v>8</v>
      </c>
      <c r="E84" s="115">
        <v>17.89</v>
      </c>
      <c r="F84" s="115">
        <v>15.88</v>
      </c>
      <c r="G84" s="115">
        <v>3.3</v>
      </c>
      <c r="H84" s="115">
        <v>7.47</v>
      </c>
      <c r="I84" s="115">
        <v>8.17</v>
      </c>
      <c r="J84" s="115">
        <v>19.149999999999999</v>
      </c>
      <c r="K84" s="115">
        <v>14.19</v>
      </c>
      <c r="L84" s="115">
        <v>3.49</v>
      </c>
      <c r="M84" s="115">
        <v>5.31</v>
      </c>
      <c r="N84" s="115">
        <v>9.57</v>
      </c>
      <c r="O84" s="115">
        <v>16.57</v>
      </c>
      <c r="P84" s="115">
        <v>12.77</v>
      </c>
      <c r="Q84" s="115">
        <v>2.44</v>
      </c>
      <c r="R84" s="115">
        <v>5.93</v>
      </c>
      <c r="S84" s="115">
        <v>7.62</v>
      </c>
      <c r="T84" s="115">
        <v>17.55</v>
      </c>
      <c r="U84" s="115">
        <v>15.03</v>
      </c>
      <c r="V84" s="115">
        <v>2.09</v>
      </c>
      <c r="W84" s="115">
        <v>5.29</v>
      </c>
      <c r="X84" s="115">
        <v>8.81</v>
      </c>
      <c r="Y84" s="115">
        <v>12.22</v>
      </c>
      <c r="Z84" s="115">
        <v>11.09</v>
      </c>
      <c r="AA84" s="115">
        <v>3.26</v>
      </c>
      <c r="AB84" s="115">
        <v>5.53</v>
      </c>
      <c r="AC84" s="115">
        <v>11.89</v>
      </c>
      <c r="AD84" s="115">
        <v>16.46</v>
      </c>
      <c r="AE84" s="130">
        <v>15.99</v>
      </c>
    </row>
    <row r="85" spans="1:31" x14ac:dyDescent="0.25">
      <c r="A85" s="73" t="s">
        <v>604</v>
      </c>
      <c r="B85" s="115">
        <v>3.5</v>
      </c>
      <c r="C85" s="115">
        <v>5.88</v>
      </c>
      <c r="D85" s="115">
        <v>9.4700000000000006</v>
      </c>
      <c r="E85" s="115">
        <v>18.52</v>
      </c>
      <c r="F85" s="115">
        <v>12.32</v>
      </c>
      <c r="G85" s="115">
        <v>3.93</v>
      </c>
      <c r="H85" s="115">
        <v>7.38</v>
      </c>
      <c r="I85" s="115">
        <v>7.8</v>
      </c>
      <c r="J85" s="115">
        <v>15.05</v>
      </c>
      <c r="K85" s="115">
        <v>12.1</v>
      </c>
      <c r="L85" s="115">
        <v>3.02</v>
      </c>
      <c r="M85" s="115">
        <v>5.41</v>
      </c>
      <c r="N85" s="115">
        <v>9.33</v>
      </c>
      <c r="O85" s="115">
        <v>15.49</v>
      </c>
      <c r="P85" s="115">
        <v>13.79</v>
      </c>
      <c r="Q85" s="115">
        <v>3.09</v>
      </c>
      <c r="R85" s="115">
        <v>5.22</v>
      </c>
      <c r="S85" s="115">
        <v>10.87</v>
      </c>
      <c r="T85" s="115">
        <v>12.11</v>
      </c>
      <c r="U85" s="115">
        <v>11.75</v>
      </c>
      <c r="V85" s="115">
        <v>3.05</v>
      </c>
      <c r="W85" s="115">
        <v>6.76</v>
      </c>
      <c r="X85" s="115">
        <v>8.36</v>
      </c>
      <c r="Y85" s="115">
        <v>16.77</v>
      </c>
      <c r="Z85" s="115">
        <v>15.86</v>
      </c>
      <c r="AA85" s="115">
        <v>3.03</v>
      </c>
      <c r="AB85" s="115">
        <v>5.59</v>
      </c>
      <c r="AC85" s="115">
        <v>8.24</v>
      </c>
      <c r="AD85" s="115">
        <v>17.27</v>
      </c>
      <c r="AE85" s="130">
        <v>9.9600000000000009</v>
      </c>
    </row>
    <row r="86" spans="1:31" x14ac:dyDescent="0.25">
      <c r="A86" s="73" t="s">
        <v>605</v>
      </c>
      <c r="B86" s="115">
        <v>2.59</v>
      </c>
      <c r="C86" s="115">
        <v>6.34</v>
      </c>
      <c r="D86" s="115">
        <v>9.36</v>
      </c>
      <c r="E86" s="115">
        <v>11.25</v>
      </c>
      <c r="F86" s="115">
        <v>14</v>
      </c>
      <c r="G86" s="115">
        <v>2.2599999999999998</v>
      </c>
      <c r="H86" s="115">
        <v>7.31</v>
      </c>
      <c r="I86" s="115">
        <v>10.96</v>
      </c>
      <c r="J86" s="115">
        <v>19.48</v>
      </c>
      <c r="K86" s="115">
        <v>15.07</v>
      </c>
      <c r="L86" s="115">
        <v>2.21</v>
      </c>
      <c r="M86" s="115">
        <v>5.72</v>
      </c>
      <c r="N86" s="115">
        <v>7.97</v>
      </c>
      <c r="O86" s="115">
        <v>15.92</v>
      </c>
      <c r="P86" s="115">
        <v>10.66</v>
      </c>
      <c r="Q86" s="115">
        <v>3.31</v>
      </c>
      <c r="R86" s="115">
        <v>5.86</v>
      </c>
      <c r="S86" s="115">
        <v>10.69</v>
      </c>
      <c r="T86" s="115">
        <v>17.260000000000002</v>
      </c>
      <c r="U86" s="115">
        <v>14.82</v>
      </c>
      <c r="V86" s="115">
        <v>2.46</v>
      </c>
      <c r="W86" s="115">
        <v>7.01</v>
      </c>
      <c r="X86" s="115">
        <v>11.33</v>
      </c>
      <c r="Y86" s="115">
        <v>12.95</v>
      </c>
      <c r="Z86" s="115">
        <v>9.3699999999999992</v>
      </c>
      <c r="AA86" s="115">
        <v>2.31</v>
      </c>
      <c r="AB86" s="115">
        <v>7.98</v>
      </c>
      <c r="AC86" s="115">
        <v>9.66</v>
      </c>
      <c r="AD86" s="115">
        <v>17.350000000000001</v>
      </c>
      <c r="AE86" s="130">
        <v>13.17</v>
      </c>
    </row>
    <row r="87" spans="1:31" x14ac:dyDescent="0.25">
      <c r="A87" s="73" t="s">
        <v>606</v>
      </c>
      <c r="B87" s="115">
        <v>2</v>
      </c>
      <c r="C87" s="115">
        <v>5.51</v>
      </c>
      <c r="D87" s="115">
        <v>11.58</v>
      </c>
      <c r="E87" s="115">
        <v>19.87</v>
      </c>
      <c r="F87" s="115">
        <v>15.59</v>
      </c>
      <c r="G87" s="115">
        <v>3.97</v>
      </c>
      <c r="H87" s="115">
        <v>5.81</v>
      </c>
      <c r="I87" s="115">
        <v>11.82</v>
      </c>
      <c r="J87" s="115">
        <v>19.7</v>
      </c>
      <c r="K87" s="115">
        <v>12.76</v>
      </c>
      <c r="L87" s="115">
        <v>3.93</v>
      </c>
      <c r="M87" s="115">
        <v>6.2</v>
      </c>
      <c r="N87" s="115">
        <v>11.7</v>
      </c>
      <c r="O87" s="115">
        <v>12.96</v>
      </c>
      <c r="P87" s="115">
        <v>11.25</v>
      </c>
      <c r="Q87" s="115">
        <v>2.72</v>
      </c>
      <c r="R87" s="115">
        <v>7.49</v>
      </c>
      <c r="S87" s="115">
        <v>8.5399999999999991</v>
      </c>
      <c r="T87" s="115">
        <v>13.64</v>
      </c>
      <c r="U87" s="115">
        <v>9.75</v>
      </c>
      <c r="V87" s="115">
        <v>2.12</v>
      </c>
      <c r="W87" s="115">
        <v>5.01</v>
      </c>
      <c r="X87" s="115">
        <v>10.029999999999999</v>
      </c>
      <c r="Y87" s="115">
        <v>14.25</v>
      </c>
      <c r="Z87" s="115">
        <v>15.08</v>
      </c>
      <c r="AA87" s="115">
        <v>3.9</v>
      </c>
      <c r="AB87" s="115">
        <v>7.44</v>
      </c>
      <c r="AC87" s="115">
        <v>8.61</v>
      </c>
      <c r="AD87" s="115">
        <v>11.77</v>
      </c>
      <c r="AE87" s="130">
        <v>10.1</v>
      </c>
    </row>
    <row r="88" spans="1:31" x14ac:dyDescent="0.25">
      <c r="A88" s="73" t="s">
        <v>607</v>
      </c>
      <c r="B88" s="115">
        <v>3.72</v>
      </c>
      <c r="C88" s="115">
        <v>5.57</v>
      </c>
      <c r="D88" s="115">
        <v>8.4</v>
      </c>
      <c r="E88" s="115">
        <v>12.22</v>
      </c>
      <c r="F88" s="115">
        <v>15.1</v>
      </c>
      <c r="G88" s="115">
        <v>3.38</v>
      </c>
      <c r="H88" s="115">
        <v>6.39</v>
      </c>
      <c r="I88" s="115">
        <v>9.09</v>
      </c>
      <c r="J88" s="115">
        <v>14.74</v>
      </c>
      <c r="K88" s="115">
        <v>11.2</v>
      </c>
      <c r="L88" s="115">
        <v>3.19</v>
      </c>
      <c r="M88" s="115">
        <v>7.42</v>
      </c>
      <c r="N88" s="115">
        <v>9.58</v>
      </c>
      <c r="O88" s="115">
        <v>15.82</v>
      </c>
      <c r="P88" s="115">
        <v>14.11</v>
      </c>
      <c r="Q88" s="115">
        <v>2.12</v>
      </c>
      <c r="R88" s="115">
        <v>7.84</v>
      </c>
      <c r="S88" s="115">
        <v>9.41</v>
      </c>
      <c r="T88" s="115">
        <v>15.3</v>
      </c>
      <c r="U88" s="115">
        <v>10.36</v>
      </c>
      <c r="V88" s="115">
        <v>2.44</v>
      </c>
      <c r="W88" s="115">
        <v>5.03</v>
      </c>
      <c r="X88" s="115">
        <v>7.43</v>
      </c>
      <c r="Y88" s="115">
        <v>19.34</v>
      </c>
      <c r="Z88" s="115">
        <v>14.95</v>
      </c>
      <c r="AA88" s="115">
        <v>2.93</v>
      </c>
      <c r="AB88" s="115">
        <v>5.89</v>
      </c>
      <c r="AC88" s="115">
        <v>7.92</v>
      </c>
      <c r="AD88" s="115">
        <v>13.73</v>
      </c>
      <c r="AE88" s="130">
        <v>15.79</v>
      </c>
    </row>
    <row r="89" spans="1:31" x14ac:dyDescent="0.25">
      <c r="A89" s="73" t="s">
        <v>608</v>
      </c>
      <c r="B89" s="115">
        <v>2.52</v>
      </c>
      <c r="C89" s="115">
        <v>6.92</v>
      </c>
      <c r="D89" s="115">
        <v>8.09</v>
      </c>
      <c r="E89" s="115">
        <v>12.12</v>
      </c>
      <c r="F89" s="115">
        <v>15.9</v>
      </c>
      <c r="G89" s="115">
        <v>3.41</v>
      </c>
      <c r="H89" s="115">
        <v>7.12</v>
      </c>
      <c r="I89" s="115">
        <v>9.27</v>
      </c>
      <c r="J89" s="115">
        <v>18.690000000000001</v>
      </c>
      <c r="K89" s="115">
        <v>13.15</v>
      </c>
      <c r="L89" s="115">
        <v>2.89</v>
      </c>
      <c r="M89" s="115">
        <v>5.62</v>
      </c>
      <c r="N89" s="115">
        <v>11.23</v>
      </c>
      <c r="O89" s="115">
        <v>19.57</v>
      </c>
      <c r="P89" s="115">
        <v>13.15</v>
      </c>
      <c r="Q89" s="115">
        <v>3.27</v>
      </c>
      <c r="R89" s="115">
        <v>6.24</v>
      </c>
      <c r="S89" s="115">
        <v>10.26</v>
      </c>
      <c r="T89" s="115">
        <v>13.28</v>
      </c>
      <c r="U89" s="115">
        <v>9.35</v>
      </c>
      <c r="V89" s="115">
        <v>2.84</v>
      </c>
      <c r="W89" s="115">
        <v>7.02</v>
      </c>
      <c r="X89" s="115">
        <v>8.35</v>
      </c>
      <c r="Y89" s="115">
        <v>12.68</v>
      </c>
      <c r="Z89" s="115">
        <v>10.14</v>
      </c>
      <c r="AA89" s="115">
        <v>2.23</v>
      </c>
      <c r="AB89" s="115">
        <v>6.09</v>
      </c>
      <c r="AC89" s="115">
        <v>8.76</v>
      </c>
      <c r="AD89" s="115">
        <v>18.18</v>
      </c>
      <c r="AE89" s="130">
        <v>11.78</v>
      </c>
    </row>
    <row r="90" spans="1:31" x14ac:dyDescent="0.25">
      <c r="A90" s="73" t="s">
        <v>609</v>
      </c>
      <c r="B90" s="115">
        <v>3.77</v>
      </c>
      <c r="C90" s="115">
        <v>5.5</v>
      </c>
      <c r="D90" s="115">
        <v>8.32</v>
      </c>
      <c r="E90" s="115">
        <v>19.02</v>
      </c>
      <c r="F90" s="115">
        <v>13.28</v>
      </c>
      <c r="G90" s="115">
        <v>2.2200000000000002</v>
      </c>
      <c r="H90" s="115">
        <v>6.45</v>
      </c>
      <c r="I90" s="115">
        <v>11.99</v>
      </c>
      <c r="J90" s="115">
        <v>12.68</v>
      </c>
      <c r="K90" s="115">
        <v>12.15</v>
      </c>
      <c r="L90" s="115">
        <v>3.27</v>
      </c>
      <c r="M90" s="115">
        <v>6.94</v>
      </c>
      <c r="N90" s="115">
        <v>10.42</v>
      </c>
      <c r="O90" s="115">
        <v>16.03</v>
      </c>
      <c r="P90" s="115">
        <v>13.91</v>
      </c>
      <c r="Q90" s="115">
        <v>2.13</v>
      </c>
      <c r="R90" s="115">
        <v>7.98</v>
      </c>
      <c r="S90" s="115">
        <v>11.39</v>
      </c>
      <c r="T90" s="115">
        <v>19.93</v>
      </c>
      <c r="U90" s="115">
        <v>12.75</v>
      </c>
      <c r="V90" s="115">
        <v>2.04</v>
      </c>
      <c r="W90" s="115">
        <v>7.05</v>
      </c>
      <c r="X90" s="115">
        <v>9.31</v>
      </c>
      <c r="Y90" s="115">
        <v>12.2</v>
      </c>
      <c r="Z90" s="115">
        <v>13.17</v>
      </c>
      <c r="AA90" s="115">
        <v>2.13</v>
      </c>
      <c r="AB90" s="115">
        <v>6.06</v>
      </c>
      <c r="AC90" s="115">
        <v>8.33</v>
      </c>
      <c r="AD90" s="115">
        <v>17.21</v>
      </c>
      <c r="AE90" s="130">
        <v>15.35</v>
      </c>
    </row>
    <row r="91" spans="1:31" x14ac:dyDescent="0.25">
      <c r="A91" s="73" t="s">
        <v>610</v>
      </c>
      <c r="B91" s="115">
        <v>3.47</v>
      </c>
      <c r="C91" s="115">
        <v>5.39</v>
      </c>
      <c r="D91" s="115">
        <v>11.17</v>
      </c>
      <c r="E91" s="115">
        <v>11.45</v>
      </c>
      <c r="F91" s="115">
        <v>9.6300000000000008</v>
      </c>
      <c r="G91" s="115">
        <v>3.31</v>
      </c>
      <c r="H91" s="115">
        <v>7.74</v>
      </c>
      <c r="I91" s="115">
        <v>9.2200000000000006</v>
      </c>
      <c r="J91" s="115">
        <v>12.88</v>
      </c>
      <c r="K91" s="115">
        <v>12.64</v>
      </c>
      <c r="L91" s="115">
        <v>3.97</v>
      </c>
      <c r="M91" s="115">
        <v>6.42</v>
      </c>
      <c r="N91" s="115">
        <v>10.32</v>
      </c>
      <c r="O91" s="115">
        <v>14.9</v>
      </c>
      <c r="P91" s="115">
        <v>14.29</v>
      </c>
      <c r="Q91" s="115">
        <v>3.66</v>
      </c>
      <c r="R91" s="115">
        <v>5.44</v>
      </c>
      <c r="S91" s="115">
        <v>8.51</v>
      </c>
      <c r="T91" s="115">
        <v>11.95</v>
      </c>
      <c r="U91" s="115">
        <v>14.29</v>
      </c>
      <c r="V91" s="115">
        <v>2.33</v>
      </c>
      <c r="W91" s="115">
        <v>6.11</v>
      </c>
      <c r="X91" s="115">
        <v>9.68</v>
      </c>
      <c r="Y91" s="115">
        <v>13.88</v>
      </c>
      <c r="Z91" s="115">
        <v>9.4600000000000009</v>
      </c>
      <c r="AA91" s="115">
        <v>2.44</v>
      </c>
      <c r="AB91" s="115">
        <v>5.82</v>
      </c>
      <c r="AC91" s="115">
        <v>7.65</v>
      </c>
      <c r="AD91" s="115">
        <v>18.61</v>
      </c>
      <c r="AE91" s="130">
        <v>15.6</v>
      </c>
    </row>
    <row r="92" spans="1:31" x14ac:dyDescent="0.25">
      <c r="A92" s="73" t="s">
        <v>611</v>
      </c>
      <c r="B92" s="115">
        <v>2.42</v>
      </c>
      <c r="C92" s="115">
        <v>7</v>
      </c>
      <c r="D92" s="115">
        <v>9.74</v>
      </c>
      <c r="E92" s="115">
        <v>17.21</v>
      </c>
      <c r="F92" s="115">
        <v>9.07</v>
      </c>
      <c r="G92" s="115">
        <v>3.04</v>
      </c>
      <c r="H92" s="115">
        <v>5.55</v>
      </c>
      <c r="I92" s="115">
        <v>10.65</v>
      </c>
      <c r="J92" s="115">
        <v>17.14</v>
      </c>
      <c r="K92" s="115">
        <v>9.43</v>
      </c>
      <c r="L92" s="115">
        <v>2.61</v>
      </c>
      <c r="M92" s="115">
        <v>7.72</v>
      </c>
      <c r="N92" s="115">
        <v>8.02</v>
      </c>
      <c r="O92" s="115">
        <v>12.09</v>
      </c>
      <c r="P92" s="115">
        <v>9.9700000000000006</v>
      </c>
      <c r="Q92" s="115">
        <v>2.21</v>
      </c>
      <c r="R92" s="115">
        <v>6.48</v>
      </c>
      <c r="S92" s="115">
        <v>11.25</v>
      </c>
      <c r="T92" s="115">
        <v>15.05</v>
      </c>
      <c r="U92" s="115">
        <v>9.8000000000000007</v>
      </c>
      <c r="V92" s="115">
        <v>2.78</v>
      </c>
      <c r="W92" s="115">
        <v>7.41</v>
      </c>
      <c r="X92" s="115">
        <v>9.82</v>
      </c>
      <c r="Y92" s="115">
        <v>18.41</v>
      </c>
      <c r="Z92" s="115">
        <v>10.25</v>
      </c>
      <c r="AA92" s="115">
        <v>3.79</v>
      </c>
      <c r="AB92" s="115">
        <v>5.52</v>
      </c>
      <c r="AC92" s="115">
        <v>7.42</v>
      </c>
      <c r="AD92" s="115">
        <v>13.49</v>
      </c>
      <c r="AE92" s="130">
        <v>10.49</v>
      </c>
    </row>
    <row r="93" spans="1:31" x14ac:dyDescent="0.25">
      <c r="A93" s="73" t="s">
        <v>612</v>
      </c>
      <c r="B93" s="115">
        <v>2.76</v>
      </c>
      <c r="C93" s="115">
        <v>5.5</v>
      </c>
      <c r="D93" s="115">
        <v>11.7</v>
      </c>
      <c r="E93" s="115">
        <v>16.22</v>
      </c>
      <c r="F93" s="115">
        <v>9.49</v>
      </c>
      <c r="G93" s="115">
        <v>3.82</v>
      </c>
      <c r="H93" s="115">
        <v>7.31</v>
      </c>
      <c r="I93" s="115">
        <v>8.01</v>
      </c>
      <c r="J93" s="115">
        <v>13.17</v>
      </c>
      <c r="K93" s="115">
        <v>15.5</v>
      </c>
      <c r="L93" s="115">
        <v>2.4300000000000002</v>
      </c>
      <c r="M93" s="115">
        <v>7.69</v>
      </c>
      <c r="N93" s="115">
        <v>7.57</v>
      </c>
      <c r="O93" s="115">
        <v>18.829999999999998</v>
      </c>
      <c r="P93" s="115">
        <v>12.62</v>
      </c>
      <c r="Q93" s="115">
        <v>3.37</v>
      </c>
      <c r="R93" s="115">
        <v>7.6</v>
      </c>
      <c r="S93" s="115">
        <v>11</v>
      </c>
      <c r="T93" s="115">
        <v>18.03</v>
      </c>
      <c r="U93" s="115">
        <v>10.86</v>
      </c>
      <c r="V93" s="115">
        <v>2.31</v>
      </c>
      <c r="W93" s="115">
        <v>5.69</v>
      </c>
      <c r="X93" s="115">
        <v>11.88</v>
      </c>
      <c r="Y93" s="115">
        <v>15.57</v>
      </c>
      <c r="Z93" s="115">
        <v>12.87</v>
      </c>
      <c r="AA93" s="115">
        <v>3.16</v>
      </c>
      <c r="AB93" s="115">
        <v>7.14</v>
      </c>
      <c r="AC93" s="115">
        <v>10.46</v>
      </c>
      <c r="AD93" s="115">
        <v>18.72</v>
      </c>
      <c r="AE93" s="130">
        <v>10.74</v>
      </c>
    </row>
    <row r="94" spans="1:31" x14ac:dyDescent="0.25">
      <c r="A94" s="73" t="s">
        <v>613</v>
      </c>
      <c r="B94" s="115">
        <v>3.78</v>
      </c>
      <c r="C94" s="115">
        <v>5.28</v>
      </c>
      <c r="D94" s="115">
        <v>9.6</v>
      </c>
      <c r="E94" s="115">
        <v>13.12</v>
      </c>
      <c r="F94" s="115">
        <v>15.96</v>
      </c>
      <c r="G94" s="115">
        <v>2.21</v>
      </c>
      <c r="H94" s="115">
        <v>5.18</v>
      </c>
      <c r="I94" s="115">
        <v>9.64</v>
      </c>
      <c r="J94" s="115">
        <v>12.32</v>
      </c>
      <c r="K94" s="115">
        <v>12.61</v>
      </c>
      <c r="L94" s="115">
        <v>2.71</v>
      </c>
      <c r="M94" s="115">
        <v>7.49</v>
      </c>
      <c r="N94" s="115">
        <v>9.77</v>
      </c>
      <c r="O94" s="115">
        <v>12.53</v>
      </c>
      <c r="P94" s="115">
        <v>11.38</v>
      </c>
      <c r="Q94" s="115">
        <v>2.2999999999999998</v>
      </c>
      <c r="R94" s="115">
        <v>6.1</v>
      </c>
      <c r="S94" s="115">
        <v>9.01</v>
      </c>
      <c r="T94" s="115">
        <v>17.16</v>
      </c>
      <c r="U94" s="115">
        <v>10.220000000000001</v>
      </c>
      <c r="V94" s="115">
        <v>2.76</v>
      </c>
      <c r="W94" s="115">
        <v>5.12</v>
      </c>
      <c r="X94" s="115">
        <v>8.83</v>
      </c>
      <c r="Y94" s="115">
        <v>16.75</v>
      </c>
      <c r="Z94" s="115">
        <v>11.19</v>
      </c>
      <c r="AA94" s="115">
        <v>3.78</v>
      </c>
      <c r="AB94" s="115">
        <v>5.07</v>
      </c>
      <c r="AC94" s="115">
        <v>11.65</v>
      </c>
      <c r="AD94" s="115">
        <v>14.36</v>
      </c>
      <c r="AE94" s="130">
        <v>13.69</v>
      </c>
    </row>
    <row r="95" spans="1:31" x14ac:dyDescent="0.25">
      <c r="A95" s="73" t="s">
        <v>614</v>
      </c>
      <c r="B95" s="115">
        <v>3.2</v>
      </c>
      <c r="C95" s="115">
        <v>6.87</v>
      </c>
      <c r="D95" s="115">
        <v>10.97</v>
      </c>
      <c r="E95" s="115">
        <v>17.87</v>
      </c>
      <c r="F95" s="115">
        <v>9.77</v>
      </c>
      <c r="G95" s="115">
        <v>3.88</v>
      </c>
      <c r="H95" s="115">
        <v>7.88</v>
      </c>
      <c r="I95" s="115">
        <v>11.44</v>
      </c>
      <c r="J95" s="115">
        <v>18.989999999999998</v>
      </c>
      <c r="K95" s="115">
        <v>9.48</v>
      </c>
      <c r="L95" s="115">
        <v>3.01</v>
      </c>
      <c r="M95" s="115">
        <v>7.42</v>
      </c>
      <c r="N95" s="115">
        <v>10.56</v>
      </c>
      <c r="O95" s="115">
        <v>17.68</v>
      </c>
      <c r="P95" s="115">
        <v>9.66</v>
      </c>
      <c r="Q95" s="115">
        <v>3.48</v>
      </c>
      <c r="R95" s="115">
        <v>6.76</v>
      </c>
      <c r="S95" s="115">
        <v>7.76</v>
      </c>
      <c r="T95" s="115">
        <v>13.09</v>
      </c>
      <c r="U95" s="115">
        <v>14.56</v>
      </c>
      <c r="V95" s="115">
        <v>3.02</v>
      </c>
      <c r="W95" s="115">
        <v>6.89</v>
      </c>
      <c r="X95" s="115">
        <v>11.2</v>
      </c>
      <c r="Y95" s="115">
        <v>18.22</v>
      </c>
      <c r="Z95" s="115">
        <v>9.84</v>
      </c>
      <c r="AA95" s="115">
        <v>3.73</v>
      </c>
      <c r="AB95" s="115">
        <v>6.08</v>
      </c>
      <c r="AC95" s="115">
        <v>9.86</v>
      </c>
      <c r="AD95" s="115">
        <v>12.21</v>
      </c>
      <c r="AE95" s="130">
        <v>14.45</v>
      </c>
    </row>
    <row r="96" spans="1:31" x14ac:dyDescent="0.25">
      <c r="A96" s="73" t="s">
        <v>615</v>
      </c>
      <c r="B96" s="115">
        <v>2.0299999999999998</v>
      </c>
      <c r="C96" s="115">
        <v>8</v>
      </c>
      <c r="D96" s="115">
        <v>10.87</v>
      </c>
      <c r="E96" s="115">
        <v>15.95</v>
      </c>
      <c r="F96" s="115">
        <v>10.8</v>
      </c>
      <c r="G96" s="115">
        <v>2.63</v>
      </c>
      <c r="H96" s="115">
        <v>6.93</v>
      </c>
      <c r="I96" s="115">
        <v>7.95</v>
      </c>
      <c r="J96" s="115">
        <v>19.850000000000001</v>
      </c>
      <c r="K96" s="115">
        <v>11.16</v>
      </c>
      <c r="L96" s="115">
        <v>2.83</v>
      </c>
      <c r="M96" s="115">
        <v>6.79</v>
      </c>
      <c r="N96" s="115">
        <v>11.65</v>
      </c>
      <c r="O96" s="115">
        <v>18.940000000000001</v>
      </c>
      <c r="P96" s="115">
        <v>15.2</v>
      </c>
      <c r="Q96" s="115">
        <v>2.6</v>
      </c>
      <c r="R96" s="115">
        <v>5.46</v>
      </c>
      <c r="S96" s="115">
        <v>11.05</v>
      </c>
      <c r="T96" s="115">
        <v>11.37</v>
      </c>
      <c r="U96" s="115">
        <v>14.37</v>
      </c>
      <c r="V96" s="115">
        <v>3.23</v>
      </c>
      <c r="W96" s="115">
        <v>5.04</v>
      </c>
      <c r="X96" s="115">
        <v>9.7899999999999991</v>
      </c>
      <c r="Y96" s="115">
        <v>17.5</v>
      </c>
      <c r="Z96" s="115">
        <v>11.3</v>
      </c>
      <c r="AA96" s="115">
        <v>2.2999999999999998</v>
      </c>
      <c r="AB96" s="115">
        <v>6.18</v>
      </c>
      <c r="AC96" s="115">
        <v>8.9499999999999993</v>
      </c>
      <c r="AD96" s="115">
        <v>18.28</v>
      </c>
      <c r="AE96" s="130">
        <v>12.47</v>
      </c>
    </row>
    <row r="97" spans="1:31" x14ac:dyDescent="0.25">
      <c r="A97" s="73" t="s">
        <v>616</v>
      </c>
      <c r="B97" s="115">
        <v>3.39</v>
      </c>
      <c r="C97" s="115">
        <v>5.97</v>
      </c>
      <c r="D97" s="115">
        <v>8.49</v>
      </c>
      <c r="E97" s="115">
        <v>15.54</v>
      </c>
      <c r="F97" s="115">
        <v>14.8</v>
      </c>
      <c r="G97" s="115">
        <v>2.0499999999999998</v>
      </c>
      <c r="H97" s="115">
        <v>7.29</v>
      </c>
      <c r="I97" s="115">
        <v>7.58</v>
      </c>
      <c r="J97" s="115">
        <v>18.61</v>
      </c>
      <c r="K97" s="115">
        <v>15.47</v>
      </c>
      <c r="L97" s="115">
        <v>3.93</v>
      </c>
      <c r="M97" s="115">
        <v>7.32</v>
      </c>
      <c r="N97" s="115">
        <v>11.3</v>
      </c>
      <c r="O97" s="115">
        <v>16.399999999999999</v>
      </c>
      <c r="P97" s="115">
        <v>10.87</v>
      </c>
      <c r="Q97" s="115">
        <v>3.06</v>
      </c>
      <c r="R97" s="115">
        <v>5.88</v>
      </c>
      <c r="S97" s="115">
        <v>9.4</v>
      </c>
      <c r="T97" s="115">
        <v>18.13</v>
      </c>
      <c r="U97" s="115">
        <v>10.48</v>
      </c>
      <c r="V97" s="115">
        <v>3.76</v>
      </c>
      <c r="W97" s="115">
        <v>6.6</v>
      </c>
      <c r="X97" s="115">
        <v>10.53</v>
      </c>
      <c r="Y97" s="115">
        <v>11.94</v>
      </c>
      <c r="Z97" s="115">
        <v>14.15</v>
      </c>
      <c r="AA97" s="115">
        <v>3.94</v>
      </c>
      <c r="AB97" s="115">
        <v>7.15</v>
      </c>
      <c r="AC97" s="115">
        <v>9.57</v>
      </c>
      <c r="AD97" s="115">
        <v>14.86</v>
      </c>
      <c r="AE97" s="130">
        <v>14.93</v>
      </c>
    </row>
    <row r="98" spans="1:31" x14ac:dyDescent="0.25">
      <c r="A98" s="73" t="s">
        <v>617</v>
      </c>
      <c r="B98" s="115">
        <v>2.4300000000000002</v>
      </c>
      <c r="C98" s="115">
        <v>5.59</v>
      </c>
      <c r="D98" s="115">
        <v>11.71</v>
      </c>
      <c r="E98" s="115">
        <v>18.87</v>
      </c>
      <c r="F98" s="115">
        <v>9.18</v>
      </c>
      <c r="G98" s="115">
        <v>3.18</v>
      </c>
      <c r="H98" s="115">
        <v>6.96</v>
      </c>
      <c r="I98" s="115">
        <v>9.73</v>
      </c>
      <c r="J98" s="115">
        <v>18.68</v>
      </c>
      <c r="K98" s="115">
        <v>14.02</v>
      </c>
      <c r="L98" s="115">
        <v>3.2</v>
      </c>
      <c r="M98" s="115">
        <v>5.0599999999999996</v>
      </c>
      <c r="N98" s="115">
        <v>10.039999999999999</v>
      </c>
      <c r="O98" s="115">
        <v>17.53</v>
      </c>
      <c r="P98" s="115">
        <v>14.14</v>
      </c>
      <c r="Q98" s="115">
        <v>2.42</v>
      </c>
      <c r="R98" s="115">
        <v>5.58</v>
      </c>
      <c r="S98" s="115">
        <v>11.13</v>
      </c>
      <c r="T98" s="115">
        <v>14.01</v>
      </c>
      <c r="U98" s="115">
        <v>10.050000000000001</v>
      </c>
      <c r="V98" s="115">
        <v>2.92</v>
      </c>
      <c r="W98" s="115">
        <v>5.56</v>
      </c>
      <c r="X98" s="115">
        <v>8.85</v>
      </c>
      <c r="Y98" s="115">
        <v>12.8</v>
      </c>
      <c r="Z98" s="115">
        <v>9.3800000000000008</v>
      </c>
      <c r="AA98" s="115">
        <v>3.86</v>
      </c>
      <c r="AB98" s="115">
        <v>6</v>
      </c>
      <c r="AC98" s="115">
        <v>11.61</v>
      </c>
      <c r="AD98" s="115">
        <v>11.93</v>
      </c>
      <c r="AE98" s="130">
        <v>12.43</v>
      </c>
    </row>
    <row r="99" spans="1:31" x14ac:dyDescent="0.25">
      <c r="A99" s="73" t="s">
        <v>618</v>
      </c>
      <c r="B99" s="115">
        <v>3.25</v>
      </c>
      <c r="C99" s="115">
        <v>5.41</v>
      </c>
      <c r="D99" s="115">
        <v>7.36</v>
      </c>
      <c r="E99" s="115">
        <v>13.42</v>
      </c>
      <c r="F99" s="115">
        <v>13.58</v>
      </c>
      <c r="G99" s="115">
        <v>2.2799999999999998</v>
      </c>
      <c r="H99" s="115">
        <v>7.98</v>
      </c>
      <c r="I99" s="115">
        <v>11.95</v>
      </c>
      <c r="J99" s="115">
        <v>15.52</v>
      </c>
      <c r="K99" s="115">
        <v>15.6</v>
      </c>
      <c r="L99" s="115">
        <v>2.56</v>
      </c>
      <c r="M99" s="115">
        <v>7.17</v>
      </c>
      <c r="N99" s="115">
        <v>7.98</v>
      </c>
      <c r="O99" s="115">
        <v>13.41</v>
      </c>
      <c r="P99" s="115">
        <v>15.95</v>
      </c>
      <c r="Q99" s="115">
        <v>3.1</v>
      </c>
      <c r="R99" s="115">
        <v>5.71</v>
      </c>
      <c r="S99" s="115">
        <v>9.1</v>
      </c>
      <c r="T99" s="115">
        <v>14.32</v>
      </c>
      <c r="U99" s="115">
        <v>11.99</v>
      </c>
      <c r="V99" s="115">
        <v>3.35</v>
      </c>
      <c r="W99" s="115">
        <v>6.43</v>
      </c>
      <c r="X99" s="115">
        <v>10.84</v>
      </c>
      <c r="Y99" s="115">
        <v>14.77</v>
      </c>
      <c r="Z99" s="115">
        <v>9.85</v>
      </c>
      <c r="AA99" s="115">
        <v>2.81</v>
      </c>
      <c r="AB99" s="115">
        <v>7.19</v>
      </c>
      <c r="AC99" s="115">
        <v>7.26</v>
      </c>
      <c r="AD99" s="115">
        <v>19.260000000000002</v>
      </c>
      <c r="AE99" s="130">
        <v>14.19</v>
      </c>
    </row>
    <row r="100" spans="1:31" x14ac:dyDescent="0.25">
      <c r="A100" s="73" t="s">
        <v>619</v>
      </c>
      <c r="B100" s="115">
        <v>2.8</v>
      </c>
      <c r="C100" s="115">
        <v>6.6</v>
      </c>
      <c r="D100" s="115">
        <v>8.76</v>
      </c>
      <c r="E100" s="115">
        <v>13.11</v>
      </c>
      <c r="F100" s="115">
        <v>11.05</v>
      </c>
      <c r="G100" s="115">
        <v>2.85</v>
      </c>
      <c r="H100" s="115">
        <v>5.07</v>
      </c>
      <c r="I100" s="115">
        <v>9.65</v>
      </c>
      <c r="J100" s="115">
        <v>16.54</v>
      </c>
      <c r="K100" s="115">
        <v>15.98</v>
      </c>
      <c r="L100" s="115">
        <v>2.29</v>
      </c>
      <c r="M100" s="115">
        <v>7.97</v>
      </c>
      <c r="N100" s="115">
        <v>11.64</v>
      </c>
      <c r="O100" s="115">
        <v>17.850000000000001</v>
      </c>
      <c r="P100" s="115">
        <v>15.51</v>
      </c>
      <c r="Q100" s="115">
        <v>3.8</v>
      </c>
      <c r="R100" s="115">
        <v>6.49</v>
      </c>
      <c r="S100" s="115">
        <v>7.37</v>
      </c>
      <c r="T100" s="115">
        <v>16.95</v>
      </c>
      <c r="U100" s="115">
        <v>14.5</v>
      </c>
      <c r="V100" s="115">
        <v>3.55</v>
      </c>
      <c r="W100" s="115">
        <v>7.83</v>
      </c>
      <c r="X100" s="115">
        <v>8.66</v>
      </c>
      <c r="Y100" s="115">
        <v>13.51</v>
      </c>
      <c r="Z100" s="115">
        <v>9.43</v>
      </c>
      <c r="AA100" s="115">
        <v>2.4500000000000002</v>
      </c>
      <c r="AB100" s="115">
        <v>7.38</v>
      </c>
      <c r="AC100" s="115">
        <v>11.63</v>
      </c>
      <c r="AD100" s="115">
        <v>11.79</v>
      </c>
      <c r="AE100" s="130">
        <v>12.45</v>
      </c>
    </row>
    <row r="101" spans="1:31" x14ac:dyDescent="0.25">
      <c r="A101" s="73" t="s">
        <v>620</v>
      </c>
      <c r="B101" s="115">
        <v>3.63</v>
      </c>
      <c r="C101" s="115">
        <v>5.61</v>
      </c>
      <c r="D101" s="115">
        <v>8.5399999999999991</v>
      </c>
      <c r="E101" s="115">
        <v>15.71</v>
      </c>
      <c r="F101" s="115">
        <v>12.03</v>
      </c>
      <c r="G101" s="115">
        <v>3.86</v>
      </c>
      <c r="H101" s="115">
        <v>7.94</v>
      </c>
      <c r="I101" s="115">
        <v>8.75</v>
      </c>
      <c r="J101" s="115">
        <v>13.7</v>
      </c>
      <c r="K101" s="115">
        <v>12.65</v>
      </c>
      <c r="L101" s="115">
        <v>2.29</v>
      </c>
      <c r="M101" s="115">
        <v>5.26</v>
      </c>
      <c r="N101" s="115">
        <v>10.130000000000001</v>
      </c>
      <c r="O101" s="115">
        <v>18.52</v>
      </c>
      <c r="P101" s="115">
        <v>15.29</v>
      </c>
      <c r="Q101" s="115">
        <v>3.65</v>
      </c>
      <c r="R101" s="115">
        <v>5.34</v>
      </c>
      <c r="S101" s="115">
        <v>8.7799999999999994</v>
      </c>
      <c r="T101" s="115">
        <v>18.8</v>
      </c>
      <c r="U101" s="115">
        <v>15.48</v>
      </c>
      <c r="V101" s="115">
        <v>3.28</v>
      </c>
      <c r="W101" s="115">
        <v>6.77</v>
      </c>
      <c r="X101" s="115">
        <v>7.05</v>
      </c>
      <c r="Y101" s="115">
        <v>18.350000000000001</v>
      </c>
      <c r="Z101" s="115">
        <v>10.43</v>
      </c>
      <c r="AA101" s="115">
        <v>3.42</v>
      </c>
      <c r="AB101" s="115">
        <v>7.03</v>
      </c>
      <c r="AC101" s="115">
        <v>9.0299999999999994</v>
      </c>
      <c r="AD101" s="115">
        <v>13.27</v>
      </c>
      <c r="AE101" s="130">
        <v>15.11</v>
      </c>
    </row>
    <row r="102" spans="1:31" x14ac:dyDescent="0.25">
      <c r="A102" s="73" t="s">
        <v>621</v>
      </c>
      <c r="B102" s="115">
        <v>3.23</v>
      </c>
      <c r="C102" s="115">
        <v>5.32</v>
      </c>
      <c r="D102" s="115">
        <v>11.95</v>
      </c>
      <c r="E102" s="115">
        <v>12.61</v>
      </c>
      <c r="F102" s="115">
        <v>15.56</v>
      </c>
      <c r="G102" s="115">
        <v>2.7</v>
      </c>
      <c r="H102" s="115">
        <v>6.69</v>
      </c>
      <c r="I102" s="115">
        <v>11.82</v>
      </c>
      <c r="J102" s="115">
        <v>13.7</v>
      </c>
      <c r="K102" s="115">
        <v>13.52</v>
      </c>
      <c r="L102" s="115">
        <v>3.69</v>
      </c>
      <c r="M102" s="115">
        <v>5.65</v>
      </c>
      <c r="N102" s="115">
        <v>10.37</v>
      </c>
      <c r="O102" s="115">
        <v>14.75</v>
      </c>
      <c r="P102" s="115">
        <v>14.42</v>
      </c>
      <c r="Q102" s="115">
        <v>3.59</v>
      </c>
      <c r="R102" s="115">
        <v>6.94</v>
      </c>
      <c r="S102" s="115">
        <v>9.32</v>
      </c>
      <c r="T102" s="115">
        <v>16.850000000000001</v>
      </c>
      <c r="U102" s="115">
        <v>9.31</v>
      </c>
      <c r="V102" s="115">
        <v>2.63</v>
      </c>
      <c r="W102" s="115">
        <v>7.93</v>
      </c>
      <c r="X102" s="115">
        <v>10.23</v>
      </c>
      <c r="Y102" s="115">
        <v>14.92</v>
      </c>
      <c r="Z102" s="115">
        <v>14.7</v>
      </c>
      <c r="AA102" s="115">
        <v>2.84</v>
      </c>
      <c r="AB102" s="115">
        <v>5.0199999999999996</v>
      </c>
      <c r="AC102" s="115">
        <v>11.97</v>
      </c>
      <c r="AD102" s="115">
        <v>12.74</v>
      </c>
      <c r="AE102" s="130">
        <v>13.82</v>
      </c>
    </row>
    <row r="103" spans="1:31" x14ac:dyDescent="0.25">
      <c r="A103" s="73" t="s">
        <v>622</v>
      </c>
      <c r="B103" s="115">
        <v>2.82</v>
      </c>
      <c r="C103" s="115">
        <v>6.76</v>
      </c>
      <c r="D103" s="115">
        <v>9.3699999999999992</v>
      </c>
      <c r="E103" s="115">
        <v>11.12</v>
      </c>
      <c r="F103" s="115">
        <v>15.99</v>
      </c>
      <c r="G103" s="115">
        <v>2.39</v>
      </c>
      <c r="H103" s="115">
        <v>5.54</v>
      </c>
      <c r="I103" s="115">
        <v>9.66</v>
      </c>
      <c r="J103" s="115">
        <v>14.3</v>
      </c>
      <c r="K103" s="115">
        <v>9.81</v>
      </c>
      <c r="L103" s="115">
        <v>3.38</v>
      </c>
      <c r="M103" s="115">
        <v>6.02</v>
      </c>
      <c r="N103" s="115">
        <v>9.9</v>
      </c>
      <c r="O103" s="115">
        <v>12.49</v>
      </c>
      <c r="P103" s="115">
        <v>10.050000000000001</v>
      </c>
      <c r="Q103" s="115">
        <v>2.06</v>
      </c>
      <c r="R103" s="115">
        <v>6.24</v>
      </c>
      <c r="S103" s="115">
        <v>11.21</v>
      </c>
      <c r="T103" s="115">
        <v>12.12</v>
      </c>
      <c r="U103" s="115">
        <v>14.87</v>
      </c>
      <c r="V103" s="115">
        <v>2.56</v>
      </c>
      <c r="W103" s="115">
        <v>7.94</v>
      </c>
      <c r="X103" s="115">
        <v>11.13</v>
      </c>
      <c r="Y103" s="115">
        <v>17.25</v>
      </c>
      <c r="Z103" s="115">
        <v>15.19</v>
      </c>
      <c r="AA103" s="115">
        <v>3.83</v>
      </c>
      <c r="AB103" s="115">
        <v>7.92</v>
      </c>
      <c r="AC103" s="115">
        <v>11.14</v>
      </c>
      <c r="AD103" s="115">
        <v>15.76</v>
      </c>
      <c r="AE103" s="130">
        <v>14.02</v>
      </c>
    </row>
    <row r="104" spans="1:31" x14ac:dyDescent="0.25">
      <c r="A104" s="73" t="s">
        <v>623</v>
      </c>
      <c r="B104" s="115">
        <v>3.23</v>
      </c>
      <c r="C104" s="115">
        <v>6.33</v>
      </c>
      <c r="D104" s="115">
        <v>7.62</v>
      </c>
      <c r="E104" s="115">
        <v>11.23</v>
      </c>
      <c r="F104" s="115">
        <v>12.33</v>
      </c>
      <c r="G104" s="115">
        <v>2.77</v>
      </c>
      <c r="H104" s="115">
        <v>7.29</v>
      </c>
      <c r="I104" s="115">
        <v>11.6</v>
      </c>
      <c r="J104" s="115">
        <v>11.52</v>
      </c>
      <c r="K104" s="115">
        <v>13.15</v>
      </c>
      <c r="L104" s="115">
        <v>2.29</v>
      </c>
      <c r="M104" s="115">
        <v>5.55</v>
      </c>
      <c r="N104" s="115">
        <v>7.18</v>
      </c>
      <c r="O104" s="115">
        <v>18.45</v>
      </c>
      <c r="P104" s="115">
        <v>13.27</v>
      </c>
      <c r="Q104" s="115">
        <v>3.97</v>
      </c>
      <c r="R104" s="115">
        <v>5.28</v>
      </c>
      <c r="S104" s="115">
        <v>11.6</v>
      </c>
      <c r="T104" s="115">
        <v>19.690000000000001</v>
      </c>
      <c r="U104" s="115">
        <v>11.29</v>
      </c>
      <c r="V104" s="115">
        <v>3.51</v>
      </c>
      <c r="W104" s="115">
        <v>6.5</v>
      </c>
      <c r="X104" s="115">
        <v>10.49</v>
      </c>
      <c r="Y104" s="115">
        <v>18.62</v>
      </c>
      <c r="Z104" s="115">
        <v>14.11</v>
      </c>
      <c r="AA104" s="115">
        <v>2.77</v>
      </c>
      <c r="AB104" s="115">
        <v>7.74</v>
      </c>
      <c r="AC104" s="115">
        <v>11.25</v>
      </c>
      <c r="AD104" s="115">
        <v>12.47</v>
      </c>
      <c r="AE104" s="130">
        <v>10.23</v>
      </c>
    </row>
    <row r="105" spans="1:31" x14ac:dyDescent="0.25">
      <c r="B105" s="131"/>
    </row>
    <row r="106" spans="1:31" x14ac:dyDescent="0.25">
      <c r="B106" s="131"/>
    </row>
    <row r="107" spans="1:31" x14ac:dyDescent="0.25">
      <c r="B107" s="131"/>
    </row>
    <row r="108" spans="1:31" x14ac:dyDescent="0.25">
      <c r="B108" s="131"/>
    </row>
    <row r="109" spans="1:31" x14ac:dyDescent="0.25">
      <c r="B109" s="131"/>
    </row>
    <row r="110" spans="1:31" x14ac:dyDescent="0.25">
      <c r="B110" s="131"/>
    </row>
    <row r="111" spans="1:31" x14ac:dyDescent="0.25">
      <c r="B111" s="131"/>
    </row>
    <row r="112" spans="1:31" x14ac:dyDescent="0.25">
      <c r="B112" s="131"/>
    </row>
  </sheetData>
  <mergeCells count="31">
    <mergeCell ref="L8:L12"/>
    <mergeCell ref="F8:F12"/>
    <mergeCell ref="A8:A12"/>
    <mergeCell ref="B8:B12"/>
    <mergeCell ref="C8:C12"/>
    <mergeCell ref="D8:D12"/>
    <mergeCell ref="E8:E12"/>
    <mergeCell ref="G8:G12"/>
    <mergeCell ref="H8:H12"/>
    <mergeCell ref="I8:I12"/>
    <mergeCell ref="J8:J12"/>
    <mergeCell ref="K8:K12"/>
    <mergeCell ref="AE8:AE12"/>
    <mergeCell ref="Y8:Y12"/>
    <mergeCell ref="Z8:Z12"/>
    <mergeCell ref="AA8:AA12"/>
    <mergeCell ref="AB8:AB12"/>
    <mergeCell ref="AC8:AC12"/>
    <mergeCell ref="AD8:AD12"/>
    <mergeCell ref="X8:X12"/>
    <mergeCell ref="M8:M12"/>
    <mergeCell ref="N8:N12"/>
    <mergeCell ref="S8:S12"/>
    <mergeCell ref="T8:T12"/>
    <mergeCell ref="U8:U12"/>
    <mergeCell ref="V8:V12"/>
    <mergeCell ref="W8:W12"/>
    <mergeCell ref="O8:O12"/>
    <mergeCell ref="P8:P12"/>
    <mergeCell ref="Q8:Q12"/>
    <mergeCell ref="R8:R12"/>
  </mergeCells>
  <printOptions horizontalCentered="1" verticalCentered="1"/>
  <pageMargins left="0.70866141732283472" right="0.70866141732283472" top="0.74803149606299213" bottom="0.74803149606299213" header="0.31496062992125984" footer="0.31496062992125984"/>
  <pageSetup scale="85" orientation="portrait" r:id="rId1"/>
  <headerFooter>
    <oddHeader>&amp;L&amp;D&amp;CLapas &amp;P iš &amp;N lapų&amp;R&amp;T</oddHeader>
    <oddFooter>&amp;L&amp;F&amp;R&amp;A</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390"/>
  <sheetViews>
    <sheetView zoomScaleNormal="100" workbookViewId="0">
      <selection activeCell="A6" sqref="A6"/>
    </sheetView>
  </sheetViews>
  <sheetFormatPr defaultColWidth="9.140625" defaultRowHeight="15" x14ac:dyDescent="0.25"/>
  <cols>
    <col min="1" max="1" width="12.85546875" style="132" customWidth="1"/>
    <col min="2" max="2" width="5.140625" style="132" customWidth="1"/>
    <col min="3" max="3" width="16.5703125" style="132" customWidth="1"/>
    <col min="4" max="4" width="8.42578125" style="132" customWidth="1"/>
    <col min="5" max="5" width="10.5703125" style="132" customWidth="1"/>
    <col min="6" max="6" width="18.42578125" style="132" customWidth="1"/>
    <col min="7" max="7" width="16.42578125" style="132" customWidth="1"/>
    <col min="8" max="8" width="13.85546875" style="132" customWidth="1"/>
    <col min="9" max="16384" width="9.140625" style="132"/>
  </cols>
  <sheetData>
    <row r="1" spans="1:8" ht="23.25" x14ac:dyDescent="0.35">
      <c r="A1" s="257" t="s">
        <v>762</v>
      </c>
      <c r="B1" s="1" t="s">
        <v>511</v>
      </c>
      <c r="C1" s="1"/>
      <c r="D1" s="1"/>
      <c r="E1" s="1"/>
      <c r="F1" s="1"/>
      <c r="G1" s="1"/>
      <c r="H1" s="1"/>
    </row>
    <row r="3" spans="1:8" x14ac:dyDescent="0.25">
      <c r="A3" s="422" t="s">
        <v>744</v>
      </c>
      <c r="B3" s="413"/>
      <c r="C3" s="413"/>
      <c r="D3" s="413"/>
      <c r="E3" s="413"/>
      <c r="F3" s="413"/>
      <c r="G3" s="413"/>
      <c r="H3" s="413"/>
    </row>
    <row r="4" spans="1:8" x14ac:dyDescent="0.25">
      <c r="A4" s="413"/>
      <c r="B4" s="413"/>
      <c r="C4" s="413"/>
      <c r="D4" s="413"/>
      <c r="E4" s="413"/>
      <c r="F4" s="413"/>
      <c r="G4" s="413"/>
      <c r="H4" s="413"/>
    </row>
    <row r="7" spans="1:8" x14ac:dyDescent="0.25">
      <c r="A7" s="133"/>
      <c r="B7" s="134" t="s">
        <v>624</v>
      </c>
      <c r="C7" s="133"/>
      <c r="D7" s="133"/>
      <c r="E7" s="133"/>
      <c r="F7" s="133"/>
      <c r="G7" s="133"/>
      <c r="H7" s="133"/>
    </row>
    <row r="8" spans="1:8" x14ac:dyDescent="0.25">
      <c r="A8" s="133"/>
      <c r="B8" s="133"/>
      <c r="C8" s="133"/>
      <c r="D8" s="133"/>
      <c r="E8" s="133"/>
      <c r="F8" s="133"/>
      <c r="G8" s="135" t="s">
        <v>36</v>
      </c>
      <c r="H8" s="136">
        <v>43708</v>
      </c>
    </row>
    <row r="9" spans="1:8" x14ac:dyDescent="0.25">
      <c r="A9" s="133" t="s">
        <v>356</v>
      </c>
      <c r="B9" s="133"/>
      <c r="C9" s="438"/>
      <c r="D9" s="439"/>
      <c r="E9" s="439"/>
      <c r="F9" s="440"/>
      <c r="G9" s="133"/>
      <c r="H9" s="133"/>
    </row>
    <row r="10" spans="1:8" x14ac:dyDescent="0.25">
      <c r="A10" s="133"/>
      <c r="B10" s="133"/>
      <c r="C10" s="133"/>
      <c r="D10" s="133"/>
      <c r="E10" s="133"/>
      <c r="F10" s="133"/>
      <c r="G10" s="133"/>
      <c r="H10" s="133"/>
    </row>
    <row r="11" spans="1:8" x14ac:dyDescent="0.25">
      <c r="A11" s="133" t="s">
        <v>625</v>
      </c>
      <c r="B11" s="133"/>
      <c r="C11" s="441"/>
      <c r="D11" s="442"/>
      <c r="E11" s="442"/>
      <c r="F11" s="442"/>
      <c r="G11" s="442"/>
      <c r="H11" s="133"/>
    </row>
    <row r="12" spans="1:8" x14ac:dyDescent="0.25">
      <c r="A12" s="133"/>
      <c r="B12" s="133"/>
      <c r="C12" s="133"/>
      <c r="D12" s="133"/>
      <c r="E12" s="133"/>
      <c r="F12" s="133"/>
      <c r="G12" s="133"/>
      <c r="H12" s="133"/>
    </row>
    <row r="13" spans="1:8" x14ac:dyDescent="0.25">
      <c r="A13" s="133" t="s">
        <v>626</v>
      </c>
      <c r="B13" s="133"/>
      <c r="C13" s="137">
        <v>1000000</v>
      </c>
      <c r="D13" s="138" t="s">
        <v>627</v>
      </c>
      <c r="E13" s="133"/>
      <c r="F13" s="133" t="s">
        <v>628</v>
      </c>
      <c r="G13" s="443" t="s">
        <v>629</v>
      </c>
      <c r="H13" s="444"/>
    </row>
    <row r="14" spans="1:8" x14ac:dyDescent="0.25">
      <c r="A14" s="133"/>
      <c r="B14" s="133"/>
      <c r="C14" s="133"/>
      <c r="D14" s="133"/>
      <c r="E14" s="133"/>
      <c r="F14" s="133"/>
      <c r="G14" s="139">
        <v>0</v>
      </c>
      <c r="H14" s="139">
        <v>0</v>
      </c>
    </row>
    <row r="15" spans="1:8" x14ac:dyDescent="0.25">
      <c r="A15" s="133" t="s">
        <v>630</v>
      </c>
      <c r="B15" s="133"/>
      <c r="C15" s="140">
        <v>0.2</v>
      </c>
      <c r="D15" s="133"/>
      <c r="E15" s="133"/>
      <c r="F15" s="133" t="s">
        <v>631</v>
      </c>
      <c r="G15" s="141">
        <v>0.8</v>
      </c>
      <c r="H15" s="133"/>
    </row>
    <row r="16" spans="1:8" ht="5.0999999999999996" customHeight="1" x14ac:dyDescent="0.25">
      <c r="A16" s="133"/>
      <c r="B16" s="133"/>
      <c r="C16" s="133"/>
      <c r="D16" s="133"/>
      <c r="E16" s="133"/>
      <c r="F16" s="133"/>
      <c r="G16" s="133"/>
      <c r="H16" s="133"/>
    </row>
    <row r="17" spans="1:8" ht="15" customHeight="1" x14ac:dyDescent="0.25">
      <c r="A17" s="133" t="s">
        <v>632</v>
      </c>
      <c r="B17" s="133"/>
      <c r="C17" s="142">
        <v>200000</v>
      </c>
      <c r="D17" s="143" t="s">
        <v>627</v>
      </c>
      <c r="E17" s="133"/>
      <c r="F17" s="133" t="s">
        <v>633</v>
      </c>
      <c r="G17" s="142">
        <v>800000</v>
      </c>
      <c r="H17" s="143" t="s">
        <v>627</v>
      </c>
    </row>
    <row r="18" spans="1:8" x14ac:dyDescent="0.25">
      <c r="A18" s="133"/>
      <c r="B18" s="133"/>
      <c r="C18" s="133"/>
      <c r="D18" s="133"/>
      <c r="E18" s="133"/>
      <c r="F18" s="133"/>
      <c r="G18" s="133"/>
      <c r="H18" s="133"/>
    </row>
    <row r="19" spans="1:8" x14ac:dyDescent="0.25">
      <c r="A19" s="133" t="s">
        <v>634</v>
      </c>
      <c r="B19" s="133"/>
      <c r="C19" s="144">
        <v>360</v>
      </c>
      <c r="D19" s="143" t="s">
        <v>635</v>
      </c>
      <c r="E19" s="133"/>
      <c r="F19" s="133" t="s">
        <v>636</v>
      </c>
      <c r="G19" s="140">
        <v>0</v>
      </c>
      <c r="H19" s="133"/>
    </row>
    <row r="20" spans="1:8" ht="5.0999999999999996" customHeight="1" x14ac:dyDescent="0.25">
      <c r="A20" s="133"/>
      <c r="B20" s="133"/>
      <c r="C20" s="133"/>
      <c r="D20" s="133"/>
      <c r="E20" s="133"/>
      <c r="F20" s="133"/>
      <c r="G20" s="133"/>
      <c r="H20" s="133"/>
    </row>
    <row r="21" spans="1:8" x14ac:dyDescent="0.25">
      <c r="A21" s="133"/>
      <c r="B21" s="133"/>
      <c r="C21" s="133"/>
      <c r="D21" s="133"/>
      <c r="E21" s="133"/>
      <c r="F21" s="133" t="s">
        <v>637</v>
      </c>
      <c r="G21" s="142">
        <v>0</v>
      </c>
      <c r="H21" s="143" t="s">
        <v>627</v>
      </c>
    </row>
    <row r="22" spans="1:8" x14ac:dyDescent="0.25">
      <c r="A22" s="445" t="s">
        <v>638</v>
      </c>
      <c r="B22" s="446"/>
      <c r="C22" s="140">
        <v>0.24</v>
      </c>
      <c r="D22" s="133"/>
      <c r="E22" s="145"/>
      <c r="F22" s="133"/>
      <c r="G22" s="133"/>
      <c r="H22" s="133"/>
    </row>
    <row r="23" spans="1:8" ht="5.0999999999999996" customHeight="1" x14ac:dyDescent="0.25">
      <c r="A23" s="146"/>
      <c r="B23" s="147"/>
      <c r="C23" s="147"/>
      <c r="D23" s="133"/>
      <c r="E23" s="145"/>
      <c r="F23" s="133"/>
      <c r="G23" s="133"/>
      <c r="H23" s="133"/>
    </row>
    <row r="24" spans="1:8" ht="15" customHeight="1" x14ac:dyDescent="0.25">
      <c r="A24" s="445" t="s">
        <v>639</v>
      </c>
      <c r="B24" s="380"/>
      <c r="C24" s="380"/>
      <c r="D24" s="140">
        <v>0.03</v>
      </c>
      <c r="E24" s="447" t="s">
        <v>640</v>
      </c>
      <c r="F24" s="448"/>
      <c r="G24" s="148">
        <v>30000</v>
      </c>
      <c r="H24" s="143" t="s">
        <v>627</v>
      </c>
    </row>
    <row r="25" spans="1:8" ht="5.0999999999999996" customHeight="1" x14ac:dyDescent="0.25">
      <c r="A25" s="133"/>
      <c r="B25" s="133"/>
      <c r="C25" s="133"/>
      <c r="D25" s="133"/>
      <c r="E25" s="133"/>
      <c r="F25" s="146"/>
      <c r="G25" s="146"/>
      <c r="H25" s="146"/>
    </row>
    <row r="26" spans="1:8" x14ac:dyDescent="0.25">
      <c r="A26" s="133" t="s">
        <v>641</v>
      </c>
      <c r="B26" s="133"/>
      <c r="D26" s="432">
        <v>16012.835311196406</v>
      </c>
      <c r="E26" s="433"/>
      <c r="F26" s="143" t="s">
        <v>627</v>
      </c>
    </row>
    <row r="27" spans="1:8" x14ac:dyDescent="0.25">
      <c r="B27" s="149"/>
      <c r="F27" s="150"/>
    </row>
    <row r="28" spans="1:8" ht="45.75" customHeight="1" x14ac:dyDescent="0.25">
      <c r="A28" s="151" t="s">
        <v>642</v>
      </c>
      <c r="B28" s="434" t="s">
        <v>643</v>
      </c>
      <c r="C28" s="435"/>
      <c r="D28" s="436" t="s">
        <v>644</v>
      </c>
      <c r="E28" s="436"/>
      <c r="F28" s="151" t="s">
        <v>645</v>
      </c>
      <c r="G28" s="151" t="s">
        <v>646</v>
      </c>
      <c r="H28" s="152" t="s">
        <v>647</v>
      </c>
    </row>
    <row r="29" spans="1:8" x14ac:dyDescent="0.25">
      <c r="A29" s="153">
        <v>0</v>
      </c>
      <c r="B29" s="437">
        <v>43708</v>
      </c>
      <c r="C29" s="429"/>
      <c r="D29" s="428">
        <v>1000000</v>
      </c>
      <c r="E29" s="429"/>
      <c r="F29" s="154">
        <v>200000</v>
      </c>
      <c r="G29" s="154">
        <v>0</v>
      </c>
      <c r="H29" s="154">
        <v>200000</v>
      </c>
    </row>
    <row r="30" spans="1:8" x14ac:dyDescent="0.25">
      <c r="A30" s="153">
        <v>1</v>
      </c>
      <c r="B30" s="426">
        <v>43738</v>
      </c>
      <c r="C30" s="427"/>
      <c r="D30" s="428">
        <v>800000</v>
      </c>
      <c r="E30" s="429"/>
      <c r="F30" s="155">
        <v>12.835311196406375</v>
      </c>
      <c r="G30" s="155">
        <v>16000</v>
      </c>
      <c r="H30" s="154">
        <v>16012.835311196406</v>
      </c>
    </row>
    <row r="31" spans="1:8" x14ac:dyDescent="0.25">
      <c r="A31" s="153">
        <v>2</v>
      </c>
      <c r="B31" s="426">
        <v>43769</v>
      </c>
      <c r="C31" s="427"/>
      <c r="D31" s="428">
        <v>799987.1646888036</v>
      </c>
      <c r="E31" s="429"/>
      <c r="F31" s="155">
        <v>13.092017420334503</v>
      </c>
      <c r="G31" s="155">
        <v>15999.743293776073</v>
      </c>
      <c r="H31" s="154">
        <v>16012.835311196408</v>
      </c>
    </row>
    <row r="32" spans="1:8" x14ac:dyDescent="0.25">
      <c r="A32" s="153">
        <v>3</v>
      </c>
      <c r="B32" s="426">
        <v>43799</v>
      </c>
      <c r="C32" s="427"/>
      <c r="D32" s="428">
        <v>799974.07267138327</v>
      </c>
      <c r="E32" s="429"/>
      <c r="F32" s="155">
        <v>13.353857768741191</v>
      </c>
      <c r="G32" s="155">
        <v>15999.481453427667</v>
      </c>
      <c r="H32" s="154">
        <v>16012.835311196408</v>
      </c>
    </row>
    <row r="33" spans="1:8" x14ac:dyDescent="0.25">
      <c r="A33" s="153">
        <v>4</v>
      </c>
      <c r="B33" s="426">
        <v>43830</v>
      </c>
      <c r="C33" s="427"/>
      <c r="D33" s="428">
        <v>799960.71881361457</v>
      </c>
      <c r="E33" s="429"/>
      <c r="F33" s="155">
        <v>13.620934924116016</v>
      </c>
      <c r="G33" s="155">
        <v>15999.214376272292</v>
      </c>
      <c r="H33" s="154">
        <v>16012.835311196408</v>
      </c>
    </row>
    <row r="34" spans="1:8" x14ac:dyDescent="0.25">
      <c r="A34" s="153">
        <v>5</v>
      </c>
      <c r="B34" s="426">
        <v>43861</v>
      </c>
      <c r="C34" s="427"/>
      <c r="D34" s="428">
        <v>799947.09787869046</v>
      </c>
      <c r="E34" s="429"/>
      <c r="F34" s="155">
        <v>13.893353622598337</v>
      </c>
      <c r="G34" s="155">
        <v>15998.94195757381</v>
      </c>
      <c r="H34" s="154">
        <v>16012.835311196408</v>
      </c>
    </row>
    <row r="35" spans="1:8" x14ac:dyDescent="0.25">
      <c r="A35" s="153">
        <v>6</v>
      </c>
      <c r="B35" s="426">
        <v>43890</v>
      </c>
      <c r="C35" s="427"/>
      <c r="D35" s="428">
        <v>799933.20452506782</v>
      </c>
      <c r="E35" s="429"/>
      <c r="F35" s="155">
        <v>14.171220695050307</v>
      </c>
      <c r="G35" s="155">
        <v>15998.664090501357</v>
      </c>
      <c r="H35" s="154">
        <v>16012.835311196408</v>
      </c>
    </row>
    <row r="36" spans="1:8" x14ac:dyDescent="0.25">
      <c r="A36" s="153">
        <v>7</v>
      </c>
      <c r="B36" s="426">
        <v>43921</v>
      </c>
      <c r="C36" s="427"/>
      <c r="D36" s="428">
        <v>799919.0333043728</v>
      </c>
      <c r="E36" s="429"/>
      <c r="F36" s="155">
        <v>14.454645108951315</v>
      </c>
      <c r="G36" s="155">
        <v>15998.380666087456</v>
      </c>
      <c r="H36" s="154">
        <v>16012.835311196408</v>
      </c>
    </row>
    <row r="37" spans="1:8" x14ac:dyDescent="0.25">
      <c r="A37" s="153">
        <v>8</v>
      </c>
      <c r="B37" s="426">
        <v>43951</v>
      </c>
      <c r="C37" s="427"/>
      <c r="D37" s="428">
        <v>799904.57865926391</v>
      </c>
      <c r="E37" s="429"/>
      <c r="F37" s="155">
        <v>14.743738011130343</v>
      </c>
      <c r="G37" s="155">
        <v>15998.091573185278</v>
      </c>
      <c r="H37" s="154">
        <v>16012.835311196408</v>
      </c>
    </row>
    <row r="38" spans="1:8" x14ac:dyDescent="0.25">
      <c r="A38" s="153">
        <v>9</v>
      </c>
      <c r="B38" s="426">
        <v>43982</v>
      </c>
      <c r="C38" s="427"/>
      <c r="D38" s="428">
        <v>799889.8349212528</v>
      </c>
      <c r="E38" s="429"/>
      <c r="F38" s="155">
        <v>15.038612771352948</v>
      </c>
      <c r="G38" s="155">
        <v>15997.796698425056</v>
      </c>
      <c r="H38" s="154">
        <v>16012.83531119641</v>
      </c>
    </row>
    <row r="39" spans="1:8" x14ac:dyDescent="0.25">
      <c r="A39" s="153">
        <v>10</v>
      </c>
      <c r="B39" s="426">
        <v>44012</v>
      </c>
      <c r="C39" s="427"/>
      <c r="D39" s="428">
        <v>799874.79630848148</v>
      </c>
      <c r="E39" s="429"/>
      <c r="F39" s="155">
        <v>15.339385026780009</v>
      </c>
      <c r="G39" s="155">
        <v>15997.495926169629</v>
      </c>
      <c r="H39" s="154">
        <v>16012.83531119641</v>
      </c>
    </row>
    <row r="40" spans="1:8" x14ac:dyDescent="0.25">
      <c r="A40" s="153">
        <v>11</v>
      </c>
      <c r="B40" s="426">
        <v>44043</v>
      </c>
      <c r="C40" s="427"/>
      <c r="D40" s="428">
        <v>799859.45692345465</v>
      </c>
      <c r="E40" s="429"/>
      <c r="F40" s="155">
        <v>15.646172727315607</v>
      </c>
      <c r="G40" s="155">
        <v>15997.189138469093</v>
      </c>
      <c r="H40" s="154">
        <v>16012.83531119641</v>
      </c>
    </row>
    <row r="41" spans="1:8" x14ac:dyDescent="0.25">
      <c r="A41" s="153">
        <v>12</v>
      </c>
      <c r="B41" s="426">
        <v>44074</v>
      </c>
      <c r="C41" s="427"/>
      <c r="D41" s="428">
        <v>799843.81075072731</v>
      </c>
      <c r="E41" s="429"/>
      <c r="F41" s="155">
        <v>15.959096181861906</v>
      </c>
      <c r="G41" s="155">
        <v>15996.876215014547</v>
      </c>
      <c r="H41" s="154">
        <v>16012.835311196408</v>
      </c>
    </row>
    <row r="42" spans="1:8" x14ac:dyDescent="0.25">
      <c r="A42" s="153">
        <v>13</v>
      </c>
      <c r="B42" s="426">
        <v>44104</v>
      </c>
      <c r="C42" s="427"/>
      <c r="D42" s="428">
        <v>799827.8516545454</v>
      </c>
      <c r="E42" s="429"/>
      <c r="F42" s="155">
        <v>16.278278105499144</v>
      </c>
      <c r="G42" s="155">
        <v>15996.557033090909</v>
      </c>
      <c r="H42" s="154">
        <v>16012.835311196408</v>
      </c>
    </row>
    <row r="43" spans="1:8" x14ac:dyDescent="0.25">
      <c r="A43" s="153">
        <v>14</v>
      </c>
      <c r="B43" s="426">
        <v>44135</v>
      </c>
      <c r="C43" s="427"/>
      <c r="D43" s="428">
        <v>799811.57337643986</v>
      </c>
      <c r="E43" s="429"/>
      <c r="F43" s="155">
        <v>16.60384366760913</v>
      </c>
      <c r="G43" s="155">
        <v>15996.231467528798</v>
      </c>
      <c r="H43" s="154">
        <v>16012.835311196408</v>
      </c>
    </row>
    <row r="44" spans="1:8" x14ac:dyDescent="0.25">
      <c r="A44" s="153">
        <v>15</v>
      </c>
      <c r="B44" s="426">
        <v>44165</v>
      </c>
      <c r="C44" s="427"/>
      <c r="D44" s="428">
        <v>799794.9695327722</v>
      </c>
      <c r="E44" s="429"/>
      <c r="F44" s="155">
        <v>16.935920540961309</v>
      </c>
      <c r="G44" s="155">
        <v>15995.899390655444</v>
      </c>
      <c r="H44" s="154">
        <v>16012.835311196406</v>
      </c>
    </row>
    <row r="45" spans="1:8" x14ac:dyDescent="0.25">
      <c r="A45" s="153">
        <v>16</v>
      </c>
      <c r="B45" s="426">
        <v>44196</v>
      </c>
      <c r="C45" s="427"/>
      <c r="D45" s="428">
        <v>799778.03361223126</v>
      </c>
      <c r="E45" s="429"/>
      <c r="F45" s="155">
        <v>17.274638951780538</v>
      </c>
      <c r="G45" s="155">
        <v>15995.560672244626</v>
      </c>
      <c r="H45" s="154">
        <v>16012.835311196406</v>
      </c>
    </row>
    <row r="46" spans="1:8" x14ac:dyDescent="0.25">
      <c r="A46" s="153">
        <v>17</v>
      </c>
      <c r="B46" s="426">
        <v>44227</v>
      </c>
      <c r="C46" s="427"/>
      <c r="D46" s="428">
        <v>799760.7589732795</v>
      </c>
      <c r="E46" s="429"/>
      <c r="F46" s="155">
        <v>17.620131730816151</v>
      </c>
      <c r="G46" s="155">
        <v>15995.215179465591</v>
      </c>
      <c r="H46" s="154">
        <v>16012.835311196408</v>
      </c>
    </row>
    <row r="47" spans="1:8" x14ac:dyDescent="0.25">
      <c r="A47" s="153">
        <v>18</v>
      </c>
      <c r="B47" s="426">
        <v>44255</v>
      </c>
      <c r="C47" s="427"/>
      <c r="D47" s="428">
        <v>799743.1388415487</v>
      </c>
      <c r="E47" s="429"/>
      <c r="F47" s="155">
        <v>17.972534365432473</v>
      </c>
      <c r="G47" s="155">
        <v>15994.862776830974</v>
      </c>
      <c r="H47" s="154">
        <v>16012.835311196406</v>
      </c>
    </row>
    <row r="48" spans="1:8" x14ac:dyDescent="0.25">
      <c r="A48" s="153">
        <v>19</v>
      </c>
      <c r="B48" s="426">
        <v>44286</v>
      </c>
      <c r="C48" s="427"/>
      <c r="D48" s="428">
        <v>799725.16630718322</v>
      </c>
      <c r="E48" s="429"/>
      <c r="F48" s="155">
        <v>18.331985052741121</v>
      </c>
      <c r="G48" s="155">
        <v>15994.503326143664</v>
      </c>
      <c r="H48" s="154">
        <v>16012.835311196404</v>
      </c>
    </row>
    <row r="49" spans="1:8" x14ac:dyDescent="0.25">
      <c r="A49" s="153">
        <v>20</v>
      </c>
      <c r="B49" s="426">
        <v>44316</v>
      </c>
      <c r="C49" s="427"/>
      <c r="D49" s="428">
        <v>799706.83432213042</v>
      </c>
      <c r="E49" s="429"/>
      <c r="F49" s="155">
        <v>18.698624753795944</v>
      </c>
      <c r="G49" s="155">
        <v>15994.136686442609</v>
      </c>
      <c r="H49" s="154">
        <v>16012.835311196404</v>
      </c>
    </row>
    <row r="50" spans="1:8" x14ac:dyDescent="0.25">
      <c r="A50" s="153">
        <v>21</v>
      </c>
      <c r="B50" s="426">
        <v>44347</v>
      </c>
      <c r="C50" s="427"/>
      <c r="D50" s="428">
        <v>799688.13569737668</v>
      </c>
      <c r="E50" s="429"/>
      <c r="F50" s="155">
        <v>19.072597248871869</v>
      </c>
      <c r="G50" s="155">
        <v>15993.762713947533</v>
      </c>
      <c r="H50" s="154">
        <v>16012.835311196406</v>
      </c>
    </row>
    <row r="51" spans="1:8" x14ac:dyDescent="0.25">
      <c r="A51" s="153">
        <v>22</v>
      </c>
      <c r="B51" s="426">
        <v>44377</v>
      </c>
      <c r="C51" s="427"/>
      <c r="D51" s="428">
        <v>799669.06310012785</v>
      </c>
      <c r="E51" s="429"/>
      <c r="F51" s="155">
        <v>19.454049193849308</v>
      </c>
      <c r="G51" s="155">
        <v>15993.381262002558</v>
      </c>
      <c r="H51" s="154">
        <v>16012.835311196408</v>
      </c>
    </row>
    <row r="52" spans="1:8" x14ac:dyDescent="0.25">
      <c r="A52" s="153">
        <v>23</v>
      </c>
      <c r="B52" s="426">
        <v>44408</v>
      </c>
      <c r="C52" s="427"/>
      <c r="D52" s="428">
        <v>799649.60905093397</v>
      </c>
      <c r="E52" s="429"/>
      <c r="F52" s="155">
        <v>19.843130177726295</v>
      </c>
      <c r="G52" s="155">
        <v>15992.992181018681</v>
      </c>
      <c r="H52" s="154">
        <v>16012.835311196406</v>
      </c>
    </row>
    <row r="53" spans="1:8" x14ac:dyDescent="0.25">
      <c r="A53" s="153">
        <v>24</v>
      </c>
      <c r="B53" s="426">
        <v>44439</v>
      </c>
      <c r="C53" s="427"/>
      <c r="D53" s="428">
        <v>799629.76592075627</v>
      </c>
      <c r="E53" s="429"/>
      <c r="F53" s="155">
        <v>20.239992781280819</v>
      </c>
      <c r="G53" s="155">
        <v>15992.595318415126</v>
      </c>
      <c r="H53" s="154">
        <v>16012.835311196406</v>
      </c>
    </row>
    <row r="54" spans="1:8" x14ac:dyDescent="0.25">
      <c r="A54" s="153">
        <v>25</v>
      </c>
      <c r="B54" s="426">
        <v>44469</v>
      </c>
      <c r="C54" s="427"/>
      <c r="D54" s="428">
        <v>799609.52592797496</v>
      </c>
      <c r="E54" s="429"/>
      <c r="F54" s="155">
        <v>20.644792636906441</v>
      </c>
      <c r="G54" s="155">
        <v>15992.190518559499</v>
      </c>
      <c r="H54" s="154">
        <v>16012.835311196404</v>
      </c>
    </row>
    <row r="55" spans="1:8" x14ac:dyDescent="0.25">
      <c r="A55" s="153">
        <v>26</v>
      </c>
      <c r="B55" s="426">
        <v>44500</v>
      </c>
      <c r="C55" s="427"/>
      <c r="D55" s="428">
        <v>799588.8811353381</v>
      </c>
      <c r="E55" s="429"/>
      <c r="F55" s="155">
        <v>21.057688489644569</v>
      </c>
      <c r="G55" s="155">
        <v>15991.777622706762</v>
      </c>
      <c r="H55" s="154">
        <v>16012.835311196408</v>
      </c>
    </row>
    <row r="56" spans="1:8" x14ac:dyDescent="0.25">
      <c r="A56" s="153">
        <v>27</v>
      </c>
      <c r="B56" s="426">
        <v>44530</v>
      </c>
      <c r="C56" s="427"/>
      <c r="D56" s="428">
        <v>799567.82344684843</v>
      </c>
      <c r="E56" s="429"/>
      <c r="F56" s="155">
        <v>21.47884225943746</v>
      </c>
      <c r="G56" s="155">
        <v>15991.356468936969</v>
      </c>
      <c r="H56" s="154">
        <v>16012.835311196406</v>
      </c>
    </row>
    <row r="57" spans="1:8" x14ac:dyDescent="0.25">
      <c r="A57" s="153">
        <v>28</v>
      </c>
      <c r="B57" s="426">
        <v>44561</v>
      </c>
      <c r="C57" s="427"/>
      <c r="D57" s="428">
        <v>799546.34460458905</v>
      </c>
      <c r="E57" s="429"/>
      <c r="F57" s="155">
        <v>21.908419104626216</v>
      </c>
      <c r="G57" s="155">
        <v>15990.926892091782</v>
      </c>
      <c r="H57" s="154">
        <v>16012.835311196408</v>
      </c>
    </row>
    <row r="58" spans="1:8" x14ac:dyDescent="0.25">
      <c r="A58" s="153">
        <v>29</v>
      </c>
      <c r="B58" s="426">
        <v>44592</v>
      </c>
      <c r="C58" s="427"/>
      <c r="D58" s="428">
        <v>799524.4361854844</v>
      </c>
      <c r="E58" s="429"/>
      <c r="F58" s="155">
        <v>22.346587486718718</v>
      </c>
      <c r="G58" s="155">
        <v>15990.488723709688</v>
      </c>
      <c r="H58" s="154">
        <v>16012.835311196406</v>
      </c>
    </row>
    <row r="59" spans="1:8" x14ac:dyDescent="0.25">
      <c r="A59" s="153">
        <v>30</v>
      </c>
      <c r="B59" s="426">
        <v>44620</v>
      </c>
      <c r="C59" s="427"/>
      <c r="D59" s="428">
        <v>799502.08959799772</v>
      </c>
      <c r="E59" s="429"/>
      <c r="F59" s="155">
        <v>22.793519236453093</v>
      </c>
      <c r="G59" s="155">
        <v>15990.041791959955</v>
      </c>
      <c r="H59" s="154">
        <v>16012.835311196408</v>
      </c>
    </row>
    <row r="60" spans="1:8" x14ac:dyDescent="0.25">
      <c r="A60" s="153">
        <v>31</v>
      </c>
      <c r="B60" s="426">
        <v>44651</v>
      </c>
      <c r="C60" s="427"/>
      <c r="D60" s="428">
        <v>799479.29607876122</v>
      </c>
      <c r="E60" s="429"/>
      <c r="F60" s="155">
        <v>23.249389621182154</v>
      </c>
      <c r="G60" s="155">
        <v>15989.585921575224</v>
      </c>
      <c r="H60" s="154">
        <v>16012.835311196406</v>
      </c>
    </row>
    <row r="61" spans="1:8" x14ac:dyDescent="0.25">
      <c r="A61" s="153">
        <v>32</v>
      </c>
      <c r="B61" s="426">
        <v>44681</v>
      </c>
      <c r="C61" s="427"/>
      <c r="D61" s="428">
        <v>799456.04668914003</v>
      </c>
      <c r="E61" s="429"/>
      <c r="F61" s="155">
        <v>23.714377413605803</v>
      </c>
      <c r="G61" s="155">
        <v>15989.1209337828</v>
      </c>
      <c r="H61" s="154">
        <v>16012.835311196406</v>
      </c>
    </row>
    <row r="62" spans="1:8" x14ac:dyDescent="0.25">
      <c r="A62" s="153">
        <v>33</v>
      </c>
      <c r="B62" s="426">
        <v>44712</v>
      </c>
      <c r="C62" s="427"/>
      <c r="D62" s="428">
        <v>799432.33231172641</v>
      </c>
      <c r="E62" s="429"/>
      <c r="F62" s="155">
        <v>24.188664961877919</v>
      </c>
      <c r="G62" s="155">
        <v>15988.646646234529</v>
      </c>
      <c r="H62" s="154">
        <v>16012.835311196406</v>
      </c>
    </row>
    <row r="63" spans="1:8" x14ac:dyDescent="0.25">
      <c r="A63" s="153">
        <v>34</v>
      </c>
      <c r="B63" s="426">
        <v>44742</v>
      </c>
      <c r="C63" s="427"/>
      <c r="D63" s="428">
        <v>799408.14364676457</v>
      </c>
      <c r="E63" s="429"/>
      <c r="F63" s="155">
        <v>24.672438261115477</v>
      </c>
      <c r="G63" s="155">
        <v>15988.162872935292</v>
      </c>
      <c r="H63" s="154">
        <v>16012.835311196408</v>
      </c>
    </row>
    <row r="64" spans="1:8" x14ac:dyDescent="0.25">
      <c r="A64" s="153">
        <v>35</v>
      </c>
      <c r="B64" s="426">
        <v>44773</v>
      </c>
      <c r="C64" s="427"/>
      <c r="D64" s="428">
        <v>799383.47120850347</v>
      </c>
      <c r="E64" s="429"/>
      <c r="F64" s="155">
        <v>25.165887026337789</v>
      </c>
      <c r="G64" s="155">
        <v>15987.66942417007</v>
      </c>
      <c r="H64" s="154">
        <v>16012.835311196408</v>
      </c>
    </row>
    <row r="65" spans="1:8" x14ac:dyDescent="0.25">
      <c r="A65" s="153">
        <v>36</v>
      </c>
      <c r="B65" s="426">
        <v>44804</v>
      </c>
      <c r="C65" s="427"/>
      <c r="D65" s="428">
        <v>799358.30532147712</v>
      </c>
      <c r="E65" s="429"/>
      <c r="F65" s="155">
        <v>25.669204766864542</v>
      </c>
      <c r="G65" s="155">
        <v>15987.166106429542</v>
      </c>
      <c r="H65" s="154">
        <v>16012.835311196406</v>
      </c>
    </row>
    <row r="66" spans="1:8" x14ac:dyDescent="0.25">
      <c r="A66" s="153">
        <v>37</v>
      </c>
      <c r="B66" s="426">
        <v>44834</v>
      </c>
      <c r="C66" s="427"/>
      <c r="D66" s="428">
        <v>799332.63611671026</v>
      </c>
      <c r="E66" s="429"/>
      <c r="F66" s="155">
        <v>26.18258886220184</v>
      </c>
      <c r="G66" s="155">
        <v>15986.652722334205</v>
      </c>
      <c r="H66" s="154">
        <v>16012.835311196408</v>
      </c>
    </row>
    <row r="67" spans="1:8" x14ac:dyDescent="0.25">
      <c r="A67" s="153">
        <v>38</v>
      </c>
      <c r="B67" s="426">
        <v>44865</v>
      </c>
      <c r="C67" s="427"/>
      <c r="D67" s="428">
        <v>799306.453527848</v>
      </c>
      <c r="E67" s="429"/>
      <c r="F67" s="155">
        <v>26.70624063944587</v>
      </c>
      <c r="G67" s="155">
        <v>15986.129070556961</v>
      </c>
      <c r="H67" s="154">
        <v>16012.835311196406</v>
      </c>
    </row>
    <row r="68" spans="1:8" x14ac:dyDescent="0.25">
      <c r="A68" s="153">
        <v>39</v>
      </c>
      <c r="B68" s="426">
        <v>44895</v>
      </c>
      <c r="C68" s="427"/>
      <c r="D68" s="428">
        <v>799279.74728720856</v>
      </c>
      <c r="E68" s="429"/>
      <c r="F68" s="155">
        <v>27.240365452234791</v>
      </c>
      <c r="G68" s="155">
        <v>15985.594945744171</v>
      </c>
      <c r="H68" s="154">
        <v>16012.835311196406</v>
      </c>
    </row>
    <row r="69" spans="1:8" x14ac:dyDescent="0.25">
      <c r="A69" s="153">
        <v>40</v>
      </c>
      <c r="B69" s="426">
        <v>44926</v>
      </c>
      <c r="C69" s="427"/>
      <c r="D69" s="428">
        <v>799252.50692175631</v>
      </c>
      <c r="E69" s="429"/>
      <c r="F69" s="155">
        <v>27.78517276127949</v>
      </c>
      <c r="G69" s="155">
        <v>15985.050138435126</v>
      </c>
      <c r="H69" s="154">
        <v>16012.835311196406</v>
      </c>
    </row>
    <row r="70" spans="1:8" x14ac:dyDescent="0.25">
      <c r="A70" s="153">
        <v>41</v>
      </c>
      <c r="B70" s="426">
        <v>44957</v>
      </c>
      <c r="C70" s="427"/>
      <c r="D70" s="428">
        <v>799224.72174899501</v>
      </c>
      <c r="E70" s="429"/>
      <c r="F70" s="155">
        <v>28.34087621650508</v>
      </c>
      <c r="G70" s="155">
        <v>15984.494434979901</v>
      </c>
      <c r="H70" s="154">
        <v>16012.835311196406</v>
      </c>
    </row>
    <row r="71" spans="1:8" x14ac:dyDescent="0.25">
      <c r="A71" s="153">
        <v>42</v>
      </c>
      <c r="B71" s="426">
        <v>44985</v>
      </c>
      <c r="C71" s="427"/>
      <c r="D71" s="428">
        <v>799196.38087277848</v>
      </c>
      <c r="E71" s="429"/>
      <c r="F71" s="155">
        <v>28.907693740835182</v>
      </c>
      <c r="G71" s="155">
        <v>15983.927617455571</v>
      </c>
      <c r="H71" s="154">
        <v>16012.835311196406</v>
      </c>
    </row>
    <row r="72" spans="1:8" x14ac:dyDescent="0.25">
      <c r="A72" s="153">
        <v>43</v>
      </c>
      <c r="B72" s="426">
        <v>45016</v>
      </c>
      <c r="C72" s="427"/>
      <c r="D72" s="428">
        <v>799167.47317903768</v>
      </c>
      <c r="E72" s="429"/>
      <c r="F72" s="155">
        <v>29.485847615651885</v>
      </c>
      <c r="G72" s="155">
        <v>15983.349463580755</v>
      </c>
      <c r="H72" s="154">
        <v>16012.835311196406</v>
      </c>
    </row>
    <row r="73" spans="1:8" x14ac:dyDescent="0.25">
      <c r="A73" s="153">
        <v>44</v>
      </c>
      <c r="B73" s="426">
        <v>45046</v>
      </c>
      <c r="C73" s="427"/>
      <c r="D73" s="428">
        <v>799137.98733142205</v>
      </c>
      <c r="E73" s="429"/>
      <c r="F73" s="155">
        <v>30.075564567964932</v>
      </c>
      <c r="G73" s="155">
        <v>15982.759746628441</v>
      </c>
      <c r="H73" s="154">
        <v>16012.835311196406</v>
      </c>
    </row>
    <row r="74" spans="1:8" x14ac:dyDescent="0.25">
      <c r="A74" s="153">
        <v>45</v>
      </c>
      <c r="B74" s="426">
        <v>45077</v>
      </c>
      <c r="C74" s="427"/>
      <c r="D74" s="428">
        <v>799107.91176685411</v>
      </c>
      <c r="E74" s="429"/>
      <c r="F74" s="155">
        <v>30.677075859324233</v>
      </c>
      <c r="G74" s="155">
        <v>15982.158235337083</v>
      </c>
      <c r="H74" s="154">
        <v>16012.835311196408</v>
      </c>
    </row>
    <row r="75" spans="1:8" x14ac:dyDescent="0.25">
      <c r="A75" s="153">
        <v>46</v>
      </c>
      <c r="B75" s="426">
        <v>45107</v>
      </c>
      <c r="C75" s="427"/>
      <c r="D75" s="428">
        <v>799077.23469099484</v>
      </c>
      <c r="E75" s="429"/>
      <c r="F75" s="155">
        <v>31.290617376510685</v>
      </c>
      <c r="G75" s="155">
        <v>15981.544693819897</v>
      </c>
      <c r="H75" s="154">
        <v>16012.835311196408</v>
      </c>
    </row>
    <row r="76" spans="1:8" x14ac:dyDescent="0.25">
      <c r="A76" s="153">
        <v>47</v>
      </c>
      <c r="B76" s="426">
        <v>45138</v>
      </c>
      <c r="C76" s="427"/>
      <c r="D76" s="428">
        <v>799045.94407361827</v>
      </c>
      <c r="E76" s="429"/>
      <c r="F76" s="155">
        <v>31.91642972404091</v>
      </c>
      <c r="G76" s="155">
        <v>15980.918881472366</v>
      </c>
      <c r="H76" s="154">
        <v>16012.835311196406</v>
      </c>
    </row>
    <row r="77" spans="1:8" x14ac:dyDescent="0.25">
      <c r="A77" s="153">
        <v>48</v>
      </c>
      <c r="B77" s="426">
        <v>45169</v>
      </c>
      <c r="C77" s="427"/>
      <c r="D77" s="428">
        <v>799014.02764389419</v>
      </c>
      <c r="E77" s="429"/>
      <c r="F77" s="155">
        <v>32.554758318521721</v>
      </c>
      <c r="G77" s="155">
        <v>15980.280552877884</v>
      </c>
      <c r="H77" s="154">
        <v>16012.835311196406</v>
      </c>
    </row>
    <row r="78" spans="1:8" x14ac:dyDescent="0.25">
      <c r="A78" s="153">
        <v>49</v>
      </c>
      <c r="B78" s="426">
        <v>45199</v>
      </c>
      <c r="C78" s="427"/>
      <c r="D78" s="428">
        <v>798981.47288557573</v>
      </c>
      <c r="E78" s="429"/>
      <c r="F78" s="155">
        <v>33.205853484892167</v>
      </c>
      <c r="G78" s="155">
        <v>15979.629457711515</v>
      </c>
      <c r="H78" s="154">
        <v>16012.835311196408</v>
      </c>
    </row>
    <row r="79" spans="1:8" x14ac:dyDescent="0.25">
      <c r="A79" s="153">
        <v>50</v>
      </c>
      <c r="B79" s="426">
        <v>45230</v>
      </c>
      <c r="C79" s="427"/>
      <c r="D79" s="428">
        <v>798948.26703209081</v>
      </c>
      <c r="E79" s="429"/>
      <c r="F79" s="155">
        <v>33.869970554590004</v>
      </c>
      <c r="G79" s="155">
        <v>15978.965340641817</v>
      </c>
      <c r="H79" s="154">
        <v>16012.835311196406</v>
      </c>
    </row>
    <row r="80" spans="1:8" x14ac:dyDescent="0.25">
      <c r="A80" s="153">
        <v>51</v>
      </c>
      <c r="B80" s="426">
        <v>45260</v>
      </c>
      <c r="C80" s="427"/>
      <c r="D80" s="428">
        <v>798914.39706153621</v>
      </c>
      <c r="E80" s="429"/>
      <c r="F80" s="155">
        <v>34.547369965681803</v>
      </c>
      <c r="G80" s="155">
        <v>15978.287941230725</v>
      </c>
      <c r="H80" s="154">
        <v>16012.835311196406</v>
      </c>
    </row>
    <row r="81" spans="1:8" x14ac:dyDescent="0.25">
      <c r="A81" s="153">
        <v>52</v>
      </c>
      <c r="B81" s="426">
        <v>45291</v>
      </c>
      <c r="C81" s="427"/>
      <c r="D81" s="428">
        <v>798879.8496915705</v>
      </c>
      <c r="E81" s="429"/>
      <c r="F81" s="155">
        <v>35.238317364995439</v>
      </c>
      <c r="G81" s="155">
        <v>15977.59699383141</v>
      </c>
      <c r="H81" s="154">
        <v>16012.835311196406</v>
      </c>
    </row>
    <row r="82" spans="1:8" x14ac:dyDescent="0.25">
      <c r="A82" s="153">
        <v>53</v>
      </c>
      <c r="B82" s="426">
        <v>45322</v>
      </c>
      <c r="C82" s="427"/>
      <c r="D82" s="428">
        <v>798844.61137420556</v>
      </c>
      <c r="E82" s="429"/>
      <c r="F82" s="155">
        <v>35.943083712295355</v>
      </c>
      <c r="G82" s="155">
        <v>15976.892227484112</v>
      </c>
      <c r="H82" s="154">
        <v>16012.835311196406</v>
      </c>
    </row>
    <row r="83" spans="1:8" x14ac:dyDescent="0.25">
      <c r="A83" s="153">
        <v>54</v>
      </c>
      <c r="B83" s="426">
        <v>45351</v>
      </c>
      <c r="C83" s="427"/>
      <c r="D83" s="428">
        <v>798808.66829049331</v>
      </c>
      <c r="E83" s="429"/>
      <c r="F83" s="155">
        <v>36.661945386541269</v>
      </c>
      <c r="G83" s="155">
        <v>15976.173365809867</v>
      </c>
      <c r="H83" s="154">
        <v>16012.835311196408</v>
      </c>
    </row>
    <row r="84" spans="1:8" x14ac:dyDescent="0.25">
      <c r="A84" s="153">
        <v>55</v>
      </c>
      <c r="B84" s="426">
        <v>45382</v>
      </c>
      <c r="C84" s="427"/>
      <c r="D84" s="428">
        <v>798772.00634510675</v>
      </c>
      <c r="E84" s="429"/>
      <c r="F84" s="155">
        <v>37.395184294272092</v>
      </c>
      <c r="G84" s="155">
        <v>15975.440126902135</v>
      </c>
      <c r="H84" s="154">
        <v>16012.835311196406</v>
      </c>
    </row>
    <row r="85" spans="1:8" x14ac:dyDescent="0.25">
      <c r="A85" s="153">
        <v>56</v>
      </c>
      <c r="B85" s="426">
        <v>45412</v>
      </c>
      <c r="C85" s="427"/>
      <c r="D85" s="428">
        <v>798734.61116081243</v>
      </c>
      <c r="E85" s="429"/>
      <c r="F85" s="155">
        <v>38.143087980157539</v>
      </c>
      <c r="G85" s="155">
        <v>15974.692223216249</v>
      </c>
      <c r="H85" s="154">
        <v>16012.835311196406</v>
      </c>
    </row>
    <row r="86" spans="1:8" x14ac:dyDescent="0.25">
      <c r="A86" s="153">
        <v>57</v>
      </c>
      <c r="B86" s="426">
        <v>45443</v>
      </c>
      <c r="C86" s="427"/>
      <c r="D86" s="428">
        <v>798696.46807283233</v>
      </c>
      <c r="E86" s="429"/>
      <c r="F86" s="155">
        <v>38.905949739760686</v>
      </c>
      <c r="G86" s="155">
        <v>15973.929361456647</v>
      </c>
      <c r="H86" s="154">
        <v>16012.835311196408</v>
      </c>
    </row>
    <row r="87" spans="1:8" x14ac:dyDescent="0.25">
      <c r="A87" s="153">
        <v>58</v>
      </c>
      <c r="B87" s="426">
        <v>45473</v>
      </c>
      <c r="C87" s="427"/>
      <c r="D87" s="428">
        <v>798657.56212309259</v>
      </c>
      <c r="E87" s="429"/>
      <c r="F87" s="155">
        <v>39.684068734555908</v>
      </c>
      <c r="G87" s="155">
        <v>15973.151242461852</v>
      </c>
      <c r="H87" s="154">
        <v>16012.835311196408</v>
      </c>
    </row>
    <row r="88" spans="1:8" x14ac:dyDescent="0.25">
      <c r="A88" s="153">
        <v>59</v>
      </c>
      <c r="B88" s="426">
        <v>45504</v>
      </c>
      <c r="C88" s="427"/>
      <c r="D88" s="428">
        <v>798617.87805435807</v>
      </c>
      <c r="E88" s="429"/>
      <c r="F88" s="155">
        <v>40.477750109247026</v>
      </c>
      <c r="G88" s="155">
        <v>15972.357561087161</v>
      </c>
      <c r="H88" s="154">
        <v>16012.835311196408</v>
      </c>
    </row>
    <row r="89" spans="1:8" x14ac:dyDescent="0.25">
      <c r="A89" s="153">
        <v>60</v>
      </c>
      <c r="B89" s="426">
        <v>45535</v>
      </c>
      <c r="C89" s="427"/>
      <c r="D89" s="428">
        <v>798577.40030424879</v>
      </c>
      <c r="E89" s="429"/>
      <c r="F89" s="155">
        <v>41.287305111431969</v>
      </c>
      <c r="G89" s="155">
        <v>15971.548006084977</v>
      </c>
      <c r="H89" s="154">
        <v>16012.835311196408</v>
      </c>
    </row>
    <row r="90" spans="1:8" x14ac:dyDescent="0.25">
      <c r="A90" s="153">
        <v>61</v>
      </c>
      <c r="B90" s="426">
        <v>45565</v>
      </c>
      <c r="C90" s="427"/>
      <c r="D90" s="428">
        <v>798536.11299913737</v>
      </c>
      <c r="E90" s="429"/>
      <c r="F90" s="155">
        <v>42.113051213660611</v>
      </c>
      <c r="G90" s="155">
        <v>15970.722259982747</v>
      </c>
      <c r="H90" s="154">
        <v>16012.835311196408</v>
      </c>
    </row>
    <row r="91" spans="1:8" x14ac:dyDescent="0.25">
      <c r="A91" s="153">
        <v>62</v>
      </c>
      <c r="B91" s="426">
        <v>45596</v>
      </c>
      <c r="C91" s="427"/>
      <c r="D91" s="428">
        <v>798493.9999479237</v>
      </c>
      <c r="E91" s="429"/>
      <c r="F91" s="155">
        <v>42.955312237933825</v>
      </c>
      <c r="G91" s="155">
        <v>15969.879998958475</v>
      </c>
      <c r="H91" s="154">
        <v>16012.835311196408</v>
      </c>
    </row>
    <row r="92" spans="1:8" x14ac:dyDescent="0.25">
      <c r="A92" s="153">
        <v>63</v>
      </c>
      <c r="B92" s="426">
        <v>45626</v>
      </c>
      <c r="C92" s="427"/>
      <c r="D92" s="428">
        <v>798451.04463568574</v>
      </c>
      <c r="E92" s="429"/>
      <c r="F92" s="155">
        <v>43.814418482692467</v>
      </c>
      <c r="G92" s="155">
        <v>15969.020892713716</v>
      </c>
      <c r="H92" s="154">
        <v>16012.835311196408</v>
      </c>
    </row>
    <row r="93" spans="1:8" x14ac:dyDescent="0.25">
      <c r="A93" s="153">
        <v>64</v>
      </c>
      <c r="B93" s="426">
        <v>45657</v>
      </c>
      <c r="C93" s="427"/>
      <c r="D93" s="428">
        <v>798407.23021720303</v>
      </c>
      <c r="E93" s="429"/>
      <c r="F93" s="155">
        <v>44.69070685234631</v>
      </c>
      <c r="G93" s="155">
        <v>15968.144604344061</v>
      </c>
      <c r="H93" s="154">
        <v>16012.835311196408</v>
      </c>
    </row>
    <row r="94" spans="1:8" x14ac:dyDescent="0.25">
      <c r="A94" s="153">
        <v>65</v>
      </c>
      <c r="B94" s="426">
        <v>45688</v>
      </c>
      <c r="C94" s="427"/>
      <c r="D94" s="428">
        <v>798362.53951035067</v>
      </c>
      <c r="E94" s="429"/>
      <c r="F94" s="155">
        <v>45.584520989393241</v>
      </c>
      <c r="G94" s="155">
        <v>15967.250790207014</v>
      </c>
      <c r="H94" s="154">
        <v>16012.835311196406</v>
      </c>
    </row>
    <row r="95" spans="1:8" x14ac:dyDescent="0.25">
      <c r="A95" s="153">
        <v>66</v>
      </c>
      <c r="B95" s="426">
        <v>45716</v>
      </c>
      <c r="C95" s="427"/>
      <c r="D95" s="428">
        <v>798316.95498936123</v>
      </c>
      <c r="E95" s="429"/>
      <c r="F95" s="155">
        <v>46.496211409181107</v>
      </c>
      <c r="G95" s="155">
        <v>15966.339099787225</v>
      </c>
      <c r="H95" s="154">
        <v>16012.835311196406</v>
      </c>
    </row>
    <row r="96" spans="1:8" x14ac:dyDescent="0.25">
      <c r="A96" s="153">
        <v>67</v>
      </c>
      <c r="B96" s="426">
        <v>45747</v>
      </c>
      <c r="C96" s="427"/>
      <c r="D96" s="428">
        <v>798270.45877795201</v>
      </c>
      <c r="E96" s="429"/>
      <c r="F96" s="155">
        <v>47.426135637364723</v>
      </c>
      <c r="G96" s="155">
        <v>15965.40917555904</v>
      </c>
      <c r="H96" s="154">
        <v>16012.835311196404</v>
      </c>
    </row>
    <row r="97" spans="1:8" x14ac:dyDescent="0.25">
      <c r="A97" s="153">
        <v>68</v>
      </c>
      <c r="B97" s="426">
        <v>45777</v>
      </c>
      <c r="C97" s="427"/>
      <c r="D97" s="428">
        <v>798223.03264231468</v>
      </c>
      <c r="E97" s="429"/>
      <c r="F97" s="155">
        <v>48.374658350112036</v>
      </c>
      <c r="G97" s="155">
        <v>15964.460652846294</v>
      </c>
      <c r="H97" s="154">
        <v>16012.835311196406</v>
      </c>
    </row>
    <row r="98" spans="1:8" x14ac:dyDescent="0.25">
      <c r="A98" s="153">
        <v>69</v>
      </c>
      <c r="B98" s="426">
        <v>45808</v>
      </c>
      <c r="C98" s="427"/>
      <c r="D98" s="428">
        <v>798174.65798396454</v>
      </c>
      <c r="E98" s="429"/>
      <c r="F98" s="155">
        <v>49.34215151711426</v>
      </c>
      <c r="G98" s="155">
        <v>15963.49315967929</v>
      </c>
      <c r="H98" s="154">
        <v>16012.835311196404</v>
      </c>
    </row>
    <row r="99" spans="1:8" x14ac:dyDescent="0.25">
      <c r="A99" s="153">
        <v>70</v>
      </c>
      <c r="B99" s="426">
        <v>45838</v>
      </c>
      <c r="C99" s="427"/>
      <c r="D99" s="428">
        <v>798125.31583244738</v>
      </c>
      <c r="E99" s="429"/>
      <c r="F99" s="155">
        <v>50.32899454745656</v>
      </c>
      <c r="G99" s="155">
        <v>15962.506316648947</v>
      </c>
      <c r="H99" s="154">
        <v>16012.835311196404</v>
      </c>
    </row>
    <row r="100" spans="1:8" x14ac:dyDescent="0.25">
      <c r="A100" s="153">
        <v>71</v>
      </c>
      <c r="B100" s="426">
        <v>45869</v>
      </c>
      <c r="C100" s="427"/>
      <c r="D100" s="428">
        <v>798074.98683789989</v>
      </c>
      <c r="E100" s="429"/>
      <c r="F100" s="155">
        <v>51.335574438405686</v>
      </c>
      <c r="G100" s="155">
        <v>15961.499736757998</v>
      </c>
      <c r="H100" s="154">
        <v>16012.835311196404</v>
      </c>
    </row>
    <row r="101" spans="1:8" x14ac:dyDescent="0.25">
      <c r="A101" s="153">
        <v>72</v>
      </c>
      <c r="B101" s="426">
        <v>45900</v>
      </c>
      <c r="C101" s="427"/>
      <c r="D101" s="428">
        <v>798023.65126346145</v>
      </c>
      <c r="E101" s="429"/>
      <c r="F101" s="155">
        <v>52.362285927173801</v>
      </c>
      <c r="G101" s="155">
        <v>15960.47302526923</v>
      </c>
      <c r="H101" s="154">
        <v>16012.835311196404</v>
      </c>
    </row>
    <row r="102" spans="1:8" x14ac:dyDescent="0.25">
      <c r="A102" s="153">
        <v>73</v>
      </c>
      <c r="B102" s="426">
        <v>45930</v>
      </c>
      <c r="C102" s="427"/>
      <c r="D102" s="428">
        <v>797971.28897753428</v>
      </c>
      <c r="E102" s="429"/>
      <c r="F102" s="155">
        <v>53.409531645717273</v>
      </c>
      <c r="G102" s="155">
        <v>15959.425779550686</v>
      </c>
      <c r="H102" s="154">
        <v>16012.835311196402</v>
      </c>
    </row>
    <row r="103" spans="1:8" x14ac:dyDescent="0.25">
      <c r="A103" s="153">
        <v>74</v>
      </c>
      <c r="B103" s="426">
        <v>45961</v>
      </c>
      <c r="C103" s="427"/>
      <c r="D103" s="428">
        <v>797917.87944588857</v>
      </c>
      <c r="E103" s="429"/>
      <c r="F103" s="155">
        <v>54.477722278631617</v>
      </c>
      <c r="G103" s="155">
        <v>15958.357588917772</v>
      </c>
      <c r="H103" s="154">
        <v>16012.835311196404</v>
      </c>
    </row>
    <row r="104" spans="1:8" x14ac:dyDescent="0.25">
      <c r="A104" s="153">
        <v>75</v>
      </c>
      <c r="B104" s="426">
        <v>45991</v>
      </c>
      <c r="C104" s="427"/>
      <c r="D104" s="428">
        <v>797863.40172360989</v>
      </c>
      <c r="E104" s="429"/>
      <c r="F104" s="155">
        <v>55.567276724204255</v>
      </c>
      <c r="G104" s="155">
        <v>15957.268034472198</v>
      </c>
      <c r="H104" s="154">
        <v>16012.835311196402</v>
      </c>
    </row>
    <row r="105" spans="1:8" x14ac:dyDescent="0.25">
      <c r="A105" s="153">
        <v>76</v>
      </c>
      <c r="B105" s="426">
        <v>46022</v>
      </c>
      <c r="C105" s="427"/>
      <c r="D105" s="428">
        <v>797807.83444688574</v>
      </c>
      <c r="E105" s="429"/>
      <c r="F105" s="155">
        <v>56.678622258688357</v>
      </c>
      <c r="G105" s="155">
        <v>15956.156688937715</v>
      </c>
      <c r="H105" s="154">
        <v>16012.835311196404</v>
      </c>
    </row>
    <row r="106" spans="1:8" x14ac:dyDescent="0.25">
      <c r="A106" s="153">
        <v>77</v>
      </c>
      <c r="B106" s="426">
        <v>46053</v>
      </c>
      <c r="C106" s="427"/>
      <c r="D106" s="428">
        <v>797751.15582462703</v>
      </c>
      <c r="E106" s="429"/>
      <c r="F106" s="155">
        <v>57.812194703862126</v>
      </c>
      <c r="G106" s="155">
        <v>15955.023116492541</v>
      </c>
      <c r="H106" s="154">
        <v>16012.835311196402</v>
      </c>
    </row>
    <row r="107" spans="1:8" x14ac:dyDescent="0.25">
      <c r="A107" s="153">
        <v>78</v>
      </c>
      <c r="B107" s="426">
        <v>46081</v>
      </c>
      <c r="C107" s="427"/>
      <c r="D107" s="428">
        <v>797693.34362992318</v>
      </c>
      <c r="E107" s="429"/>
      <c r="F107" s="155">
        <v>58.968438597939368</v>
      </c>
      <c r="G107" s="155">
        <v>15953.866872598464</v>
      </c>
      <c r="H107" s="154">
        <v>16012.835311196404</v>
      </c>
    </row>
    <row r="108" spans="1:8" x14ac:dyDescent="0.25">
      <c r="A108" s="153">
        <v>79</v>
      </c>
      <c r="B108" s="426">
        <v>46112</v>
      </c>
      <c r="C108" s="427"/>
      <c r="D108" s="428">
        <v>797634.37519132521</v>
      </c>
      <c r="E108" s="429"/>
      <c r="F108" s="155">
        <v>60.147807369898153</v>
      </c>
      <c r="G108" s="155">
        <v>15952.687503826504</v>
      </c>
      <c r="H108" s="154">
        <v>16012.835311196402</v>
      </c>
    </row>
    <row r="109" spans="1:8" x14ac:dyDescent="0.25">
      <c r="A109" s="153">
        <v>80</v>
      </c>
      <c r="B109" s="426">
        <v>46142</v>
      </c>
      <c r="C109" s="427"/>
      <c r="D109" s="428">
        <v>797574.22738395527</v>
      </c>
      <c r="E109" s="429"/>
      <c r="F109" s="155">
        <v>61.350763517296066</v>
      </c>
      <c r="G109" s="155">
        <v>15951.484547679105</v>
      </c>
      <c r="H109" s="154">
        <v>16012.835311196401</v>
      </c>
    </row>
    <row r="110" spans="1:8" x14ac:dyDescent="0.25">
      <c r="A110" s="153">
        <v>81</v>
      </c>
      <c r="B110" s="426">
        <v>46173</v>
      </c>
      <c r="C110" s="427"/>
      <c r="D110" s="428">
        <v>797512.87662043795</v>
      </c>
      <c r="E110" s="429"/>
      <c r="F110" s="155">
        <v>62.577778787641982</v>
      </c>
      <c r="G110" s="155">
        <v>15950.257532408759</v>
      </c>
      <c r="H110" s="154">
        <v>16012.835311196401</v>
      </c>
    </row>
    <row r="111" spans="1:8" x14ac:dyDescent="0.25">
      <c r="A111" s="153">
        <v>82</v>
      </c>
      <c r="B111" s="426">
        <v>46203</v>
      </c>
      <c r="C111" s="427"/>
      <c r="D111" s="428">
        <v>797450.29884165036</v>
      </c>
      <c r="E111" s="429"/>
      <c r="F111" s="155">
        <v>63.829334363394835</v>
      </c>
      <c r="G111" s="155">
        <v>15949.005976833008</v>
      </c>
      <c r="H111" s="154">
        <v>16012.835311196402</v>
      </c>
    </row>
    <row r="112" spans="1:8" x14ac:dyDescent="0.25">
      <c r="A112" s="153">
        <v>83</v>
      </c>
      <c r="B112" s="426">
        <v>46234</v>
      </c>
      <c r="C112" s="427"/>
      <c r="D112" s="428">
        <v>797386.46950728702</v>
      </c>
      <c r="E112" s="429"/>
      <c r="F112" s="155">
        <v>65.105921050662744</v>
      </c>
      <c r="G112" s="155">
        <v>15947.729390145741</v>
      </c>
      <c r="H112" s="154">
        <v>16012.835311196404</v>
      </c>
    </row>
    <row r="113" spans="1:8" x14ac:dyDescent="0.25">
      <c r="A113" s="153">
        <v>84</v>
      </c>
      <c r="B113" s="426">
        <v>46265</v>
      </c>
      <c r="C113" s="427"/>
      <c r="D113" s="428">
        <v>797321.36358623637</v>
      </c>
      <c r="E113" s="429"/>
      <c r="F113" s="155">
        <v>66.408039471675991</v>
      </c>
      <c r="G113" s="155">
        <v>15946.427271724728</v>
      </c>
      <c r="H113" s="154">
        <v>16012.835311196404</v>
      </c>
    </row>
    <row r="114" spans="1:8" x14ac:dyDescent="0.25">
      <c r="A114" s="153">
        <v>85</v>
      </c>
      <c r="B114" s="426">
        <v>46295</v>
      </c>
      <c r="C114" s="427"/>
      <c r="D114" s="428">
        <v>797254.95554676466</v>
      </c>
      <c r="E114" s="429"/>
      <c r="F114" s="155">
        <v>67.736200261109516</v>
      </c>
      <c r="G114" s="155">
        <v>15945.099110935293</v>
      </c>
      <c r="H114" s="154">
        <v>16012.835311196402</v>
      </c>
    </row>
    <row r="115" spans="1:8" x14ac:dyDescent="0.25">
      <c r="A115" s="153">
        <v>86</v>
      </c>
      <c r="B115" s="426">
        <v>46326</v>
      </c>
      <c r="C115" s="427"/>
      <c r="D115" s="428">
        <v>797187.21934650349</v>
      </c>
      <c r="E115" s="429"/>
      <c r="F115" s="155">
        <v>69.090924266331697</v>
      </c>
      <c r="G115" s="155">
        <v>15943.74438693007</v>
      </c>
      <c r="H115" s="154">
        <v>16012.835311196401</v>
      </c>
    </row>
    <row r="116" spans="1:8" x14ac:dyDescent="0.25">
      <c r="A116" s="153">
        <v>87</v>
      </c>
      <c r="B116" s="426">
        <v>46356</v>
      </c>
      <c r="C116" s="427"/>
      <c r="D116" s="428">
        <v>797118.12842223712</v>
      </c>
      <c r="E116" s="429"/>
      <c r="F116" s="155">
        <v>70.472742751658345</v>
      </c>
      <c r="G116" s="155">
        <v>15942.362568444743</v>
      </c>
      <c r="H116" s="154">
        <v>16012.835311196402</v>
      </c>
    </row>
    <row r="117" spans="1:8" x14ac:dyDescent="0.25">
      <c r="A117" s="153">
        <v>88</v>
      </c>
      <c r="B117" s="426">
        <v>46387</v>
      </c>
      <c r="C117" s="427"/>
      <c r="D117" s="428">
        <v>797047.65567948541</v>
      </c>
      <c r="E117" s="429"/>
      <c r="F117" s="155">
        <v>71.882197606691506</v>
      </c>
      <c r="G117" s="155">
        <v>15940.953113589709</v>
      </c>
      <c r="H117" s="154">
        <v>16012.835311196401</v>
      </c>
    </row>
    <row r="118" spans="1:8" x14ac:dyDescent="0.25">
      <c r="A118" s="153">
        <v>89</v>
      </c>
      <c r="B118" s="426">
        <v>46418</v>
      </c>
      <c r="C118" s="427"/>
      <c r="D118" s="428">
        <v>796975.77348187868</v>
      </c>
      <c r="E118" s="429"/>
      <c r="F118" s="155">
        <v>73.319841558825345</v>
      </c>
      <c r="G118" s="155">
        <v>15939.515469637574</v>
      </c>
      <c r="H118" s="154">
        <v>16012.835311196399</v>
      </c>
    </row>
    <row r="119" spans="1:8" x14ac:dyDescent="0.25">
      <c r="A119" s="153">
        <v>90</v>
      </c>
      <c r="B119" s="426">
        <v>46446</v>
      </c>
      <c r="C119" s="427"/>
      <c r="D119" s="428">
        <v>796902.45364031987</v>
      </c>
      <c r="E119" s="429"/>
      <c r="F119" s="155">
        <v>74.786238390001841</v>
      </c>
      <c r="G119" s="155">
        <v>15938.049072806398</v>
      </c>
      <c r="H119" s="154">
        <v>16012.835311196399</v>
      </c>
    </row>
    <row r="120" spans="1:8" x14ac:dyDescent="0.25">
      <c r="A120" s="153">
        <v>91</v>
      </c>
      <c r="B120" s="426">
        <v>46477</v>
      </c>
      <c r="C120" s="427"/>
      <c r="D120" s="428">
        <v>796827.66740192985</v>
      </c>
      <c r="E120" s="429"/>
      <c r="F120" s="155">
        <v>76.281963157801883</v>
      </c>
      <c r="G120" s="155">
        <v>15936.553348038597</v>
      </c>
      <c r="H120" s="154">
        <v>16012.835311196399</v>
      </c>
    </row>
    <row r="121" spans="1:8" x14ac:dyDescent="0.25">
      <c r="A121" s="153">
        <v>92</v>
      </c>
      <c r="B121" s="426">
        <v>46507</v>
      </c>
      <c r="C121" s="427"/>
      <c r="D121" s="428">
        <v>796751.38543877203</v>
      </c>
      <c r="E121" s="429"/>
      <c r="F121" s="155">
        <v>77.807602420957934</v>
      </c>
      <c r="G121" s="155">
        <v>15935.02770877544</v>
      </c>
      <c r="H121" s="154">
        <v>16012.835311196399</v>
      </c>
    </row>
    <row r="122" spans="1:8" x14ac:dyDescent="0.25">
      <c r="A122" s="153">
        <v>93</v>
      </c>
      <c r="B122" s="426">
        <v>46538</v>
      </c>
      <c r="C122" s="427"/>
      <c r="D122" s="428">
        <v>796673.57783635112</v>
      </c>
      <c r="E122" s="429"/>
      <c r="F122" s="155">
        <v>79.363754469377099</v>
      </c>
      <c r="G122" s="155">
        <v>15933.471556727023</v>
      </c>
      <c r="H122" s="154">
        <v>16012.835311196401</v>
      </c>
    </row>
    <row r="123" spans="1:8" x14ac:dyDescent="0.25">
      <c r="A123" s="153">
        <v>94</v>
      </c>
      <c r="B123" s="426">
        <v>46568</v>
      </c>
      <c r="C123" s="427"/>
      <c r="D123" s="428">
        <v>796594.2140818818</v>
      </c>
      <c r="E123" s="429"/>
      <c r="F123" s="155">
        <v>80.951029558764645</v>
      </c>
      <c r="G123" s="155">
        <v>15931.884281637636</v>
      </c>
      <c r="H123" s="154">
        <v>16012.835311196401</v>
      </c>
    </row>
    <row r="124" spans="1:8" x14ac:dyDescent="0.25">
      <c r="A124" s="153">
        <v>95</v>
      </c>
      <c r="B124" s="426">
        <v>46599</v>
      </c>
      <c r="C124" s="427"/>
      <c r="D124" s="428">
        <v>796513.26305232302</v>
      </c>
      <c r="E124" s="429"/>
      <c r="F124" s="155">
        <v>82.570050149939931</v>
      </c>
      <c r="G124" s="155">
        <v>15930.265261046461</v>
      </c>
      <c r="H124" s="154">
        <v>16012.835311196401</v>
      </c>
    </row>
    <row r="125" spans="1:8" x14ac:dyDescent="0.25">
      <c r="A125" s="153">
        <v>96</v>
      </c>
      <c r="B125" s="426">
        <v>46630</v>
      </c>
      <c r="C125" s="427"/>
      <c r="D125" s="428">
        <v>796430.6930021731</v>
      </c>
      <c r="E125" s="429"/>
      <c r="F125" s="155">
        <v>84.221451152938755</v>
      </c>
      <c r="G125" s="155">
        <v>15928.613860043462</v>
      </c>
      <c r="H125" s="154">
        <v>16012.835311196401</v>
      </c>
    </row>
    <row r="126" spans="1:8" x14ac:dyDescent="0.25">
      <c r="A126" s="153">
        <v>97</v>
      </c>
      <c r="B126" s="426">
        <v>46660</v>
      </c>
      <c r="C126" s="427"/>
      <c r="D126" s="428">
        <v>796346.47155102016</v>
      </c>
      <c r="E126" s="429"/>
      <c r="F126" s="155">
        <v>85.905880175997453</v>
      </c>
      <c r="G126" s="155">
        <v>15926.929431020404</v>
      </c>
      <c r="H126" s="154">
        <v>16012.835311196401</v>
      </c>
    </row>
    <row r="127" spans="1:8" x14ac:dyDescent="0.25">
      <c r="A127" s="153">
        <v>98</v>
      </c>
      <c r="B127" s="426">
        <v>46691</v>
      </c>
      <c r="C127" s="427"/>
      <c r="D127" s="428">
        <v>796260.56567084417</v>
      </c>
      <c r="E127" s="429"/>
      <c r="F127" s="155">
        <v>87.62399777951741</v>
      </c>
      <c r="G127" s="155">
        <v>15925.211313416883</v>
      </c>
      <c r="H127" s="154">
        <v>16012.835311196401</v>
      </c>
    </row>
    <row r="128" spans="1:8" x14ac:dyDescent="0.25">
      <c r="A128" s="153">
        <v>99</v>
      </c>
      <c r="B128" s="426">
        <v>46721</v>
      </c>
      <c r="C128" s="427"/>
      <c r="D128" s="428">
        <v>796172.9416730646</v>
      </c>
      <c r="E128" s="429"/>
      <c r="F128" s="155">
        <v>89.376477735107741</v>
      </c>
      <c r="G128" s="155">
        <v>15923.458833461293</v>
      </c>
      <c r="H128" s="154">
        <v>16012.835311196401</v>
      </c>
    </row>
    <row r="129" spans="1:8" x14ac:dyDescent="0.25">
      <c r="A129" s="153">
        <v>100</v>
      </c>
      <c r="B129" s="426">
        <v>46752</v>
      </c>
      <c r="C129" s="427"/>
      <c r="D129" s="428">
        <v>796083.56519532949</v>
      </c>
      <c r="E129" s="429"/>
      <c r="F129" s="155">
        <v>91.164007289809902</v>
      </c>
      <c r="G129" s="155">
        <v>15921.671303906591</v>
      </c>
      <c r="H129" s="154">
        <v>16012.835311196401</v>
      </c>
    </row>
    <row r="130" spans="1:8" x14ac:dyDescent="0.25">
      <c r="A130" s="153">
        <v>101</v>
      </c>
      <c r="B130" s="426">
        <v>46783</v>
      </c>
      <c r="C130" s="427"/>
      <c r="D130" s="428">
        <v>795992.40118803969</v>
      </c>
      <c r="E130" s="429"/>
      <c r="F130" s="155">
        <v>92.98728743560612</v>
      </c>
      <c r="G130" s="155">
        <v>15919.848023760795</v>
      </c>
      <c r="H130" s="154">
        <v>16012.835311196401</v>
      </c>
    </row>
    <row r="131" spans="1:8" x14ac:dyDescent="0.25">
      <c r="A131" s="153">
        <v>102</v>
      </c>
      <c r="B131" s="426">
        <v>46812</v>
      </c>
      <c r="C131" s="427"/>
      <c r="D131" s="428">
        <v>795899.41390060412</v>
      </c>
      <c r="E131" s="429"/>
      <c r="F131" s="155">
        <v>94.847033184318249</v>
      </c>
      <c r="G131" s="155">
        <v>15917.988278012082</v>
      </c>
      <c r="H131" s="154">
        <v>16012.835311196401</v>
      </c>
    </row>
    <row r="132" spans="1:8" x14ac:dyDescent="0.25">
      <c r="A132" s="153">
        <v>103</v>
      </c>
      <c r="B132" s="426">
        <v>46843</v>
      </c>
      <c r="C132" s="427"/>
      <c r="D132" s="428">
        <v>795804.56686741975</v>
      </c>
      <c r="E132" s="429"/>
      <c r="F132" s="155">
        <v>96.743973848004629</v>
      </c>
      <c r="G132" s="155">
        <v>15916.091337348395</v>
      </c>
      <c r="H132" s="154">
        <v>16012.835311196399</v>
      </c>
    </row>
    <row r="133" spans="1:8" x14ac:dyDescent="0.25">
      <c r="A133" s="153">
        <v>104</v>
      </c>
      <c r="B133" s="426">
        <v>46873</v>
      </c>
      <c r="C133" s="427"/>
      <c r="D133" s="428">
        <v>795707.82289357169</v>
      </c>
      <c r="E133" s="429"/>
      <c r="F133" s="155">
        <v>98.678853324964692</v>
      </c>
      <c r="G133" s="155">
        <v>15914.156457871433</v>
      </c>
      <c r="H133" s="154">
        <v>16012.835311196399</v>
      </c>
    </row>
    <row r="134" spans="1:8" x14ac:dyDescent="0.25">
      <c r="A134" s="153">
        <v>105</v>
      </c>
      <c r="B134" s="426">
        <v>46904</v>
      </c>
      <c r="C134" s="427"/>
      <c r="D134" s="428">
        <v>795609.14404024673</v>
      </c>
      <c r="E134" s="429"/>
      <c r="F134" s="155">
        <v>100.65243039146401</v>
      </c>
      <c r="G134" s="155">
        <v>15912.182880804934</v>
      </c>
      <c r="H134" s="154">
        <v>16012.835311196399</v>
      </c>
    </row>
    <row r="135" spans="1:8" x14ac:dyDescent="0.25">
      <c r="A135" s="153">
        <v>106</v>
      </c>
      <c r="B135" s="426">
        <v>46934</v>
      </c>
      <c r="C135" s="427"/>
      <c r="D135" s="428">
        <v>795508.49160985521</v>
      </c>
      <c r="E135" s="429"/>
      <c r="F135" s="155">
        <v>102.66547899929328</v>
      </c>
      <c r="G135" s="155">
        <v>15910.169832197105</v>
      </c>
      <c r="H135" s="154">
        <v>16012.835311196399</v>
      </c>
    </row>
    <row r="136" spans="1:8" x14ac:dyDescent="0.25">
      <c r="A136" s="153">
        <v>107</v>
      </c>
      <c r="B136" s="426">
        <v>46965</v>
      </c>
      <c r="C136" s="427"/>
      <c r="D136" s="428">
        <v>795405.82613085594</v>
      </c>
      <c r="E136" s="429"/>
      <c r="F136" s="155">
        <v>104.71878857927915</v>
      </c>
      <c r="G136" s="155">
        <v>15908.11652261712</v>
      </c>
      <c r="H136" s="154">
        <v>16012.835311196399</v>
      </c>
    </row>
    <row r="137" spans="1:8" x14ac:dyDescent="0.25">
      <c r="A137" s="153">
        <v>108</v>
      </c>
      <c r="B137" s="426">
        <v>46996</v>
      </c>
      <c r="C137" s="427"/>
      <c r="D137" s="428">
        <v>795301.10734227672</v>
      </c>
      <c r="E137" s="429"/>
      <c r="F137" s="155">
        <v>106.81316435086475</v>
      </c>
      <c r="G137" s="155">
        <v>15906.022146845535</v>
      </c>
      <c r="H137" s="154">
        <v>16012.835311196399</v>
      </c>
    </row>
    <row r="138" spans="1:8" x14ac:dyDescent="0.25">
      <c r="A138" s="153">
        <v>109</v>
      </c>
      <c r="B138" s="426">
        <v>47026</v>
      </c>
      <c r="C138" s="427"/>
      <c r="D138" s="428">
        <v>795194.29417792591</v>
      </c>
      <c r="E138" s="429"/>
      <c r="F138" s="155">
        <v>108.94942763788205</v>
      </c>
      <c r="G138" s="155">
        <v>15903.885883558518</v>
      </c>
      <c r="H138" s="154">
        <v>16012.835311196401</v>
      </c>
    </row>
    <row r="139" spans="1:8" x14ac:dyDescent="0.25">
      <c r="A139" s="153">
        <v>110</v>
      </c>
      <c r="B139" s="426">
        <v>47057</v>
      </c>
      <c r="C139" s="427"/>
      <c r="D139" s="428">
        <v>795085.34475028806</v>
      </c>
      <c r="E139" s="429"/>
      <c r="F139" s="155">
        <v>111.12841619063973</v>
      </c>
      <c r="G139" s="155">
        <v>15901.706895005762</v>
      </c>
      <c r="H139" s="154">
        <v>16012.835311196402</v>
      </c>
    </row>
    <row r="140" spans="1:8" x14ac:dyDescent="0.25">
      <c r="A140" s="153">
        <v>111</v>
      </c>
      <c r="B140" s="426">
        <v>47087</v>
      </c>
      <c r="C140" s="427"/>
      <c r="D140" s="428">
        <v>794974.21633409744</v>
      </c>
      <c r="E140" s="429"/>
      <c r="F140" s="155">
        <v>113.35098451445251</v>
      </c>
      <c r="G140" s="155">
        <v>15899.48432668195</v>
      </c>
      <c r="H140" s="154">
        <v>16012.835311196402</v>
      </c>
    </row>
    <row r="141" spans="1:8" x14ac:dyDescent="0.25">
      <c r="A141" s="153">
        <v>112</v>
      </c>
      <c r="B141" s="426">
        <v>47118</v>
      </c>
      <c r="C141" s="427"/>
      <c r="D141" s="428">
        <v>794860.86534958298</v>
      </c>
      <c r="E141" s="429"/>
      <c r="F141" s="155">
        <v>115.61800420474158</v>
      </c>
      <c r="G141" s="155">
        <v>15897.217306991661</v>
      </c>
      <c r="H141" s="154">
        <v>16012.835311196402</v>
      </c>
    </row>
    <row r="142" spans="1:8" x14ac:dyDescent="0.25">
      <c r="A142" s="153">
        <v>113</v>
      </c>
      <c r="B142" s="426">
        <v>47149</v>
      </c>
      <c r="C142" s="427"/>
      <c r="D142" s="428">
        <v>794745.24734537827</v>
      </c>
      <c r="E142" s="429"/>
      <c r="F142" s="155">
        <v>117.93036428883642</v>
      </c>
      <c r="G142" s="155">
        <v>15894.904946907565</v>
      </c>
      <c r="H142" s="154">
        <v>16012.835311196402</v>
      </c>
    </row>
    <row r="143" spans="1:8" x14ac:dyDescent="0.25">
      <c r="A143" s="153">
        <v>114</v>
      </c>
      <c r="B143" s="426">
        <v>47177</v>
      </c>
      <c r="C143" s="427"/>
      <c r="D143" s="428">
        <v>794627.31698108942</v>
      </c>
      <c r="E143" s="429"/>
      <c r="F143" s="155">
        <v>120.28897157461303</v>
      </c>
      <c r="G143" s="155">
        <v>15892.546339621789</v>
      </c>
      <c r="H143" s="154">
        <v>16012.835311196402</v>
      </c>
    </row>
    <row r="144" spans="1:8" x14ac:dyDescent="0.25">
      <c r="A144" s="153">
        <v>115</v>
      </c>
      <c r="B144" s="426">
        <v>47208</v>
      </c>
      <c r="C144" s="427"/>
      <c r="D144" s="428">
        <v>794507.02800951479</v>
      </c>
      <c r="E144" s="429"/>
      <c r="F144" s="155">
        <v>122.69475100610531</v>
      </c>
      <c r="G144" s="155">
        <v>15890.140560190297</v>
      </c>
      <c r="H144" s="154">
        <v>16012.835311196402</v>
      </c>
    </row>
    <row r="145" spans="1:8" x14ac:dyDescent="0.25">
      <c r="A145" s="153">
        <v>116</v>
      </c>
      <c r="B145" s="426">
        <v>47238</v>
      </c>
      <c r="C145" s="427"/>
      <c r="D145" s="428">
        <v>794384.3332585087</v>
      </c>
      <c r="E145" s="429"/>
      <c r="F145" s="155">
        <v>125.1486460262274</v>
      </c>
      <c r="G145" s="155">
        <v>15887.686665170175</v>
      </c>
      <c r="H145" s="154">
        <v>16012.835311196402</v>
      </c>
    </row>
    <row r="146" spans="1:8" x14ac:dyDescent="0.25">
      <c r="A146" s="153">
        <v>117</v>
      </c>
      <c r="B146" s="426">
        <v>47269</v>
      </c>
      <c r="C146" s="427"/>
      <c r="D146" s="428">
        <v>794259.18461248244</v>
      </c>
      <c r="E146" s="429"/>
      <c r="F146" s="155">
        <v>127.65161894675195</v>
      </c>
      <c r="G146" s="155">
        <v>15885.18369224965</v>
      </c>
      <c r="H146" s="154">
        <v>16012.835311196401</v>
      </c>
    </row>
    <row r="147" spans="1:8" x14ac:dyDescent="0.25">
      <c r="A147" s="153">
        <v>118</v>
      </c>
      <c r="B147" s="426">
        <v>47299</v>
      </c>
      <c r="C147" s="427"/>
      <c r="D147" s="428">
        <v>794131.53299353563</v>
      </c>
      <c r="E147" s="429"/>
      <c r="F147" s="155">
        <v>130.20465132568702</v>
      </c>
      <c r="G147" s="155">
        <v>15882.630659870712</v>
      </c>
      <c r="H147" s="154">
        <v>16012.835311196399</v>
      </c>
    </row>
    <row r="148" spans="1:8" x14ac:dyDescent="0.25">
      <c r="A148" s="153">
        <v>119</v>
      </c>
      <c r="B148" s="426">
        <v>47330</v>
      </c>
      <c r="C148" s="427"/>
      <c r="D148" s="428">
        <v>794001.32834220992</v>
      </c>
      <c r="E148" s="429"/>
      <c r="F148" s="155">
        <v>132.80874435220073</v>
      </c>
      <c r="G148" s="155">
        <v>15880.026566844199</v>
      </c>
      <c r="H148" s="154">
        <v>16012.835311196399</v>
      </c>
    </row>
    <row r="149" spans="1:8" x14ac:dyDescent="0.25">
      <c r="A149" s="153">
        <v>120</v>
      </c>
      <c r="B149" s="426">
        <v>47361</v>
      </c>
      <c r="C149" s="427"/>
      <c r="D149" s="428">
        <v>793868.51959785772</v>
      </c>
      <c r="E149" s="429"/>
      <c r="F149" s="155">
        <v>135.46491923924481</v>
      </c>
      <c r="G149" s="155">
        <v>15877.370391957154</v>
      </c>
      <c r="H149" s="154">
        <v>16012.835311196399</v>
      </c>
    </row>
    <row r="150" spans="1:8" x14ac:dyDescent="0.25">
      <c r="A150" s="153">
        <v>121</v>
      </c>
      <c r="B150" s="426">
        <v>47391</v>
      </c>
      <c r="C150" s="427"/>
      <c r="D150" s="428">
        <v>793733.05467861844</v>
      </c>
      <c r="E150" s="429"/>
      <c r="F150" s="155">
        <v>138.17421762402964</v>
      </c>
      <c r="G150" s="155">
        <v>15874.661093572369</v>
      </c>
      <c r="H150" s="154">
        <v>16012.835311196399</v>
      </c>
    </row>
    <row r="151" spans="1:8" x14ac:dyDescent="0.25">
      <c r="A151" s="153">
        <v>122</v>
      </c>
      <c r="B151" s="426">
        <v>47422</v>
      </c>
      <c r="C151" s="427"/>
      <c r="D151" s="428">
        <v>793594.88046099443</v>
      </c>
      <c r="E151" s="429"/>
      <c r="F151" s="155">
        <v>140.93770197651025</v>
      </c>
      <c r="G151" s="155">
        <v>15871.897609219888</v>
      </c>
      <c r="H151" s="154">
        <v>16012.835311196399</v>
      </c>
    </row>
    <row r="152" spans="1:8" x14ac:dyDescent="0.25">
      <c r="A152" s="153">
        <v>123</v>
      </c>
      <c r="B152" s="426">
        <v>47452</v>
      </c>
      <c r="C152" s="427"/>
      <c r="D152" s="428">
        <v>793453.94275901793</v>
      </c>
      <c r="E152" s="429"/>
      <c r="F152" s="155">
        <v>143.75645601604049</v>
      </c>
      <c r="G152" s="155">
        <v>15869.078855180358</v>
      </c>
      <c r="H152" s="154">
        <v>16012.835311196399</v>
      </c>
    </row>
    <row r="153" spans="1:8" x14ac:dyDescent="0.25">
      <c r="A153" s="153">
        <v>124</v>
      </c>
      <c r="B153" s="426">
        <v>47483</v>
      </c>
      <c r="C153" s="427"/>
      <c r="D153" s="428">
        <v>793310.18630300183</v>
      </c>
      <c r="E153" s="429"/>
      <c r="F153" s="155">
        <v>146.63158513636128</v>
      </c>
      <c r="G153" s="155">
        <v>15866.203726060037</v>
      </c>
      <c r="H153" s="154">
        <v>16012.835311196399</v>
      </c>
    </row>
    <row r="154" spans="1:8" x14ac:dyDescent="0.25">
      <c r="A154" s="153">
        <v>125</v>
      </c>
      <c r="B154" s="426">
        <v>47514</v>
      </c>
      <c r="C154" s="427"/>
      <c r="D154" s="428">
        <v>793163.55471786542</v>
      </c>
      <c r="E154" s="429"/>
      <c r="F154" s="155">
        <v>149.56421683908854</v>
      </c>
      <c r="G154" s="155">
        <v>15863.271094357309</v>
      </c>
      <c r="H154" s="154">
        <v>16012.835311196397</v>
      </c>
    </row>
    <row r="155" spans="1:8" x14ac:dyDescent="0.25">
      <c r="A155" s="153">
        <v>126</v>
      </c>
      <c r="B155" s="426">
        <v>47542</v>
      </c>
      <c r="C155" s="427"/>
      <c r="D155" s="428">
        <v>793013.99050102639</v>
      </c>
      <c r="E155" s="429"/>
      <c r="F155" s="155">
        <v>152.55550117587029</v>
      </c>
      <c r="G155" s="155">
        <v>15860.279810020527</v>
      </c>
      <c r="H155" s="154">
        <v>16012.835311196397</v>
      </c>
    </row>
    <row r="156" spans="1:8" x14ac:dyDescent="0.25">
      <c r="A156" s="153">
        <v>127</v>
      </c>
      <c r="B156" s="426">
        <v>47573</v>
      </c>
      <c r="C156" s="427"/>
      <c r="D156" s="428">
        <v>792861.43499985046</v>
      </c>
      <c r="E156" s="429"/>
      <c r="F156" s="155">
        <v>155.60661119938771</v>
      </c>
      <c r="G156" s="155">
        <v>15857.228699997009</v>
      </c>
      <c r="H156" s="154">
        <v>16012.835311196397</v>
      </c>
    </row>
    <row r="157" spans="1:8" x14ac:dyDescent="0.25">
      <c r="A157" s="153">
        <v>128</v>
      </c>
      <c r="B157" s="426">
        <v>47603</v>
      </c>
      <c r="C157" s="427"/>
      <c r="D157" s="428">
        <v>792705.82838865102</v>
      </c>
      <c r="E157" s="429"/>
      <c r="F157" s="155">
        <v>158.71874342337546</v>
      </c>
      <c r="G157" s="155">
        <v>15854.116567773021</v>
      </c>
      <c r="H157" s="154">
        <v>16012.835311196395</v>
      </c>
    </row>
    <row r="158" spans="1:8" x14ac:dyDescent="0.25">
      <c r="A158" s="153">
        <v>129</v>
      </c>
      <c r="B158" s="426">
        <v>47634</v>
      </c>
      <c r="C158" s="427"/>
      <c r="D158" s="428">
        <v>792547.10964522767</v>
      </c>
      <c r="E158" s="429"/>
      <c r="F158" s="155">
        <v>161.89311829184297</v>
      </c>
      <c r="G158" s="155">
        <v>15850.942192904553</v>
      </c>
      <c r="H158" s="154">
        <v>16012.835311196395</v>
      </c>
    </row>
    <row r="159" spans="1:8" x14ac:dyDescent="0.25">
      <c r="A159" s="153">
        <v>130</v>
      </c>
      <c r="B159" s="426">
        <v>47664</v>
      </c>
      <c r="C159" s="427"/>
      <c r="D159" s="428">
        <v>792385.21652693581</v>
      </c>
      <c r="E159" s="429"/>
      <c r="F159" s="155">
        <v>165.13098065767983</v>
      </c>
      <c r="G159" s="155">
        <v>15847.704330538716</v>
      </c>
      <c r="H159" s="154">
        <v>16012.835311196395</v>
      </c>
    </row>
    <row r="160" spans="1:8" x14ac:dyDescent="0.25">
      <c r="A160" s="153">
        <v>131</v>
      </c>
      <c r="B160" s="426">
        <v>47695</v>
      </c>
      <c r="C160" s="427"/>
      <c r="D160" s="428">
        <v>792220.08554627816</v>
      </c>
      <c r="E160" s="429"/>
      <c r="F160" s="155">
        <v>168.43360027083327</v>
      </c>
      <c r="G160" s="155">
        <v>15844.401710925564</v>
      </c>
      <c r="H160" s="154">
        <v>16012.835311196397</v>
      </c>
    </row>
    <row r="161" spans="1:8" x14ac:dyDescent="0.25">
      <c r="A161" s="153">
        <v>132</v>
      </c>
      <c r="B161" s="426">
        <v>47726</v>
      </c>
      <c r="C161" s="427"/>
      <c r="D161" s="428">
        <v>792051.65194600727</v>
      </c>
      <c r="E161" s="429"/>
      <c r="F161" s="155">
        <v>171.80227227624997</v>
      </c>
      <c r="G161" s="155">
        <v>15841.033038920146</v>
      </c>
      <c r="H161" s="154">
        <v>16012.835311196397</v>
      </c>
    </row>
    <row r="162" spans="1:8" x14ac:dyDescent="0.25">
      <c r="A162" s="153">
        <v>133</v>
      </c>
      <c r="B162" s="426">
        <v>47756</v>
      </c>
      <c r="C162" s="427"/>
      <c r="D162" s="428">
        <v>791879.84967373102</v>
      </c>
      <c r="E162" s="429"/>
      <c r="F162" s="155">
        <v>175.23831772177496</v>
      </c>
      <c r="G162" s="155">
        <v>15837.596993474621</v>
      </c>
      <c r="H162" s="154">
        <v>16012.835311196395</v>
      </c>
    </row>
    <row r="163" spans="1:8" x14ac:dyDescent="0.25">
      <c r="A163" s="153">
        <v>134</v>
      </c>
      <c r="B163" s="426">
        <v>47787</v>
      </c>
      <c r="C163" s="427"/>
      <c r="D163" s="428">
        <v>791704.61135600926</v>
      </c>
      <c r="E163" s="429"/>
      <c r="F163" s="155">
        <v>178.74308407621052</v>
      </c>
      <c r="G163" s="155">
        <v>15834.092227120185</v>
      </c>
      <c r="H163" s="154">
        <v>16012.835311196395</v>
      </c>
    </row>
    <row r="164" spans="1:8" x14ac:dyDescent="0.25">
      <c r="A164" s="153">
        <v>135</v>
      </c>
      <c r="B164" s="426">
        <v>47817</v>
      </c>
      <c r="C164" s="427"/>
      <c r="D164" s="428">
        <v>791525.86827193305</v>
      </c>
      <c r="E164" s="429"/>
      <c r="F164" s="155">
        <v>182.31794575773472</v>
      </c>
      <c r="G164" s="155">
        <v>15830.517365438662</v>
      </c>
      <c r="H164" s="154">
        <v>16012.835311196397</v>
      </c>
    </row>
    <row r="165" spans="1:8" x14ac:dyDescent="0.25">
      <c r="A165" s="153">
        <v>136</v>
      </c>
      <c r="B165" s="426">
        <v>47848</v>
      </c>
      <c r="C165" s="427"/>
      <c r="D165" s="428">
        <v>791343.55032617529</v>
      </c>
      <c r="E165" s="429"/>
      <c r="F165" s="155">
        <v>185.96430467288937</v>
      </c>
      <c r="G165" s="155">
        <v>15826.871006523506</v>
      </c>
      <c r="H165" s="154">
        <v>16012.835311196395</v>
      </c>
    </row>
    <row r="166" spans="1:8" x14ac:dyDescent="0.25">
      <c r="A166" s="153">
        <v>137</v>
      </c>
      <c r="B166" s="426">
        <v>47879</v>
      </c>
      <c r="C166" s="427"/>
      <c r="D166" s="428">
        <v>791157.58602150239</v>
      </c>
      <c r="E166" s="429"/>
      <c r="F166" s="155">
        <v>189.68359076634718</v>
      </c>
      <c r="G166" s="155">
        <v>15823.151720430049</v>
      </c>
      <c r="H166" s="154">
        <v>16012.835311196397</v>
      </c>
    </row>
    <row r="167" spans="1:8" x14ac:dyDescent="0.25">
      <c r="A167" s="153">
        <v>138</v>
      </c>
      <c r="B167" s="426">
        <v>47907</v>
      </c>
      <c r="C167" s="427"/>
      <c r="D167" s="428">
        <v>790967.90243073599</v>
      </c>
      <c r="E167" s="429"/>
      <c r="F167" s="155">
        <v>193.47726258167413</v>
      </c>
      <c r="G167" s="155">
        <v>15819.35804861472</v>
      </c>
      <c r="H167" s="154">
        <v>16012.835311196395</v>
      </c>
    </row>
    <row r="168" spans="1:8" x14ac:dyDescent="0.25">
      <c r="A168" s="153">
        <v>139</v>
      </c>
      <c r="B168" s="426">
        <v>47938</v>
      </c>
      <c r="C168" s="427"/>
      <c r="D168" s="428">
        <v>790774.4251681543</v>
      </c>
      <c r="E168" s="429"/>
      <c r="F168" s="155">
        <v>197.34680783330765</v>
      </c>
      <c r="G168" s="155">
        <v>15815.488503363087</v>
      </c>
      <c r="H168" s="154">
        <v>16012.835311196395</v>
      </c>
    </row>
    <row r="169" spans="1:8" x14ac:dyDescent="0.25">
      <c r="A169" s="153">
        <v>140</v>
      </c>
      <c r="B169" s="426">
        <v>47968</v>
      </c>
      <c r="C169" s="427"/>
      <c r="D169" s="428">
        <v>790577.078360321</v>
      </c>
      <c r="E169" s="429"/>
      <c r="F169" s="155">
        <v>201.29374398997379</v>
      </c>
      <c r="G169" s="155">
        <v>15811.541567206421</v>
      </c>
      <c r="H169" s="154">
        <v>16012.835311196395</v>
      </c>
    </row>
    <row r="170" spans="1:8" x14ac:dyDescent="0.25">
      <c r="A170" s="153">
        <v>141</v>
      </c>
      <c r="B170" s="426">
        <v>47999</v>
      </c>
      <c r="C170" s="427"/>
      <c r="D170" s="428">
        <v>790375.78461633099</v>
      </c>
      <c r="E170" s="429"/>
      <c r="F170" s="155">
        <v>205.31961886977325</v>
      </c>
      <c r="G170" s="155">
        <v>15807.51569232662</v>
      </c>
      <c r="H170" s="154">
        <v>16012.835311196393</v>
      </c>
    </row>
    <row r="171" spans="1:8" x14ac:dyDescent="0.25">
      <c r="A171" s="153">
        <v>142</v>
      </c>
      <c r="B171" s="426">
        <v>48029</v>
      </c>
      <c r="C171" s="427"/>
      <c r="D171" s="428">
        <v>790170.46499746118</v>
      </c>
      <c r="E171" s="429"/>
      <c r="F171" s="155">
        <v>209.42601124716876</v>
      </c>
      <c r="G171" s="155">
        <v>15803.409299949224</v>
      </c>
      <c r="H171" s="154">
        <v>16012.835311196393</v>
      </c>
    </row>
    <row r="172" spans="1:8" x14ac:dyDescent="0.25">
      <c r="A172" s="153">
        <v>143</v>
      </c>
      <c r="B172" s="426">
        <v>48060</v>
      </c>
      <c r="C172" s="427"/>
      <c r="D172" s="428">
        <v>789961.03898621397</v>
      </c>
      <c r="E172" s="429"/>
      <c r="F172" s="155">
        <v>213.61453147211211</v>
      </c>
      <c r="G172" s="155">
        <v>15799.220779724279</v>
      </c>
      <c r="H172" s="154">
        <v>16012.835311196392</v>
      </c>
    </row>
    <row r="173" spans="1:8" x14ac:dyDescent="0.25">
      <c r="A173" s="153">
        <v>144</v>
      </c>
      <c r="B173" s="426">
        <v>48091</v>
      </c>
      <c r="C173" s="427"/>
      <c r="D173" s="428">
        <v>789747.42445474188</v>
      </c>
      <c r="E173" s="429"/>
      <c r="F173" s="155">
        <v>217.88682210155434</v>
      </c>
      <c r="G173" s="155">
        <v>15794.948489094839</v>
      </c>
      <c r="H173" s="154">
        <v>16012.835311196393</v>
      </c>
    </row>
    <row r="174" spans="1:8" x14ac:dyDescent="0.25">
      <c r="A174" s="153">
        <v>145</v>
      </c>
      <c r="B174" s="426">
        <v>48121</v>
      </c>
      <c r="C174" s="427"/>
      <c r="D174" s="428">
        <v>789529.53763264033</v>
      </c>
      <c r="E174" s="429"/>
      <c r="F174" s="155">
        <v>222.2445585435855</v>
      </c>
      <c r="G174" s="155">
        <v>15790.590752652806</v>
      </c>
      <c r="H174" s="154">
        <v>16012.835311196392</v>
      </c>
    </row>
    <row r="175" spans="1:8" x14ac:dyDescent="0.25">
      <c r="A175" s="153">
        <v>146</v>
      </c>
      <c r="B175" s="426">
        <v>48152</v>
      </c>
      <c r="C175" s="427"/>
      <c r="D175" s="428">
        <v>789307.29307409679</v>
      </c>
      <c r="E175" s="429"/>
      <c r="F175" s="155">
        <v>226.6894497144572</v>
      </c>
      <c r="G175" s="155">
        <v>15786.145861481937</v>
      </c>
      <c r="H175" s="154">
        <v>16012.835311196393</v>
      </c>
    </row>
    <row r="176" spans="1:8" x14ac:dyDescent="0.25">
      <c r="A176" s="153">
        <v>147</v>
      </c>
      <c r="B176" s="426">
        <v>48182</v>
      </c>
      <c r="C176" s="427"/>
      <c r="D176" s="428">
        <v>789080.60362438229</v>
      </c>
      <c r="E176" s="429"/>
      <c r="F176" s="155">
        <v>231.22323870874635</v>
      </c>
      <c r="G176" s="155">
        <v>15781.612072487645</v>
      </c>
      <c r="H176" s="154">
        <v>16012.835311196392</v>
      </c>
    </row>
    <row r="177" spans="1:8" x14ac:dyDescent="0.25">
      <c r="A177" s="153">
        <v>148</v>
      </c>
      <c r="B177" s="426">
        <v>48213</v>
      </c>
      <c r="C177" s="427"/>
      <c r="D177" s="428">
        <v>788849.38038567349</v>
      </c>
      <c r="E177" s="429"/>
      <c r="F177" s="155">
        <v>235.84770348292108</v>
      </c>
      <c r="G177" s="155">
        <v>15776.98760771347</v>
      </c>
      <c r="H177" s="154">
        <v>16012.835311196392</v>
      </c>
    </row>
    <row r="178" spans="1:8" x14ac:dyDescent="0.25">
      <c r="A178" s="153">
        <v>149</v>
      </c>
      <c r="B178" s="426">
        <v>48244</v>
      </c>
      <c r="C178" s="427"/>
      <c r="D178" s="428">
        <v>788613.53268219053</v>
      </c>
      <c r="E178" s="429"/>
      <c r="F178" s="155">
        <v>240.56465755257949</v>
      </c>
      <c r="G178" s="155">
        <v>15772.270653643811</v>
      </c>
      <c r="H178" s="154">
        <v>16012.83531119639</v>
      </c>
    </row>
    <row r="179" spans="1:8" x14ac:dyDescent="0.25">
      <c r="A179" s="153">
        <v>150</v>
      </c>
      <c r="B179" s="426">
        <v>48273</v>
      </c>
      <c r="C179" s="427"/>
      <c r="D179" s="428">
        <v>788372.9680246379</v>
      </c>
      <c r="E179" s="429"/>
      <c r="F179" s="155">
        <v>245.37595070363108</v>
      </c>
      <c r="G179" s="155">
        <v>15767.459360492758</v>
      </c>
      <c r="H179" s="154">
        <v>16012.835311196388</v>
      </c>
    </row>
    <row r="180" spans="1:8" x14ac:dyDescent="0.25">
      <c r="A180" s="153">
        <v>151</v>
      </c>
      <c r="B180" s="426">
        <v>48304</v>
      </c>
      <c r="C180" s="427"/>
      <c r="D180" s="428">
        <v>788127.59207393427</v>
      </c>
      <c r="E180" s="429"/>
      <c r="F180" s="155">
        <v>250.2834697177037</v>
      </c>
      <c r="G180" s="155">
        <v>15762.551841478686</v>
      </c>
      <c r="H180" s="154">
        <v>16012.83531119639</v>
      </c>
    </row>
    <row r="181" spans="1:8" x14ac:dyDescent="0.25">
      <c r="A181" s="153">
        <v>152</v>
      </c>
      <c r="B181" s="426">
        <v>48334</v>
      </c>
      <c r="C181" s="427"/>
      <c r="D181" s="428">
        <v>787877.30860421655</v>
      </c>
      <c r="E181" s="429"/>
      <c r="F181" s="155">
        <v>255.28913911205774</v>
      </c>
      <c r="G181" s="155">
        <v>15757.546172084332</v>
      </c>
      <c r="H181" s="154">
        <v>16012.83531119639</v>
      </c>
    </row>
    <row r="182" spans="1:8" x14ac:dyDescent="0.25">
      <c r="A182" s="153">
        <v>153</v>
      </c>
      <c r="B182" s="426">
        <v>48365</v>
      </c>
      <c r="C182" s="427"/>
      <c r="D182" s="428">
        <v>787622.01946510444</v>
      </c>
      <c r="E182" s="429"/>
      <c r="F182" s="155">
        <v>260.39492189429899</v>
      </c>
      <c r="G182" s="155">
        <v>15752.44038930209</v>
      </c>
      <c r="H182" s="154">
        <v>16012.83531119639</v>
      </c>
    </row>
    <row r="183" spans="1:8" x14ac:dyDescent="0.25">
      <c r="A183" s="153">
        <v>154</v>
      </c>
      <c r="B183" s="426">
        <v>48395</v>
      </c>
      <c r="C183" s="427"/>
      <c r="D183" s="428">
        <v>787361.62454321014</v>
      </c>
      <c r="E183" s="429"/>
      <c r="F183" s="155">
        <v>265.60282033218493</v>
      </c>
      <c r="G183" s="155">
        <v>15747.232490864204</v>
      </c>
      <c r="H183" s="154">
        <v>16012.83531119639</v>
      </c>
    </row>
    <row r="184" spans="1:8" x14ac:dyDescent="0.25">
      <c r="A184" s="153">
        <v>155</v>
      </c>
      <c r="B184" s="426">
        <v>48426</v>
      </c>
      <c r="C184" s="427"/>
      <c r="D184" s="428">
        <v>787096.02172287798</v>
      </c>
      <c r="E184" s="429"/>
      <c r="F184" s="155">
        <v>270.91487673882864</v>
      </c>
      <c r="G184" s="155">
        <v>15741.920434457559</v>
      </c>
      <c r="H184" s="154">
        <v>16012.835311196388</v>
      </c>
    </row>
    <row r="185" spans="1:8" x14ac:dyDescent="0.25">
      <c r="A185" s="153">
        <v>156</v>
      </c>
      <c r="B185" s="426">
        <v>48457</v>
      </c>
      <c r="C185" s="427"/>
      <c r="D185" s="428">
        <v>786825.10684613918</v>
      </c>
      <c r="E185" s="429"/>
      <c r="F185" s="155">
        <v>276.33317427360521</v>
      </c>
      <c r="G185" s="155">
        <v>15736.502136922783</v>
      </c>
      <c r="H185" s="154">
        <v>16012.835311196388</v>
      </c>
    </row>
    <row r="186" spans="1:8" x14ac:dyDescent="0.25">
      <c r="A186" s="153">
        <v>157</v>
      </c>
      <c r="B186" s="426">
        <v>48487</v>
      </c>
      <c r="C186" s="427"/>
      <c r="D186" s="428">
        <v>786548.77367186558</v>
      </c>
      <c r="E186" s="429"/>
      <c r="F186" s="155">
        <v>281.85983775907744</v>
      </c>
      <c r="G186" s="155">
        <v>15730.975473437313</v>
      </c>
      <c r="H186" s="154">
        <v>16012.83531119639</v>
      </c>
    </row>
    <row r="187" spans="1:8" x14ac:dyDescent="0.25">
      <c r="A187" s="153">
        <v>158</v>
      </c>
      <c r="B187" s="426">
        <v>48518</v>
      </c>
      <c r="C187" s="427"/>
      <c r="D187" s="428">
        <v>786266.91383410653</v>
      </c>
      <c r="E187" s="429"/>
      <c r="F187" s="155">
        <v>287.49703451425893</v>
      </c>
      <c r="G187" s="155">
        <v>15725.338276682131</v>
      </c>
      <c r="H187" s="154">
        <v>16012.83531119639</v>
      </c>
    </row>
    <row r="188" spans="1:8" x14ac:dyDescent="0.25">
      <c r="A188" s="153">
        <v>159</v>
      </c>
      <c r="B188" s="426">
        <v>48548</v>
      </c>
      <c r="C188" s="427"/>
      <c r="D188" s="428">
        <v>785979.41679959232</v>
      </c>
      <c r="E188" s="429"/>
      <c r="F188" s="155">
        <v>293.24697520454419</v>
      </c>
      <c r="G188" s="155">
        <v>15719.588335991846</v>
      </c>
      <c r="H188" s="154">
        <v>16012.83531119639</v>
      </c>
    </row>
    <row r="189" spans="1:8" x14ac:dyDescent="0.25">
      <c r="A189" s="153">
        <v>160</v>
      </c>
      <c r="B189" s="426">
        <v>48579</v>
      </c>
      <c r="C189" s="427"/>
      <c r="D189" s="428">
        <v>785686.16982438776</v>
      </c>
      <c r="E189" s="429"/>
      <c r="F189" s="155">
        <v>299.11191470863508</v>
      </c>
      <c r="G189" s="155">
        <v>15713.723396487756</v>
      </c>
      <c r="H189" s="154">
        <v>16012.835311196392</v>
      </c>
    </row>
    <row r="190" spans="1:8" x14ac:dyDescent="0.25">
      <c r="A190" s="153">
        <v>161</v>
      </c>
      <c r="B190" s="426">
        <v>48610</v>
      </c>
      <c r="C190" s="427"/>
      <c r="D190" s="428">
        <v>785387.05790967913</v>
      </c>
      <c r="E190" s="429"/>
      <c r="F190" s="155">
        <v>305.09415300280762</v>
      </c>
      <c r="G190" s="155">
        <v>15707.741158193583</v>
      </c>
      <c r="H190" s="154">
        <v>16012.835311196392</v>
      </c>
    </row>
    <row r="191" spans="1:8" x14ac:dyDescent="0.25">
      <c r="A191" s="153">
        <v>162</v>
      </c>
      <c r="B191" s="426">
        <v>48638</v>
      </c>
      <c r="C191" s="427"/>
      <c r="D191" s="428">
        <v>785081.9637566763</v>
      </c>
      <c r="E191" s="429"/>
      <c r="F191" s="155">
        <v>311.19603606286381</v>
      </c>
      <c r="G191" s="155">
        <v>15701.639275133526</v>
      </c>
      <c r="H191" s="154">
        <v>16012.83531119639</v>
      </c>
    </row>
    <row r="192" spans="1:8" x14ac:dyDescent="0.25">
      <c r="A192" s="153">
        <v>163</v>
      </c>
      <c r="B192" s="426">
        <v>48669</v>
      </c>
      <c r="C192" s="427"/>
      <c r="D192" s="428">
        <v>784770.7677206134</v>
      </c>
      <c r="E192" s="429"/>
      <c r="F192" s="155">
        <v>317.41995678412104</v>
      </c>
      <c r="G192" s="155">
        <v>15695.415354412267</v>
      </c>
      <c r="H192" s="154">
        <v>16012.835311196388</v>
      </c>
    </row>
    <row r="193" spans="1:8" x14ac:dyDescent="0.25">
      <c r="A193" s="153">
        <v>164</v>
      </c>
      <c r="B193" s="426">
        <v>48699</v>
      </c>
      <c r="C193" s="427"/>
      <c r="D193" s="428">
        <v>784453.34776382928</v>
      </c>
      <c r="E193" s="429"/>
      <c r="F193" s="155">
        <v>323.76835591980353</v>
      </c>
      <c r="G193" s="155">
        <v>15689.066955276587</v>
      </c>
      <c r="H193" s="154">
        <v>16012.83531119639</v>
      </c>
    </row>
    <row r="194" spans="1:8" x14ac:dyDescent="0.25">
      <c r="A194" s="153">
        <v>165</v>
      </c>
      <c r="B194" s="426">
        <v>48730</v>
      </c>
      <c r="C194" s="427"/>
      <c r="D194" s="428">
        <v>784129.57940790954</v>
      </c>
      <c r="E194" s="429"/>
      <c r="F194" s="155">
        <v>330.24372303819962</v>
      </c>
      <c r="G194" s="155">
        <v>15682.591588158191</v>
      </c>
      <c r="H194" s="154">
        <v>16012.835311196392</v>
      </c>
    </row>
    <row r="195" spans="1:8" x14ac:dyDescent="0.25">
      <c r="A195" s="153">
        <v>166</v>
      </c>
      <c r="B195" s="426">
        <v>48760</v>
      </c>
      <c r="C195" s="427"/>
      <c r="D195" s="428">
        <v>783799.3356848713</v>
      </c>
      <c r="E195" s="429"/>
      <c r="F195" s="155">
        <v>336.84859749896356</v>
      </c>
      <c r="G195" s="155">
        <v>15675.986713697426</v>
      </c>
      <c r="H195" s="154">
        <v>16012.83531119639</v>
      </c>
    </row>
    <row r="196" spans="1:8" x14ac:dyDescent="0.25">
      <c r="A196" s="153">
        <v>167</v>
      </c>
      <c r="B196" s="426">
        <v>48791</v>
      </c>
      <c r="C196" s="427"/>
      <c r="D196" s="428">
        <v>783462.48708737234</v>
      </c>
      <c r="E196" s="429"/>
      <c r="F196" s="155">
        <v>343.58556944894292</v>
      </c>
      <c r="G196" s="155">
        <v>15669.249741747448</v>
      </c>
      <c r="H196" s="154">
        <v>16012.835311196392</v>
      </c>
    </row>
    <row r="197" spans="1:8" x14ac:dyDescent="0.25">
      <c r="A197" s="153">
        <v>168</v>
      </c>
      <c r="B197" s="426">
        <v>48822</v>
      </c>
      <c r="C197" s="427"/>
      <c r="D197" s="428">
        <v>783118.90151792346</v>
      </c>
      <c r="E197" s="429"/>
      <c r="F197" s="155">
        <v>350.45728083792181</v>
      </c>
      <c r="G197" s="155">
        <v>15662.37803035847</v>
      </c>
      <c r="H197" s="154">
        <v>16012.835311196392</v>
      </c>
    </row>
    <row r="198" spans="1:8" x14ac:dyDescent="0.25">
      <c r="A198" s="153">
        <v>169</v>
      </c>
      <c r="B198" s="426">
        <v>48852</v>
      </c>
      <c r="C198" s="427"/>
      <c r="D198" s="428">
        <v>782768.44423708552</v>
      </c>
      <c r="E198" s="429"/>
      <c r="F198" s="155">
        <v>357.46642645468012</v>
      </c>
      <c r="G198" s="155">
        <v>15655.368884741711</v>
      </c>
      <c r="H198" s="154">
        <v>16012.835311196392</v>
      </c>
    </row>
    <row r="199" spans="1:8" x14ac:dyDescent="0.25">
      <c r="A199" s="153">
        <v>170</v>
      </c>
      <c r="B199" s="426">
        <v>48883</v>
      </c>
      <c r="C199" s="427"/>
      <c r="D199" s="428">
        <v>782410.97781063081</v>
      </c>
      <c r="E199" s="429"/>
      <c r="F199" s="155">
        <v>364.61575498377374</v>
      </c>
      <c r="G199" s="155">
        <v>15648.219556212616</v>
      </c>
      <c r="H199" s="154">
        <v>16012.83531119639</v>
      </c>
    </row>
    <row r="200" spans="1:8" x14ac:dyDescent="0.25">
      <c r="A200" s="153">
        <v>171</v>
      </c>
      <c r="B200" s="426">
        <v>48913</v>
      </c>
      <c r="C200" s="427"/>
      <c r="D200" s="428">
        <v>782046.36205564707</v>
      </c>
      <c r="E200" s="429"/>
      <c r="F200" s="155">
        <v>371.90807008344922</v>
      </c>
      <c r="G200" s="155">
        <v>15640.927241112942</v>
      </c>
      <c r="H200" s="154">
        <v>16012.835311196392</v>
      </c>
    </row>
    <row r="201" spans="1:8" x14ac:dyDescent="0.25">
      <c r="A201" s="153">
        <v>172</v>
      </c>
      <c r="B201" s="426">
        <v>48944</v>
      </c>
      <c r="C201" s="427"/>
      <c r="D201" s="428">
        <v>781674.4539855636</v>
      </c>
      <c r="E201" s="429"/>
      <c r="F201" s="155">
        <v>379.34623148511821</v>
      </c>
      <c r="G201" s="155">
        <v>15633.489079711273</v>
      </c>
      <c r="H201" s="154">
        <v>16012.835311196392</v>
      </c>
    </row>
    <row r="202" spans="1:8" x14ac:dyDescent="0.25">
      <c r="A202" s="153">
        <v>173</v>
      </c>
      <c r="B202" s="426">
        <v>48975</v>
      </c>
      <c r="C202" s="427"/>
      <c r="D202" s="428">
        <v>781295.10775407846</v>
      </c>
      <c r="E202" s="429"/>
      <c r="F202" s="155">
        <v>386.93315611482058</v>
      </c>
      <c r="G202" s="155">
        <v>15625.902155081569</v>
      </c>
      <c r="H202" s="154">
        <v>16012.83531119639</v>
      </c>
    </row>
    <row r="203" spans="1:8" x14ac:dyDescent="0.25">
      <c r="A203" s="153">
        <v>174</v>
      </c>
      <c r="B203" s="426">
        <v>49003</v>
      </c>
      <c r="C203" s="427"/>
      <c r="D203" s="428">
        <v>780908.17459796369</v>
      </c>
      <c r="E203" s="429"/>
      <c r="F203" s="155">
        <v>394.67181923711701</v>
      </c>
      <c r="G203" s="155">
        <v>15618.163491959274</v>
      </c>
      <c r="H203" s="154">
        <v>16012.835311196392</v>
      </c>
    </row>
    <row r="204" spans="1:8" x14ac:dyDescent="0.25">
      <c r="A204" s="153">
        <v>175</v>
      </c>
      <c r="B204" s="426">
        <v>49034</v>
      </c>
      <c r="C204" s="427"/>
      <c r="D204" s="428">
        <v>780513.50277872663</v>
      </c>
      <c r="E204" s="429"/>
      <c r="F204" s="155">
        <v>402.56525562185942</v>
      </c>
      <c r="G204" s="155">
        <v>15610.270055574532</v>
      </c>
      <c r="H204" s="154">
        <v>16012.835311196392</v>
      </c>
    </row>
    <row r="205" spans="1:8" x14ac:dyDescent="0.25">
      <c r="A205" s="153">
        <v>176</v>
      </c>
      <c r="B205" s="426">
        <v>49064</v>
      </c>
      <c r="C205" s="427"/>
      <c r="D205" s="428">
        <v>780110.93752310472</v>
      </c>
      <c r="E205" s="429"/>
      <c r="F205" s="155">
        <v>410.61656073429657</v>
      </c>
      <c r="G205" s="155">
        <v>15602.218750462094</v>
      </c>
      <c r="H205" s="154">
        <v>16012.835311196392</v>
      </c>
    </row>
    <row r="206" spans="1:8" x14ac:dyDescent="0.25">
      <c r="A206" s="153">
        <v>177</v>
      </c>
      <c r="B206" s="426">
        <v>49095</v>
      </c>
      <c r="C206" s="427"/>
      <c r="D206" s="428">
        <v>779700.32096237037</v>
      </c>
      <c r="E206" s="429"/>
      <c r="F206" s="155">
        <v>418.82889194898252</v>
      </c>
      <c r="G206" s="155">
        <v>15594.006419247407</v>
      </c>
      <c r="H206" s="154">
        <v>16012.83531119639</v>
      </c>
    </row>
    <row r="207" spans="1:8" x14ac:dyDescent="0.25">
      <c r="A207" s="153">
        <v>178</v>
      </c>
      <c r="B207" s="426">
        <v>49125</v>
      </c>
      <c r="C207" s="427"/>
      <c r="D207" s="428">
        <v>779281.49207042134</v>
      </c>
      <c r="E207" s="429"/>
      <c r="F207" s="155">
        <v>427.20546978796199</v>
      </c>
      <c r="G207" s="155">
        <v>15585.629841408427</v>
      </c>
      <c r="H207" s="154">
        <v>16012.835311196388</v>
      </c>
    </row>
    <row r="208" spans="1:8" x14ac:dyDescent="0.25">
      <c r="A208" s="153">
        <v>179</v>
      </c>
      <c r="B208" s="426">
        <v>49156</v>
      </c>
      <c r="C208" s="427"/>
      <c r="D208" s="428">
        <v>778854.28660063341</v>
      </c>
      <c r="E208" s="429"/>
      <c r="F208" s="155">
        <v>435.74957918372132</v>
      </c>
      <c r="G208" s="155">
        <v>15577.085732012669</v>
      </c>
      <c r="H208" s="154">
        <v>16012.83531119639</v>
      </c>
    </row>
    <row r="209" spans="1:8" x14ac:dyDescent="0.25">
      <c r="A209" s="153">
        <v>180</v>
      </c>
      <c r="B209" s="426">
        <v>49187</v>
      </c>
      <c r="C209" s="427"/>
      <c r="D209" s="428">
        <v>778418.53702144965</v>
      </c>
      <c r="E209" s="429"/>
      <c r="F209" s="155">
        <v>444.46457076739563</v>
      </c>
      <c r="G209" s="155">
        <v>15568.370740428993</v>
      </c>
      <c r="H209" s="154">
        <v>16012.835311196388</v>
      </c>
    </row>
    <row r="210" spans="1:8" x14ac:dyDescent="0.25">
      <c r="A210" s="153">
        <v>181</v>
      </c>
      <c r="B210" s="426">
        <v>49217</v>
      </c>
      <c r="C210" s="427"/>
      <c r="D210" s="428">
        <v>777974.07245068229</v>
      </c>
      <c r="E210" s="429"/>
      <c r="F210" s="155">
        <v>453.35386218274368</v>
      </c>
      <c r="G210" s="155">
        <v>15559.481449013647</v>
      </c>
      <c r="H210" s="154">
        <v>16012.83531119639</v>
      </c>
    </row>
    <row r="211" spans="1:8" x14ac:dyDescent="0.25">
      <c r="A211" s="153">
        <v>182</v>
      </c>
      <c r="B211" s="426">
        <v>49248</v>
      </c>
      <c r="C211" s="427"/>
      <c r="D211" s="428">
        <v>777520.71858849959</v>
      </c>
      <c r="E211" s="429"/>
      <c r="F211" s="155">
        <v>462.42093942639855</v>
      </c>
      <c r="G211" s="155">
        <v>15550.414371769992</v>
      </c>
      <c r="H211" s="154">
        <v>16012.83531119639</v>
      </c>
    </row>
    <row r="212" spans="1:8" x14ac:dyDescent="0.25">
      <c r="A212" s="153">
        <v>183</v>
      </c>
      <c r="B212" s="426">
        <v>49278</v>
      </c>
      <c r="C212" s="427"/>
      <c r="D212" s="428">
        <v>777058.29764907318</v>
      </c>
      <c r="E212" s="429"/>
      <c r="F212" s="155">
        <v>471.66935821492655</v>
      </c>
      <c r="G212" s="155">
        <v>15541.165952981464</v>
      </c>
      <c r="H212" s="154">
        <v>16012.835311196392</v>
      </c>
    </row>
    <row r="213" spans="1:8" x14ac:dyDescent="0.25">
      <c r="A213" s="153">
        <v>184</v>
      </c>
      <c r="B213" s="426">
        <v>49309</v>
      </c>
      <c r="C213" s="427"/>
      <c r="D213" s="428">
        <v>776586.62829085824</v>
      </c>
      <c r="E213" s="429"/>
      <c r="F213" s="155">
        <v>481.10274537922515</v>
      </c>
      <c r="G213" s="155">
        <v>15531.732565817165</v>
      </c>
      <c r="H213" s="154">
        <v>16012.83531119639</v>
      </c>
    </row>
    <row r="214" spans="1:8" x14ac:dyDescent="0.25">
      <c r="A214" s="153">
        <v>185</v>
      </c>
      <c r="B214" s="426">
        <v>49340</v>
      </c>
      <c r="C214" s="427"/>
      <c r="D214" s="428">
        <v>776105.52554547903</v>
      </c>
      <c r="E214" s="429"/>
      <c r="F214" s="155">
        <v>490.72480028680963</v>
      </c>
      <c r="G214" s="155">
        <v>15522.110510909581</v>
      </c>
      <c r="H214" s="154">
        <v>16012.83531119639</v>
      </c>
    </row>
    <row r="215" spans="1:8" x14ac:dyDescent="0.25">
      <c r="A215" s="153">
        <v>186</v>
      </c>
      <c r="B215" s="426">
        <v>49368</v>
      </c>
      <c r="C215" s="427"/>
      <c r="D215" s="428">
        <v>775614.80074519222</v>
      </c>
      <c r="E215" s="429"/>
      <c r="F215" s="155">
        <v>500.53929629254594</v>
      </c>
      <c r="G215" s="155">
        <v>15512.296014903844</v>
      </c>
      <c r="H215" s="154">
        <v>16012.83531119639</v>
      </c>
    </row>
    <row r="216" spans="1:8" x14ac:dyDescent="0.25">
      <c r="A216" s="153">
        <v>187</v>
      </c>
      <c r="B216" s="426">
        <v>49399</v>
      </c>
      <c r="C216" s="427"/>
      <c r="D216" s="428">
        <v>775114.26144889963</v>
      </c>
      <c r="E216" s="429"/>
      <c r="F216" s="155">
        <v>510.5500822183966</v>
      </c>
      <c r="G216" s="155">
        <v>15502.285228977993</v>
      </c>
      <c r="H216" s="154">
        <v>16012.83531119639</v>
      </c>
    </row>
    <row r="217" spans="1:8" x14ac:dyDescent="0.25">
      <c r="A217" s="153">
        <v>188</v>
      </c>
      <c r="B217" s="426">
        <v>49429</v>
      </c>
      <c r="C217" s="427"/>
      <c r="D217" s="428">
        <v>774603.71136668127</v>
      </c>
      <c r="E217" s="429"/>
      <c r="F217" s="155">
        <v>520.76108386276462</v>
      </c>
      <c r="G217" s="155">
        <v>15492.074227333625</v>
      </c>
      <c r="H217" s="154">
        <v>16012.83531119639</v>
      </c>
    </row>
    <row r="218" spans="1:8" x14ac:dyDescent="0.25">
      <c r="A218" s="153">
        <v>189</v>
      </c>
      <c r="B218" s="426">
        <v>49460</v>
      </c>
      <c r="C218" s="427"/>
      <c r="D218" s="428">
        <v>774082.95028281852</v>
      </c>
      <c r="E218" s="429"/>
      <c r="F218" s="155">
        <v>531.17630554001994</v>
      </c>
      <c r="G218" s="155">
        <v>15481.659005656371</v>
      </c>
      <c r="H218" s="154">
        <v>16012.835311196392</v>
      </c>
    </row>
    <row r="219" spans="1:8" x14ac:dyDescent="0.25">
      <c r="A219" s="153">
        <v>190</v>
      </c>
      <c r="B219" s="426">
        <v>49490</v>
      </c>
      <c r="C219" s="427"/>
      <c r="D219" s="428">
        <v>773551.7739772785</v>
      </c>
      <c r="E219" s="429"/>
      <c r="F219" s="155">
        <v>541.79983165082024</v>
      </c>
      <c r="G219" s="155">
        <v>15471.03547954557</v>
      </c>
      <c r="H219" s="154">
        <v>16012.83531119639</v>
      </c>
    </row>
    <row r="220" spans="1:8" x14ac:dyDescent="0.25">
      <c r="A220" s="153">
        <v>191</v>
      </c>
      <c r="B220" s="426">
        <v>49521</v>
      </c>
      <c r="C220" s="427"/>
      <c r="D220" s="428">
        <v>773009.9741456277</v>
      </c>
      <c r="E220" s="429"/>
      <c r="F220" s="155">
        <v>552.63582828383664</v>
      </c>
      <c r="G220" s="155">
        <v>15460.199482912554</v>
      </c>
      <c r="H220" s="154">
        <v>16012.835311196392</v>
      </c>
    </row>
    <row r="221" spans="1:8" x14ac:dyDescent="0.25">
      <c r="A221" s="153">
        <v>192</v>
      </c>
      <c r="B221" s="426">
        <v>49552</v>
      </c>
      <c r="C221" s="427"/>
      <c r="D221" s="428">
        <v>772457.33831734385</v>
      </c>
      <c r="E221" s="429"/>
      <c r="F221" s="155">
        <v>563.68854484951362</v>
      </c>
      <c r="G221" s="155">
        <v>15449.146766346877</v>
      </c>
      <c r="H221" s="154">
        <v>16012.835311196392</v>
      </c>
    </row>
    <row r="222" spans="1:8" x14ac:dyDescent="0.25">
      <c r="A222" s="153">
        <v>193</v>
      </c>
      <c r="B222" s="426">
        <v>49582</v>
      </c>
      <c r="C222" s="427"/>
      <c r="D222" s="428">
        <v>771893.64977249433</v>
      </c>
      <c r="E222" s="429"/>
      <c r="F222" s="155">
        <v>574.9623157465038</v>
      </c>
      <c r="G222" s="155">
        <v>15437.872995449887</v>
      </c>
      <c r="H222" s="154">
        <v>16012.83531119639</v>
      </c>
    </row>
    <row r="223" spans="1:8" x14ac:dyDescent="0.25">
      <c r="A223" s="153">
        <v>194</v>
      </c>
      <c r="B223" s="426">
        <v>49613</v>
      </c>
      <c r="C223" s="427"/>
      <c r="D223" s="428">
        <v>771318.68745674787</v>
      </c>
      <c r="E223" s="429"/>
      <c r="F223" s="155">
        <v>586.46156206143394</v>
      </c>
      <c r="G223" s="155">
        <v>15426.373749134958</v>
      </c>
      <c r="H223" s="154">
        <v>16012.835311196392</v>
      </c>
    </row>
    <row r="224" spans="1:8" x14ac:dyDescent="0.25">
      <c r="A224" s="153">
        <v>195</v>
      </c>
      <c r="B224" s="426">
        <v>49643</v>
      </c>
      <c r="C224" s="427"/>
      <c r="D224" s="428">
        <v>770732.22589468642</v>
      </c>
      <c r="E224" s="429"/>
      <c r="F224" s="155">
        <v>598.19079330266231</v>
      </c>
      <c r="G224" s="155">
        <v>15414.644517893728</v>
      </c>
      <c r="H224" s="154">
        <v>16012.835311196392</v>
      </c>
    </row>
    <row r="225" spans="1:8" x14ac:dyDescent="0.25">
      <c r="A225" s="153">
        <v>196</v>
      </c>
      <c r="B225" s="426">
        <v>49674</v>
      </c>
      <c r="C225" s="427"/>
      <c r="D225" s="428">
        <v>770134.03510138381</v>
      </c>
      <c r="E225" s="429"/>
      <c r="F225" s="155">
        <v>610.15460916871564</v>
      </c>
      <c r="G225" s="155">
        <v>15402.680702027676</v>
      </c>
      <c r="H225" s="154">
        <v>16012.835311196392</v>
      </c>
    </row>
    <row r="226" spans="1:8" x14ac:dyDescent="0.25">
      <c r="A226" s="153">
        <v>197</v>
      </c>
      <c r="B226" s="426">
        <v>49705</v>
      </c>
      <c r="C226" s="427"/>
      <c r="D226" s="428">
        <v>769523.88049221504</v>
      </c>
      <c r="E226" s="429"/>
      <c r="F226" s="155">
        <v>622.35770135208998</v>
      </c>
      <c r="G226" s="155">
        <v>15390.477609844302</v>
      </c>
      <c r="H226" s="154">
        <v>16012.835311196392</v>
      </c>
    </row>
    <row r="227" spans="1:8" x14ac:dyDescent="0.25">
      <c r="A227" s="153">
        <v>198</v>
      </c>
      <c r="B227" s="426">
        <v>49734</v>
      </c>
      <c r="C227" s="427"/>
      <c r="D227" s="428">
        <v>768901.52279086295</v>
      </c>
      <c r="E227" s="429"/>
      <c r="F227" s="155">
        <v>634.80485537913182</v>
      </c>
      <c r="G227" s="155">
        <v>15378.030455817259</v>
      </c>
      <c r="H227" s="154">
        <v>16012.835311196392</v>
      </c>
    </row>
    <row r="228" spans="1:8" x14ac:dyDescent="0.25">
      <c r="A228" s="153">
        <v>199</v>
      </c>
      <c r="B228" s="426">
        <v>49765</v>
      </c>
      <c r="C228" s="427"/>
      <c r="D228" s="428">
        <v>768266.71793548379</v>
      </c>
      <c r="E228" s="429"/>
      <c r="F228" s="155">
        <v>647.50095248671448</v>
      </c>
      <c r="G228" s="155">
        <v>15365.334358709675</v>
      </c>
      <c r="H228" s="154">
        <v>16012.83531119639</v>
      </c>
    </row>
    <row r="229" spans="1:8" x14ac:dyDescent="0.25">
      <c r="A229" s="153">
        <v>200</v>
      </c>
      <c r="B229" s="426">
        <v>49795</v>
      </c>
      <c r="C229" s="427"/>
      <c r="D229" s="428">
        <v>767619.21698299702</v>
      </c>
      <c r="E229" s="429"/>
      <c r="F229" s="155">
        <v>660.45097153644861</v>
      </c>
      <c r="G229" s="155">
        <v>15352.38433965994</v>
      </c>
      <c r="H229" s="154">
        <v>16012.83531119639</v>
      </c>
    </row>
    <row r="230" spans="1:8" x14ac:dyDescent="0.25">
      <c r="A230" s="153">
        <v>201</v>
      </c>
      <c r="B230" s="426">
        <v>49826</v>
      </c>
      <c r="C230" s="427"/>
      <c r="D230" s="428">
        <v>766958.76601146057</v>
      </c>
      <c r="E230" s="429"/>
      <c r="F230" s="155">
        <v>673.65999096717769</v>
      </c>
      <c r="G230" s="155">
        <v>15339.175320229211</v>
      </c>
      <c r="H230" s="154">
        <v>16012.835311196388</v>
      </c>
    </row>
    <row r="231" spans="1:8" x14ac:dyDescent="0.25">
      <c r="A231" s="153">
        <v>202</v>
      </c>
      <c r="B231" s="426">
        <v>49856</v>
      </c>
      <c r="C231" s="427"/>
      <c r="D231" s="428">
        <v>766285.10602049343</v>
      </c>
      <c r="E231" s="429"/>
      <c r="F231" s="155">
        <v>687.13319078652148</v>
      </c>
      <c r="G231" s="155">
        <v>15325.702120409869</v>
      </c>
      <c r="H231" s="154">
        <v>16012.835311196392</v>
      </c>
    </row>
    <row r="232" spans="1:8" x14ac:dyDescent="0.25">
      <c r="A232" s="153">
        <v>203</v>
      </c>
      <c r="B232" s="426">
        <v>49887</v>
      </c>
      <c r="C232" s="427"/>
      <c r="D232" s="428">
        <v>765597.97282970697</v>
      </c>
      <c r="E232" s="429"/>
      <c r="F232" s="155">
        <v>700.87585460225193</v>
      </c>
      <c r="G232" s="155">
        <v>15311.959456594139</v>
      </c>
      <c r="H232" s="154">
        <v>16012.835311196392</v>
      </c>
    </row>
    <row r="233" spans="1:8" x14ac:dyDescent="0.25">
      <c r="A233" s="153">
        <v>204</v>
      </c>
      <c r="B233" s="426">
        <v>49918</v>
      </c>
      <c r="C233" s="427"/>
      <c r="D233" s="428">
        <v>764897.09697510477</v>
      </c>
      <c r="E233" s="429"/>
      <c r="F233" s="155">
        <v>714.89337169429666</v>
      </c>
      <c r="G233" s="155">
        <v>15297.941939502096</v>
      </c>
      <c r="H233" s="154">
        <v>16012.835311196393</v>
      </c>
    </row>
    <row r="234" spans="1:8" x14ac:dyDescent="0.25">
      <c r="A234" s="153">
        <v>205</v>
      </c>
      <c r="B234" s="426">
        <v>49948</v>
      </c>
      <c r="C234" s="427"/>
      <c r="D234" s="428">
        <v>764182.20360341051</v>
      </c>
      <c r="E234" s="429"/>
      <c r="F234" s="155">
        <v>729.19123912818281</v>
      </c>
      <c r="G234" s="155">
        <v>15283.644072068211</v>
      </c>
      <c r="H234" s="154">
        <v>16012.835311196393</v>
      </c>
    </row>
    <row r="235" spans="1:8" x14ac:dyDescent="0.25">
      <c r="A235" s="153">
        <v>206</v>
      </c>
      <c r="B235" s="426">
        <v>49979</v>
      </c>
      <c r="C235" s="427"/>
      <c r="D235" s="428">
        <v>763453.01236428227</v>
      </c>
      <c r="E235" s="429"/>
      <c r="F235" s="155">
        <v>743.77506391074621</v>
      </c>
      <c r="G235" s="155">
        <v>15269.060247285646</v>
      </c>
      <c r="H235" s="154">
        <v>16012.835311196392</v>
      </c>
    </row>
    <row r="236" spans="1:8" x14ac:dyDescent="0.25">
      <c r="A236" s="153">
        <v>207</v>
      </c>
      <c r="B236" s="426">
        <v>50009</v>
      </c>
      <c r="C236" s="427"/>
      <c r="D236" s="428">
        <v>762709.23730037152</v>
      </c>
      <c r="E236" s="429"/>
      <c r="F236" s="155">
        <v>758.6505651889612</v>
      </c>
      <c r="G236" s="155">
        <v>15254.184746007431</v>
      </c>
      <c r="H236" s="154">
        <v>16012.835311196393</v>
      </c>
    </row>
    <row r="237" spans="1:8" x14ac:dyDescent="0.25">
      <c r="A237" s="153">
        <v>208</v>
      </c>
      <c r="B237" s="426">
        <v>50040</v>
      </c>
      <c r="C237" s="427"/>
      <c r="D237" s="428">
        <v>761950.58673518256</v>
      </c>
      <c r="E237" s="429"/>
      <c r="F237" s="155">
        <v>773.82357649274059</v>
      </c>
      <c r="G237" s="155">
        <v>15239.011734703652</v>
      </c>
      <c r="H237" s="154">
        <v>16012.835311196393</v>
      </c>
    </row>
    <row r="238" spans="1:8" x14ac:dyDescent="0.25">
      <c r="A238" s="153">
        <v>209</v>
      </c>
      <c r="B238" s="426">
        <v>50071</v>
      </c>
      <c r="C238" s="427"/>
      <c r="D238" s="428">
        <v>761176.76315868984</v>
      </c>
      <c r="E238" s="429"/>
      <c r="F238" s="155">
        <v>789.30004802259543</v>
      </c>
      <c r="G238" s="155">
        <v>15223.535263173797</v>
      </c>
      <c r="H238" s="154">
        <v>16012.835311196392</v>
      </c>
    </row>
    <row r="239" spans="1:8" x14ac:dyDescent="0.25">
      <c r="A239" s="153">
        <v>210</v>
      </c>
      <c r="B239" s="426">
        <v>50099</v>
      </c>
      <c r="C239" s="427"/>
      <c r="D239" s="428">
        <v>760387.46311066719</v>
      </c>
      <c r="E239" s="429"/>
      <c r="F239" s="155">
        <v>805.08604898304725</v>
      </c>
      <c r="G239" s="155">
        <v>15207.749262213343</v>
      </c>
      <c r="H239" s="154">
        <v>16012.83531119639</v>
      </c>
    </row>
    <row r="240" spans="1:8" x14ac:dyDescent="0.25">
      <c r="A240" s="153">
        <v>211</v>
      </c>
      <c r="B240" s="426">
        <v>50130</v>
      </c>
      <c r="C240" s="427"/>
      <c r="D240" s="428">
        <v>759582.37706168415</v>
      </c>
      <c r="E240" s="429"/>
      <c r="F240" s="155">
        <v>821.18776996270833</v>
      </c>
      <c r="G240" s="155">
        <v>15191.647541233684</v>
      </c>
      <c r="H240" s="154">
        <v>16012.835311196392</v>
      </c>
    </row>
    <row r="241" spans="1:8" x14ac:dyDescent="0.25">
      <c r="A241" s="153">
        <v>212</v>
      </c>
      <c r="B241" s="426">
        <v>50160</v>
      </c>
      <c r="C241" s="427"/>
      <c r="D241" s="428">
        <v>758761.18929172144</v>
      </c>
      <c r="E241" s="429"/>
      <c r="F241" s="155">
        <v>837.61152536196209</v>
      </c>
      <c r="G241" s="155">
        <v>15175.223785834429</v>
      </c>
      <c r="H241" s="154">
        <v>16012.835311196392</v>
      </c>
    </row>
    <row r="242" spans="1:8" x14ac:dyDescent="0.25">
      <c r="A242" s="153">
        <v>213</v>
      </c>
      <c r="B242" s="426">
        <v>50191</v>
      </c>
      <c r="C242" s="427"/>
      <c r="D242" s="428">
        <v>757923.57776635943</v>
      </c>
      <c r="E242" s="429"/>
      <c r="F242" s="155">
        <v>854.36375586920144</v>
      </c>
      <c r="G242" s="155">
        <v>15158.471555327189</v>
      </c>
      <c r="H242" s="154">
        <v>16012.83531119639</v>
      </c>
    </row>
    <row r="243" spans="1:8" x14ac:dyDescent="0.25">
      <c r="A243" s="153">
        <v>214</v>
      </c>
      <c r="B243" s="426">
        <v>50221</v>
      </c>
      <c r="C243" s="427"/>
      <c r="D243" s="428">
        <v>757069.21401049022</v>
      </c>
      <c r="E243" s="429"/>
      <c r="F243" s="155">
        <v>871.45103098658558</v>
      </c>
      <c r="G243" s="155">
        <v>15141.384280209804</v>
      </c>
      <c r="H243" s="154">
        <v>16012.83531119639</v>
      </c>
    </row>
    <row r="244" spans="1:8" x14ac:dyDescent="0.25">
      <c r="A244" s="153">
        <v>215</v>
      </c>
      <c r="B244" s="426">
        <v>50252</v>
      </c>
      <c r="C244" s="427"/>
      <c r="D244" s="428">
        <v>756197.7629795036</v>
      </c>
      <c r="E244" s="429"/>
      <c r="F244" s="155">
        <v>888.88005160631712</v>
      </c>
      <c r="G244" s="155">
        <v>15123.955259590073</v>
      </c>
      <c r="H244" s="154">
        <v>16012.83531119639</v>
      </c>
    </row>
    <row r="245" spans="1:8" x14ac:dyDescent="0.25">
      <c r="A245" s="153">
        <v>216</v>
      </c>
      <c r="B245" s="426">
        <v>50283</v>
      </c>
      <c r="C245" s="427"/>
      <c r="D245" s="428">
        <v>755308.88292789727</v>
      </c>
      <c r="E245" s="429"/>
      <c r="F245" s="155">
        <v>906.65765263844355</v>
      </c>
      <c r="G245" s="155">
        <v>15106.177658557946</v>
      </c>
      <c r="H245" s="154">
        <v>16012.83531119639</v>
      </c>
    </row>
    <row r="246" spans="1:8" x14ac:dyDescent="0.25">
      <c r="A246" s="153">
        <v>217</v>
      </c>
      <c r="B246" s="426">
        <v>50313</v>
      </c>
      <c r="C246" s="427"/>
      <c r="D246" s="428">
        <v>754402.22527525888</v>
      </c>
      <c r="E246" s="429"/>
      <c r="F246" s="155">
        <v>924.79080569121265</v>
      </c>
      <c r="G246" s="155">
        <v>15088.044505505179</v>
      </c>
      <c r="H246" s="154">
        <v>16012.835311196392</v>
      </c>
    </row>
    <row r="247" spans="1:8" x14ac:dyDescent="0.25">
      <c r="A247" s="153">
        <v>218</v>
      </c>
      <c r="B247" s="426">
        <v>50344</v>
      </c>
      <c r="C247" s="427"/>
      <c r="D247" s="428">
        <v>753477.43446956773</v>
      </c>
      <c r="E247" s="429"/>
      <c r="F247" s="155">
        <v>943.28662180503704</v>
      </c>
      <c r="G247" s="155">
        <v>15069.548689391355</v>
      </c>
      <c r="H247" s="154">
        <v>16012.835311196392</v>
      </c>
    </row>
    <row r="248" spans="1:8" x14ac:dyDescent="0.25">
      <c r="A248" s="153">
        <v>219</v>
      </c>
      <c r="B248" s="426">
        <v>50374</v>
      </c>
      <c r="C248" s="427"/>
      <c r="D248" s="428">
        <v>752534.14784776268</v>
      </c>
      <c r="E248" s="429"/>
      <c r="F248" s="155">
        <v>962.1523542411378</v>
      </c>
      <c r="G248" s="155">
        <v>15050.682956955254</v>
      </c>
      <c r="H248" s="154">
        <v>16012.835311196392</v>
      </c>
    </row>
    <row r="249" spans="1:8" x14ac:dyDescent="0.25">
      <c r="A249" s="153">
        <v>220</v>
      </c>
      <c r="B249" s="426">
        <v>50405</v>
      </c>
      <c r="C249" s="427"/>
      <c r="D249" s="428">
        <v>751571.99549352156</v>
      </c>
      <c r="E249" s="429"/>
      <c r="F249" s="155">
        <v>981.39540132596039</v>
      </c>
      <c r="G249" s="155">
        <v>15031.439909870431</v>
      </c>
      <c r="H249" s="154">
        <v>16012.835311196392</v>
      </c>
    </row>
    <row r="250" spans="1:8" x14ac:dyDescent="0.25">
      <c r="A250" s="153">
        <v>221</v>
      </c>
      <c r="B250" s="426">
        <v>50436</v>
      </c>
      <c r="C250" s="427"/>
      <c r="D250" s="428">
        <v>750590.60009219556</v>
      </c>
      <c r="E250" s="429"/>
      <c r="F250" s="155">
        <v>1001.0233093524793</v>
      </c>
      <c r="G250" s="155">
        <v>15011.812001843911</v>
      </c>
      <c r="H250" s="154">
        <v>16012.83531119639</v>
      </c>
    </row>
    <row r="251" spans="1:8" x14ac:dyDescent="0.25">
      <c r="A251" s="153">
        <v>222</v>
      </c>
      <c r="B251" s="426">
        <v>50464</v>
      </c>
      <c r="C251" s="427"/>
      <c r="D251" s="428">
        <v>749589.5767828431</v>
      </c>
      <c r="E251" s="429"/>
      <c r="F251" s="155">
        <v>1021.0437755395288</v>
      </c>
      <c r="G251" s="155">
        <v>14991.791535656863</v>
      </c>
      <c r="H251" s="154">
        <v>16012.835311196392</v>
      </c>
    </row>
    <row r="252" spans="1:8" x14ac:dyDescent="0.25">
      <c r="A252" s="153">
        <v>223</v>
      </c>
      <c r="B252" s="426">
        <v>50495</v>
      </c>
      <c r="C252" s="427"/>
      <c r="D252" s="428">
        <v>748568.5330073036</v>
      </c>
      <c r="E252" s="429"/>
      <c r="F252" s="155">
        <v>1041.4646510503196</v>
      </c>
      <c r="G252" s="155">
        <v>14971.370660146073</v>
      </c>
      <c r="H252" s="154">
        <v>16012.835311196392</v>
      </c>
    </row>
    <row r="253" spans="1:8" x14ac:dyDescent="0.25">
      <c r="A253" s="153">
        <v>224</v>
      </c>
      <c r="B253" s="426">
        <v>50525</v>
      </c>
      <c r="C253" s="427"/>
      <c r="D253" s="428">
        <v>747527.06835625332</v>
      </c>
      <c r="E253" s="429"/>
      <c r="F253" s="155">
        <v>1062.2939440713262</v>
      </c>
      <c r="G253" s="155">
        <v>14950.541367125066</v>
      </c>
      <c r="H253" s="154">
        <v>16012.835311196392</v>
      </c>
    </row>
    <row r="254" spans="1:8" x14ac:dyDescent="0.25">
      <c r="A254" s="153">
        <v>225</v>
      </c>
      <c r="B254" s="426">
        <v>50556</v>
      </c>
      <c r="C254" s="427"/>
      <c r="D254" s="428">
        <v>746464.77441218204</v>
      </c>
      <c r="E254" s="429"/>
      <c r="F254" s="155">
        <v>1083.539822952753</v>
      </c>
      <c r="G254" s="155">
        <v>14929.295488243641</v>
      </c>
      <c r="H254" s="154">
        <v>16012.835311196393</v>
      </c>
    </row>
    <row r="255" spans="1:8" x14ac:dyDescent="0.25">
      <c r="A255" s="153">
        <v>226</v>
      </c>
      <c r="B255" s="426">
        <v>50586</v>
      </c>
      <c r="C255" s="427"/>
      <c r="D255" s="428">
        <v>745381.23458922934</v>
      </c>
      <c r="E255" s="429"/>
      <c r="F255" s="155">
        <v>1105.210619411808</v>
      </c>
      <c r="G255" s="155">
        <v>14907.624691784587</v>
      </c>
      <c r="H255" s="154">
        <v>16012.835311196395</v>
      </c>
    </row>
    <row r="256" spans="1:8" x14ac:dyDescent="0.25">
      <c r="A256" s="153">
        <v>227</v>
      </c>
      <c r="B256" s="426">
        <v>50617</v>
      </c>
      <c r="C256" s="427"/>
      <c r="D256" s="428">
        <v>744276.02396981756</v>
      </c>
      <c r="E256" s="429"/>
      <c r="F256" s="155">
        <v>1127.3148318000442</v>
      </c>
      <c r="G256" s="155">
        <v>14885.520479396351</v>
      </c>
      <c r="H256" s="154">
        <v>16012.835311196395</v>
      </c>
    </row>
    <row r="257" spans="1:8" x14ac:dyDescent="0.25">
      <c r="A257" s="153">
        <v>228</v>
      </c>
      <c r="B257" s="426">
        <v>50648</v>
      </c>
      <c r="C257" s="427"/>
      <c r="D257" s="428">
        <v>743148.7091380175</v>
      </c>
      <c r="E257" s="429"/>
      <c r="F257" s="155">
        <v>1149.8611284360452</v>
      </c>
      <c r="G257" s="155">
        <v>14862.97418276035</v>
      </c>
      <c r="H257" s="154">
        <v>16012.835311196395</v>
      </c>
    </row>
    <row r="258" spans="1:8" x14ac:dyDescent="0.25">
      <c r="A258" s="153">
        <v>229</v>
      </c>
      <c r="B258" s="426">
        <v>50678</v>
      </c>
      <c r="C258" s="427"/>
      <c r="D258" s="428">
        <v>741998.84800958144</v>
      </c>
      <c r="E258" s="429"/>
      <c r="F258" s="155">
        <v>1172.8583510047656</v>
      </c>
      <c r="G258" s="155">
        <v>14839.976960191629</v>
      </c>
      <c r="H258" s="154">
        <v>16012.835311196395</v>
      </c>
    </row>
    <row r="259" spans="1:8" x14ac:dyDescent="0.25">
      <c r="A259" s="153">
        <v>230</v>
      </c>
      <c r="B259" s="426">
        <v>50709</v>
      </c>
      <c r="C259" s="427"/>
      <c r="D259" s="428">
        <v>740825.98965857667</v>
      </c>
      <c r="E259" s="429"/>
      <c r="F259" s="155">
        <v>1196.3155180248611</v>
      </c>
      <c r="G259" s="155">
        <v>14816.519793171534</v>
      </c>
      <c r="H259" s="154">
        <v>16012.835311196395</v>
      </c>
    </row>
    <row r="260" spans="1:8" x14ac:dyDescent="0.25">
      <c r="A260" s="153">
        <v>231</v>
      </c>
      <c r="B260" s="426">
        <v>50739</v>
      </c>
      <c r="C260" s="427"/>
      <c r="D260" s="428">
        <v>739629.67414055183</v>
      </c>
      <c r="E260" s="429"/>
      <c r="F260" s="155">
        <v>1220.2418283853583</v>
      </c>
      <c r="G260" s="155">
        <v>14792.593482811037</v>
      </c>
      <c r="H260" s="154">
        <v>16012.835311196395</v>
      </c>
    </row>
    <row r="261" spans="1:8" x14ac:dyDescent="0.25">
      <c r="A261" s="153">
        <v>232</v>
      </c>
      <c r="B261" s="426">
        <v>50770</v>
      </c>
      <c r="C261" s="427"/>
      <c r="D261" s="428">
        <v>738409.43231216643</v>
      </c>
      <c r="E261" s="429"/>
      <c r="F261" s="155">
        <v>1244.6466649530655</v>
      </c>
      <c r="G261" s="155">
        <v>14768.188646243329</v>
      </c>
      <c r="H261" s="154">
        <v>16012.835311196393</v>
      </c>
    </row>
    <row r="262" spans="1:8" x14ac:dyDescent="0.25">
      <c r="A262" s="153">
        <v>233</v>
      </c>
      <c r="B262" s="426">
        <v>50801</v>
      </c>
      <c r="C262" s="427"/>
      <c r="D262" s="428">
        <v>737164.78564721334</v>
      </c>
      <c r="E262" s="429"/>
      <c r="F262" s="155">
        <v>1269.5395982521266</v>
      </c>
      <c r="G262" s="155">
        <v>14743.295712944268</v>
      </c>
      <c r="H262" s="154">
        <v>16012.835311196393</v>
      </c>
    </row>
    <row r="263" spans="1:8" x14ac:dyDescent="0.25">
      <c r="A263" s="153">
        <v>234</v>
      </c>
      <c r="B263" s="426">
        <v>50829</v>
      </c>
      <c r="C263" s="427"/>
      <c r="D263" s="428">
        <v>735895.24604896118</v>
      </c>
      <c r="E263" s="429"/>
      <c r="F263" s="155">
        <v>1294.9303902171694</v>
      </c>
      <c r="G263" s="155">
        <v>14717.904920979225</v>
      </c>
      <c r="H263" s="154">
        <v>16012.835311196393</v>
      </c>
    </row>
    <row r="264" spans="1:8" x14ac:dyDescent="0.25">
      <c r="A264" s="153">
        <v>235</v>
      </c>
      <c r="B264" s="426">
        <v>50860</v>
      </c>
      <c r="C264" s="427"/>
      <c r="D264" s="428">
        <v>734600.31565874396</v>
      </c>
      <c r="E264" s="429"/>
      <c r="F264" s="155">
        <v>1320.8289980215129</v>
      </c>
      <c r="G264" s="155">
        <v>14692.006313174879</v>
      </c>
      <c r="H264" s="154">
        <v>16012.835311196392</v>
      </c>
    </row>
    <row r="265" spans="1:8" x14ac:dyDescent="0.25">
      <c r="A265" s="153">
        <v>236</v>
      </c>
      <c r="B265" s="426">
        <v>50890</v>
      </c>
      <c r="C265" s="427"/>
      <c r="D265" s="428">
        <v>733279.48666072241</v>
      </c>
      <c r="E265" s="429"/>
      <c r="F265" s="155">
        <v>1347.2455779819427</v>
      </c>
      <c r="G265" s="155">
        <v>14665.589733214449</v>
      </c>
      <c r="H265" s="154">
        <v>16012.835311196392</v>
      </c>
    </row>
    <row r="266" spans="1:8" x14ac:dyDescent="0.25">
      <c r="A266" s="153">
        <v>237</v>
      </c>
      <c r="B266" s="426">
        <v>50921</v>
      </c>
      <c r="C266" s="427"/>
      <c r="D266" s="428">
        <v>731932.24108274048</v>
      </c>
      <c r="E266" s="429"/>
      <c r="F266" s="155">
        <v>1374.1904895415819</v>
      </c>
      <c r="G266" s="155">
        <v>14638.644821654811</v>
      </c>
      <c r="H266" s="154">
        <v>16012.835311196392</v>
      </c>
    </row>
    <row r="267" spans="1:8" x14ac:dyDescent="0.25">
      <c r="A267" s="153">
        <v>238</v>
      </c>
      <c r="B267" s="426">
        <v>50951</v>
      </c>
      <c r="C267" s="427"/>
      <c r="D267" s="428">
        <v>730558.05059319886</v>
      </c>
      <c r="E267" s="429"/>
      <c r="F267" s="155">
        <v>1401.6742993324126</v>
      </c>
      <c r="G267" s="155">
        <v>14611.161011863978</v>
      </c>
      <c r="H267" s="154">
        <v>16012.835311196392</v>
      </c>
    </row>
    <row r="268" spans="1:8" x14ac:dyDescent="0.25">
      <c r="A268" s="153">
        <v>239</v>
      </c>
      <c r="B268" s="426">
        <v>50982</v>
      </c>
      <c r="C268" s="427"/>
      <c r="D268" s="428">
        <v>729156.37629386643</v>
      </c>
      <c r="E268" s="429"/>
      <c r="F268" s="155">
        <v>1429.707785319061</v>
      </c>
      <c r="G268" s="155">
        <v>14583.127525877329</v>
      </c>
      <c r="H268" s="154">
        <v>16012.83531119639</v>
      </c>
    </row>
    <row r="269" spans="1:8" x14ac:dyDescent="0.25">
      <c r="A269" s="153">
        <v>240</v>
      </c>
      <c r="B269" s="426">
        <v>51013</v>
      </c>
      <c r="C269" s="427"/>
      <c r="D269" s="428">
        <v>727726.66850854736</v>
      </c>
      <c r="E269" s="429"/>
      <c r="F269" s="155">
        <v>1458.3019410254426</v>
      </c>
      <c r="G269" s="155">
        <v>14554.533370170948</v>
      </c>
      <c r="H269" s="154">
        <v>16012.83531119639</v>
      </c>
    </row>
    <row r="270" spans="1:8" x14ac:dyDescent="0.25">
      <c r="A270" s="153">
        <v>241</v>
      </c>
      <c r="B270" s="426">
        <v>51043</v>
      </c>
      <c r="C270" s="427"/>
      <c r="D270" s="428">
        <v>726268.36656752194</v>
      </c>
      <c r="E270" s="429"/>
      <c r="F270" s="155">
        <v>1487.4679798459513</v>
      </c>
      <c r="G270" s="155">
        <v>14525.367331350439</v>
      </c>
      <c r="H270" s="154">
        <v>16012.83531119639</v>
      </c>
    </row>
    <row r="271" spans="1:8" x14ac:dyDescent="0.25">
      <c r="A271" s="153">
        <v>242</v>
      </c>
      <c r="B271" s="426">
        <v>51074</v>
      </c>
      <c r="C271" s="427"/>
      <c r="D271" s="428">
        <v>724780.898587676</v>
      </c>
      <c r="E271" s="429"/>
      <c r="F271" s="155">
        <v>1517.2173394428705</v>
      </c>
      <c r="G271" s="155">
        <v>14495.61797175352</v>
      </c>
      <c r="H271" s="154">
        <v>16012.83531119639</v>
      </c>
    </row>
    <row r="272" spans="1:8" x14ac:dyDescent="0.25">
      <c r="A272" s="153">
        <v>243</v>
      </c>
      <c r="B272" s="426">
        <v>51104</v>
      </c>
      <c r="C272" s="427"/>
      <c r="D272" s="428">
        <v>723263.68124823307</v>
      </c>
      <c r="E272" s="429"/>
      <c r="F272" s="155">
        <v>1547.5616862317279</v>
      </c>
      <c r="G272" s="155">
        <v>14465.273624964662</v>
      </c>
      <c r="H272" s="154">
        <v>16012.83531119639</v>
      </c>
    </row>
    <row r="273" spans="1:8" x14ac:dyDescent="0.25">
      <c r="A273" s="153">
        <v>244</v>
      </c>
      <c r="B273" s="426">
        <v>51135</v>
      </c>
      <c r="C273" s="427"/>
      <c r="D273" s="428">
        <v>721716.11956200132</v>
      </c>
      <c r="E273" s="429"/>
      <c r="F273" s="155">
        <v>1578.5129199563626</v>
      </c>
      <c r="G273" s="155">
        <v>14434.322391240026</v>
      </c>
      <c r="H273" s="154">
        <v>16012.835311196388</v>
      </c>
    </row>
    <row r="274" spans="1:8" x14ac:dyDescent="0.25">
      <c r="A274" s="153">
        <v>245</v>
      </c>
      <c r="B274" s="426">
        <v>51166</v>
      </c>
      <c r="C274" s="427"/>
      <c r="D274" s="428">
        <v>720137.60664204496</v>
      </c>
      <c r="E274" s="429"/>
      <c r="F274" s="155">
        <v>1610.0831783554897</v>
      </c>
      <c r="G274" s="155">
        <v>14402.7521328409</v>
      </c>
      <c r="H274" s="154">
        <v>16012.83531119639</v>
      </c>
    </row>
    <row r="275" spans="1:8" x14ac:dyDescent="0.25">
      <c r="A275" s="153">
        <v>246</v>
      </c>
      <c r="B275" s="426">
        <v>51195</v>
      </c>
      <c r="C275" s="427"/>
      <c r="D275" s="428">
        <v>718527.52346368949</v>
      </c>
      <c r="E275" s="429"/>
      <c r="F275" s="155">
        <v>1642.2848419225991</v>
      </c>
      <c r="G275" s="155">
        <v>14370.55046927379</v>
      </c>
      <c r="H275" s="154">
        <v>16012.83531119639</v>
      </c>
    </row>
    <row r="276" spans="1:8" x14ac:dyDescent="0.25">
      <c r="A276" s="153">
        <v>247</v>
      </c>
      <c r="B276" s="426">
        <v>51226</v>
      </c>
      <c r="C276" s="427"/>
      <c r="D276" s="428">
        <v>716885.23862176691</v>
      </c>
      <c r="E276" s="429"/>
      <c r="F276" s="155">
        <v>1675.1305387610514</v>
      </c>
      <c r="G276" s="155">
        <v>14337.704772435338</v>
      </c>
      <c r="H276" s="154">
        <v>16012.83531119639</v>
      </c>
    </row>
    <row r="277" spans="1:8" x14ac:dyDescent="0.25">
      <c r="A277" s="153">
        <v>248</v>
      </c>
      <c r="B277" s="426">
        <v>51256</v>
      </c>
      <c r="C277" s="427"/>
      <c r="D277" s="428">
        <v>715210.10808300588</v>
      </c>
      <c r="E277" s="429"/>
      <c r="F277" s="155">
        <v>1708.6331495362722</v>
      </c>
      <c r="G277" s="155">
        <v>14304.202161660118</v>
      </c>
      <c r="H277" s="154">
        <v>16012.83531119639</v>
      </c>
    </row>
    <row r="278" spans="1:8" x14ac:dyDescent="0.25">
      <c r="A278" s="153">
        <v>249</v>
      </c>
      <c r="B278" s="426">
        <v>51287</v>
      </c>
      <c r="C278" s="427"/>
      <c r="D278" s="428">
        <v>713501.47493346955</v>
      </c>
      <c r="E278" s="429"/>
      <c r="F278" s="155">
        <v>1742.8058125269979</v>
      </c>
      <c r="G278" s="155">
        <v>14270.029498669392</v>
      </c>
      <c r="H278" s="154">
        <v>16012.83531119639</v>
      </c>
    </row>
    <row r="279" spans="1:8" x14ac:dyDescent="0.25">
      <c r="A279" s="153">
        <v>250</v>
      </c>
      <c r="B279" s="426">
        <v>51317</v>
      </c>
      <c r="C279" s="427"/>
      <c r="D279" s="428">
        <v>711758.66912094259</v>
      </c>
      <c r="E279" s="429"/>
      <c r="F279" s="155">
        <v>1777.6619287775379</v>
      </c>
      <c r="G279" s="155">
        <v>14235.173382418852</v>
      </c>
      <c r="H279" s="154">
        <v>16012.83531119639</v>
      </c>
    </row>
    <row r="280" spans="1:8" x14ac:dyDescent="0.25">
      <c r="A280" s="153">
        <v>251</v>
      </c>
      <c r="B280" s="426">
        <v>51348</v>
      </c>
      <c r="C280" s="427"/>
      <c r="D280" s="428">
        <v>709981.00719216501</v>
      </c>
      <c r="E280" s="429"/>
      <c r="F280" s="155">
        <v>1813.2151673530886</v>
      </c>
      <c r="G280" s="155">
        <v>14199.6201438433</v>
      </c>
      <c r="H280" s="154">
        <v>16012.835311196388</v>
      </c>
    </row>
    <row r="281" spans="1:8" x14ac:dyDescent="0.25">
      <c r="A281" s="153">
        <v>252</v>
      </c>
      <c r="B281" s="426">
        <v>51379</v>
      </c>
      <c r="C281" s="427"/>
      <c r="D281" s="428">
        <v>708167.79202481196</v>
      </c>
      <c r="E281" s="429"/>
      <c r="F281" s="155">
        <v>1849.4794707001508</v>
      </c>
      <c r="G281" s="155">
        <v>14163.355840496239</v>
      </c>
      <c r="H281" s="154">
        <v>16012.83531119639</v>
      </c>
    </row>
    <row r="282" spans="1:8" x14ac:dyDescent="0.25">
      <c r="A282" s="153">
        <v>253</v>
      </c>
      <c r="B282" s="426">
        <v>51409</v>
      </c>
      <c r="C282" s="427"/>
      <c r="D282" s="428">
        <v>706318.31255411182</v>
      </c>
      <c r="E282" s="429"/>
      <c r="F282" s="155">
        <v>1886.4690601141535</v>
      </c>
      <c r="G282" s="155">
        <v>14126.366251082236</v>
      </c>
      <c r="H282" s="154">
        <v>16012.83531119639</v>
      </c>
    </row>
    <row r="283" spans="1:8" x14ac:dyDescent="0.25">
      <c r="A283" s="153">
        <v>254</v>
      </c>
      <c r="B283" s="426">
        <v>51440</v>
      </c>
      <c r="C283" s="427"/>
      <c r="D283" s="428">
        <v>704431.8434939977</v>
      </c>
      <c r="E283" s="429"/>
      <c r="F283" s="155">
        <v>1924.1984413164369</v>
      </c>
      <c r="G283" s="155">
        <v>14088.636869879954</v>
      </c>
      <c r="H283" s="154">
        <v>16012.835311196392</v>
      </c>
    </row>
    <row r="284" spans="1:8" x14ac:dyDescent="0.25">
      <c r="A284" s="153">
        <v>255</v>
      </c>
      <c r="B284" s="426">
        <v>51470</v>
      </c>
      <c r="C284" s="427"/>
      <c r="D284" s="428">
        <v>702507.64505268121</v>
      </c>
      <c r="E284" s="429"/>
      <c r="F284" s="155">
        <v>1962.6824101427646</v>
      </c>
      <c r="G284" s="155">
        <v>14050.152901053625</v>
      </c>
      <c r="H284" s="154">
        <v>16012.83531119639</v>
      </c>
    </row>
    <row r="285" spans="1:8" x14ac:dyDescent="0.25">
      <c r="A285" s="153">
        <v>256</v>
      </c>
      <c r="B285" s="426">
        <v>51501</v>
      </c>
      <c r="C285" s="427"/>
      <c r="D285" s="428">
        <v>700544.96264253848</v>
      </c>
      <c r="E285" s="429"/>
      <c r="F285" s="155">
        <v>2001.9360583456203</v>
      </c>
      <c r="G285" s="155">
        <v>14010.89925285077</v>
      </c>
      <c r="H285" s="154">
        <v>16012.83531119639</v>
      </c>
    </row>
    <row r="286" spans="1:8" x14ac:dyDescent="0.25">
      <c r="A286" s="153">
        <v>257</v>
      </c>
      <c r="B286" s="426">
        <v>51532</v>
      </c>
      <c r="C286" s="427"/>
      <c r="D286" s="428">
        <v>698543.02658419288</v>
      </c>
      <c r="E286" s="429"/>
      <c r="F286" s="155">
        <v>2041.9747795125331</v>
      </c>
      <c r="G286" s="155">
        <v>13970.860531683858</v>
      </c>
      <c r="H286" s="154">
        <v>16012.835311196392</v>
      </c>
    </row>
    <row r="287" spans="1:8" x14ac:dyDescent="0.25">
      <c r="A287" s="153">
        <v>258</v>
      </c>
      <c r="B287" s="426">
        <v>51560</v>
      </c>
      <c r="C287" s="427"/>
      <c r="D287" s="428">
        <v>696501.05180468038</v>
      </c>
      <c r="E287" s="429"/>
      <c r="F287" s="155">
        <v>2082.814275102784</v>
      </c>
      <c r="G287" s="155">
        <v>13930.021036093607</v>
      </c>
      <c r="H287" s="154">
        <v>16012.835311196392</v>
      </c>
    </row>
    <row r="288" spans="1:8" x14ac:dyDescent="0.25">
      <c r="A288" s="153">
        <v>259</v>
      </c>
      <c r="B288" s="426">
        <v>51591</v>
      </c>
      <c r="C288" s="427"/>
      <c r="D288" s="428">
        <v>694418.23752957757</v>
      </c>
      <c r="E288" s="429"/>
      <c r="F288" s="155">
        <v>2124.4705606048396</v>
      </c>
      <c r="G288" s="155">
        <v>13888.364750591552</v>
      </c>
      <c r="H288" s="154">
        <v>16012.835311196392</v>
      </c>
    </row>
    <row r="289" spans="1:8" x14ac:dyDescent="0.25">
      <c r="A289" s="153">
        <v>260</v>
      </c>
      <c r="B289" s="426">
        <v>51621</v>
      </c>
      <c r="C289" s="427"/>
      <c r="D289" s="428">
        <v>692293.76696897275</v>
      </c>
      <c r="E289" s="429"/>
      <c r="F289" s="155">
        <v>2166.9599718169361</v>
      </c>
      <c r="G289" s="155">
        <v>13845.875339379456</v>
      </c>
      <c r="H289" s="154">
        <v>16012.835311196392</v>
      </c>
    </row>
    <row r="290" spans="1:8" x14ac:dyDescent="0.25">
      <c r="A290" s="153">
        <v>261</v>
      </c>
      <c r="B290" s="426">
        <v>51652</v>
      </c>
      <c r="C290" s="427"/>
      <c r="D290" s="428">
        <v>690126.80699715577</v>
      </c>
      <c r="E290" s="429"/>
      <c r="F290" s="155">
        <v>2210.2991712532739</v>
      </c>
      <c r="G290" s="155">
        <v>13802.536139943115</v>
      </c>
      <c r="H290" s="154">
        <v>16012.835311196388</v>
      </c>
    </row>
    <row r="291" spans="1:8" x14ac:dyDescent="0.25">
      <c r="A291" s="153">
        <v>262</v>
      </c>
      <c r="B291" s="426">
        <v>51682</v>
      </c>
      <c r="C291" s="427"/>
      <c r="D291" s="428">
        <v>687916.50782590255</v>
      </c>
      <c r="E291" s="429"/>
      <c r="F291" s="155">
        <v>2254.5051546783407</v>
      </c>
      <c r="G291" s="155">
        <v>13758.330156518052</v>
      </c>
      <c r="H291" s="154">
        <v>16012.835311196392</v>
      </c>
    </row>
    <row r="292" spans="1:8" x14ac:dyDescent="0.25">
      <c r="A292" s="153">
        <v>263</v>
      </c>
      <c r="B292" s="426">
        <v>51713</v>
      </c>
      <c r="C292" s="427"/>
      <c r="D292" s="428">
        <v>685662.00267122418</v>
      </c>
      <c r="E292" s="429"/>
      <c r="F292" s="155">
        <v>2299.5952577719072</v>
      </c>
      <c r="G292" s="155">
        <v>13713.240053424484</v>
      </c>
      <c r="H292" s="154">
        <v>16012.835311196392</v>
      </c>
    </row>
    <row r="293" spans="1:8" x14ac:dyDescent="0.25">
      <c r="A293" s="153">
        <v>264</v>
      </c>
      <c r="B293" s="426">
        <v>51744</v>
      </c>
      <c r="C293" s="427"/>
      <c r="D293" s="428">
        <v>683362.40741345228</v>
      </c>
      <c r="E293" s="429"/>
      <c r="F293" s="155">
        <v>2345.5871629273456</v>
      </c>
      <c r="G293" s="155">
        <v>13667.248148269045</v>
      </c>
      <c r="H293" s="154">
        <v>16012.835311196392</v>
      </c>
    </row>
    <row r="294" spans="1:8" x14ac:dyDescent="0.25">
      <c r="A294" s="153">
        <v>265</v>
      </c>
      <c r="B294" s="426">
        <v>51774</v>
      </c>
      <c r="C294" s="427"/>
      <c r="D294" s="428">
        <v>681016.82025052491</v>
      </c>
      <c r="E294" s="429"/>
      <c r="F294" s="155">
        <v>2392.4989061858923</v>
      </c>
      <c r="G294" s="155">
        <v>13620.336405010499</v>
      </c>
      <c r="H294" s="154">
        <v>16012.835311196392</v>
      </c>
    </row>
    <row r="295" spans="1:8" x14ac:dyDescent="0.25">
      <c r="A295" s="153">
        <v>266</v>
      </c>
      <c r="B295" s="426">
        <v>51805</v>
      </c>
      <c r="C295" s="427"/>
      <c r="D295" s="428">
        <v>678624.32134433906</v>
      </c>
      <c r="E295" s="429"/>
      <c r="F295" s="155">
        <v>2440.3488843096097</v>
      </c>
      <c r="G295" s="155">
        <v>13572.486426886782</v>
      </c>
      <c r="H295" s="154">
        <v>16012.835311196392</v>
      </c>
    </row>
    <row r="296" spans="1:8" x14ac:dyDescent="0.25">
      <c r="A296" s="153">
        <v>267</v>
      </c>
      <c r="B296" s="426">
        <v>51835</v>
      </c>
      <c r="C296" s="427"/>
      <c r="D296" s="428">
        <v>676183.97246002941</v>
      </c>
      <c r="E296" s="429"/>
      <c r="F296" s="155">
        <v>2489.1558619958023</v>
      </c>
      <c r="G296" s="155">
        <v>13523.679449200588</v>
      </c>
      <c r="H296" s="154">
        <v>16012.835311196392</v>
      </c>
    </row>
    <row r="297" spans="1:8" x14ac:dyDescent="0.25">
      <c r="A297" s="153">
        <v>268</v>
      </c>
      <c r="B297" s="426">
        <v>51866</v>
      </c>
      <c r="C297" s="427"/>
      <c r="D297" s="428">
        <v>673694.81659803365</v>
      </c>
      <c r="E297" s="429"/>
      <c r="F297" s="155">
        <v>2538.9389792357183</v>
      </c>
      <c r="G297" s="155">
        <v>13473.896331960674</v>
      </c>
      <c r="H297" s="154">
        <v>16012.835311196392</v>
      </c>
    </row>
    <row r="298" spans="1:8" x14ac:dyDescent="0.25">
      <c r="A298" s="153">
        <v>269</v>
      </c>
      <c r="B298" s="426">
        <v>51897</v>
      </c>
      <c r="C298" s="427"/>
      <c r="D298" s="428">
        <v>671155.87761879794</v>
      </c>
      <c r="E298" s="429"/>
      <c r="F298" s="155">
        <v>2589.7177588204336</v>
      </c>
      <c r="G298" s="155">
        <v>13423.117552375959</v>
      </c>
      <c r="H298" s="154">
        <v>16012.835311196393</v>
      </c>
    </row>
    <row r="299" spans="1:8" x14ac:dyDescent="0.25">
      <c r="A299" s="153">
        <v>270</v>
      </c>
      <c r="B299" s="426">
        <v>51925</v>
      </c>
      <c r="C299" s="427"/>
      <c r="D299" s="428">
        <v>668566.15985997755</v>
      </c>
      <c r="E299" s="429"/>
      <c r="F299" s="155">
        <v>2641.512113996841</v>
      </c>
      <c r="G299" s="155">
        <v>13371.323197199552</v>
      </c>
      <c r="H299" s="154">
        <v>16012.835311196393</v>
      </c>
    </row>
    <row r="300" spans="1:8" x14ac:dyDescent="0.25">
      <c r="A300" s="153">
        <v>271</v>
      </c>
      <c r="B300" s="426">
        <v>51956</v>
      </c>
      <c r="C300" s="427"/>
      <c r="D300" s="428">
        <v>665924.64774598065</v>
      </c>
      <c r="E300" s="429"/>
      <c r="F300" s="155">
        <v>2694.3423562767775</v>
      </c>
      <c r="G300" s="155">
        <v>13318.492954919613</v>
      </c>
      <c r="H300" s="154">
        <v>16012.835311196392</v>
      </c>
    </row>
    <row r="301" spans="1:8" x14ac:dyDescent="0.25">
      <c r="A301" s="153">
        <v>272</v>
      </c>
      <c r="B301" s="426">
        <v>51986</v>
      </c>
      <c r="C301" s="427"/>
      <c r="D301" s="428">
        <v>663230.30538970383</v>
      </c>
      <c r="E301" s="429"/>
      <c r="F301" s="155">
        <v>2748.2292034023135</v>
      </c>
      <c r="G301" s="155">
        <v>13264.606107794078</v>
      </c>
      <c r="H301" s="154">
        <v>16012.835311196392</v>
      </c>
    </row>
    <row r="302" spans="1:8" x14ac:dyDescent="0.25">
      <c r="A302" s="153">
        <v>273</v>
      </c>
      <c r="B302" s="426">
        <v>52017</v>
      </c>
      <c r="C302" s="427"/>
      <c r="D302" s="428">
        <v>660482.07618630154</v>
      </c>
      <c r="E302" s="429"/>
      <c r="F302" s="155">
        <v>2803.1937874703599</v>
      </c>
      <c r="G302" s="155">
        <v>13209.641523726032</v>
      </c>
      <c r="H302" s="154">
        <v>16012.835311196392</v>
      </c>
    </row>
    <row r="303" spans="1:8" x14ac:dyDescent="0.25">
      <c r="A303" s="153">
        <v>274</v>
      </c>
      <c r="B303" s="426">
        <v>52047</v>
      </c>
      <c r="C303" s="427"/>
      <c r="D303" s="428">
        <v>657678.88239883119</v>
      </c>
      <c r="E303" s="429"/>
      <c r="F303" s="155">
        <v>2859.2576632197665</v>
      </c>
      <c r="G303" s="155">
        <v>13153.577647976625</v>
      </c>
      <c r="H303" s="154">
        <v>16012.835311196392</v>
      </c>
    </row>
    <row r="304" spans="1:8" x14ac:dyDescent="0.25">
      <c r="A304" s="153">
        <v>275</v>
      </c>
      <c r="B304" s="426">
        <v>52078</v>
      </c>
      <c r="C304" s="427"/>
      <c r="D304" s="428">
        <v>654819.62473561137</v>
      </c>
      <c r="E304" s="429"/>
      <c r="F304" s="155">
        <v>2916.442816484162</v>
      </c>
      <c r="G304" s="155">
        <v>13096.392494712229</v>
      </c>
      <c r="H304" s="154">
        <v>16012.835311196392</v>
      </c>
    </row>
    <row r="305" spans="1:8" x14ac:dyDescent="0.25">
      <c r="A305" s="153">
        <v>276</v>
      </c>
      <c r="B305" s="426">
        <v>52109</v>
      </c>
      <c r="C305" s="427"/>
      <c r="D305" s="428">
        <v>651903.18191912724</v>
      </c>
      <c r="E305" s="429"/>
      <c r="F305" s="155">
        <v>2974.7716728138453</v>
      </c>
      <c r="G305" s="155">
        <v>13038.063638382546</v>
      </c>
      <c r="H305" s="154">
        <v>16012.835311196392</v>
      </c>
    </row>
    <row r="306" spans="1:8" x14ac:dyDescent="0.25">
      <c r="A306" s="153">
        <v>277</v>
      </c>
      <c r="B306" s="426">
        <v>52139</v>
      </c>
      <c r="C306" s="427"/>
      <c r="D306" s="428">
        <v>648928.41024631343</v>
      </c>
      <c r="E306" s="429"/>
      <c r="F306" s="155">
        <v>3034.2671062701229</v>
      </c>
      <c r="G306" s="155">
        <v>12978.568204926269</v>
      </c>
      <c r="H306" s="154">
        <v>16012.835311196392</v>
      </c>
    </row>
    <row r="307" spans="1:8" x14ac:dyDescent="0.25">
      <c r="A307" s="153">
        <v>278</v>
      </c>
      <c r="B307" s="426">
        <v>52170</v>
      </c>
      <c r="C307" s="427"/>
      <c r="D307" s="428">
        <v>645894.14314004336</v>
      </c>
      <c r="E307" s="429"/>
      <c r="F307" s="155">
        <v>3094.9524483955256</v>
      </c>
      <c r="G307" s="155">
        <v>12917.882862800867</v>
      </c>
      <c r="H307" s="154">
        <v>16012.835311196392</v>
      </c>
    </row>
    <row r="308" spans="1:8" x14ac:dyDescent="0.25">
      <c r="A308" s="153">
        <v>279</v>
      </c>
      <c r="B308" s="426">
        <v>52200</v>
      </c>
      <c r="C308" s="427"/>
      <c r="D308" s="428">
        <v>642799.19069164782</v>
      </c>
      <c r="E308" s="429"/>
      <c r="F308" s="155">
        <v>3156.851497363436</v>
      </c>
      <c r="G308" s="155">
        <v>12855.983813832956</v>
      </c>
      <c r="H308" s="154">
        <v>16012.835311196392</v>
      </c>
    </row>
    <row r="309" spans="1:8" x14ac:dyDescent="0.25">
      <c r="A309" s="153">
        <v>280</v>
      </c>
      <c r="B309" s="426">
        <v>52231</v>
      </c>
      <c r="C309" s="427"/>
      <c r="D309" s="428">
        <v>639642.3391942844</v>
      </c>
      <c r="E309" s="429"/>
      <c r="F309" s="155">
        <v>3219.9885273107047</v>
      </c>
      <c r="G309" s="155">
        <v>12792.846783885689</v>
      </c>
      <c r="H309" s="154">
        <v>16012.835311196393</v>
      </c>
    </row>
    <row r="310" spans="1:8" x14ac:dyDescent="0.25">
      <c r="A310" s="153">
        <v>281</v>
      </c>
      <c r="B310" s="426">
        <v>52262</v>
      </c>
      <c r="C310" s="427"/>
      <c r="D310" s="428">
        <v>636422.35066697374</v>
      </c>
      <c r="E310" s="429"/>
      <c r="F310" s="155">
        <v>3284.3882978569186</v>
      </c>
      <c r="G310" s="155">
        <v>12728.447013339475</v>
      </c>
      <c r="H310" s="154">
        <v>16012.835311196393</v>
      </c>
    </row>
    <row r="311" spans="1:8" x14ac:dyDescent="0.25">
      <c r="A311" s="153">
        <v>282</v>
      </c>
      <c r="B311" s="426">
        <v>52290</v>
      </c>
      <c r="C311" s="427"/>
      <c r="D311" s="428">
        <v>633137.96236911684</v>
      </c>
      <c r="E311" s="429"/>
      <c r="F311" s="155">
        <v>3350.0760638140578</v>
      </c>
      <c r="G311" s="155">
        <v>12662.759247382337</v>
      </c>
      <c r="H311" s="154">
        <v>16012.835311196395</v>
      </c>
    </row>
    <row r="312" spans="1:8" x14ac:dyDescent="0.25">
      <c r="A312" s="153">
        <v>283</v>
      </c>
      <c r="B312" s="426">
        <v>52321</v>
      </c>
      <c r="C312" s="427"/>
      <c r="D312" s="428">
        <v>629787.88630530273</v>
      </c>
      <c r="E312" s="429"/>
      <c r="F312" s="155">
        <v>3417.0775850903383</v>
      </c>
      <c r="G312" s="155">
        <v>12595.757726106054</v>
      </c>
      <c r="H312" s="154">
        <v>16012.835311196392</v>
      </c>
    </row>
    <row r="313" spans="1:8" x14ac:dyDescent="0.25">
      <c r="A313" s="153">
        <v>284</v>
      </c>
      <c r="B313" s="426">
        <v>52351</v>
      </c>
      <c r="C313" s="427"/>
      <c r="D313" s="428">
        <v>626370.80872021243</v>
      </c>
      <c r="E313" s="429"/>
      <c r="F313" s="155">
        <v>3485.4191367921453</v>
      </c>
      <c r="G313" s="155">
        <v>12527.416174404249</v>
      </c>
      <c r="H313" s="154">
        <v>16012.835311196393</v>
      </c>
    </row>
    <row r="314" spans="1:8" x14ac:dyDescent="0.25">
      <c r="A314" s="153">
        <v>285</v>
      </c>
      <c r="B314" s="426">
        <v>52382</v>
      </c>
      <c r="C314" s="427"/>
      <c r="D314" s="428">
        <v>622885.38958342024</v>
      </c>
      <c r="E314" s="429"/>
      <c r="F314" s="155">
        <v>3555.1275195279882</v>
      </c>
      <c r="G314" s="155">
        <v>12457.707791668405</v>
      </c>
      <c r="H314" s="154">
        <v>16012.835311196393</v>
      </c>
    </row>
    <row r="315" spans="1:8" x14ac:dyDescent="0.25">
      <c r="A315" s="153">
        <v>286</v>
      </c>
      <c r="B315" s="426">
        <v>52412</v>
      </c>
      <c r="C315" s="427"/>
      <c r="D315" s="428">
        <v>619330.26206389221</v>
      </c>
      <c r="E315" s="429"/>
      <c r="F315" s="155">
        <v>3626.2300699185475</v>
      </c>
      <c r="G315" s="155">
        <v>12386.605241277844</v>
      </c>
      <c r="H315" s="154">
        <v>16012.835311196392</v>
      </c>
    </row>
    <row r="316" spans="1:8" x14ac:dyDescent="0.25">
      <c r="A316" s="153">
        <v>287</v>
      </c>
      <c r="B316" s="426">
        <v>52443</v>
      </c>
      <c r="C316" s="427"/>
      <c r="D316" s="428">
        <v>615704.03199397365</v>
      </c>
      <c r="E316" s="429"/>
      <c r="F316" s="155">
        <v>3698.7546713169177</v>
      </c>
      <c r="G316" s="155">
        <v>12314.080639879474</v>
      </c>
      <c r="H316" s="154">
        <v>16012.835311196392</v>
      </c>
    </row>
    <row r="317" spans="1:8" x14ac:dyDescent="0.25">
      <c r="A317" s="153">
        <v>288</v>
      </c>
      <c r="B317" s="426">
        <v>52474</v>
      </c>
      <c r="C317" s="427"/>
      <c r="D317" s="428">
        <v>612005.27732265671</v>
      </c>
      <c r="E317" s="429"/>
      <c r="F317" s="155">
        <v>3772.7297647432565</v>
      </c>
      <c r="G317" s="155">
        <v>12240.105546453135</v>
      </c>
      <c r="H317" s="154">
        <v>16012.835311196392</v>
      </c>
    </row>
    <row r="318" spans="1:8" x14ac:dyDescent="0.25">
      <c r="A318" s="153">
        <v>289</v>
      </c>
      <c r="B318" s="426">
        <v>52504</v>
      </c>
      <c r="C318" s="427"/>
      <c r="D318" s="428">
        <v>608232.54755791347</v>
      </c>
      <c r="E318" s="429"/>
      <c r="F318" s="155">
        <v>3848.1843600381217</v>
      </c>
      <c r="G318" s="155">
        <v>12164.65095115827</v>
      </c>
      <c r="H318" s="154">
        <v>16012.835311196392</v>
      </c>
    </row>
    <row r="319" spans="1:8" x14ac:dyDescent="0.25">
      <c r="A319" s="153">
        <v>290</v>
      </c>
      <c r="B319" s="426">
        <v>52535</v>
      </c>
      <c r="C319" s="427"/>
      <c r="D319" s="428">
        <v>604384.36319787533</v>
      </c>
      <c r="E319" s="429"/>
      <c r="F319" s="155">
        <v>3925.1480472388839</v>
      </c>
      <c r="G319" s="155">
        <v>12087.687263957507</v>
      </c>
      <c r="H319" s="154">
        <v>16012.835311196392</v>
      </c>
    </row>
    <row r="320" spans="1:8" x14ac:dyDescent="0.25">
      <c r="A320" s="153">
        <v>291</v>
      </c>
      <c r="B320" s="426">
        <v>52565</v>
      </c>
      <c r="C320" s="427"/>
      <c r="D320" s="428">
        <v>600459.21515063639</v>
      </c>
      <c r="E320" s="429"/>
      <c r="F320" s="155">
        <v>4003.6510081836605</v>
      </c>
      <c r="G320" s="155">
        <v>12009.184303012727</v>
      </c>
      <c r="H320" s="154">
        <v>16012.835311196388</v>
      </c>
    </row>
    <row r="321" spans="1:8" x14ac:dyDescent="0.25">
      <c r="A321" s="153">
        <v>292</v>
      </c>
      <c r="B321" s="426">
        <v>52596</v>
      </c>
      <c r="C321" s="427"/>
      <c r="D321" s="428">
        <v>596455.56414245279</v>
      </c>
      <c r="E321" s="429"/>
      <c r="F321" s="155">
        <v>4083.7240283473338</v>
      </c>
      <c r="G321" s="155">
        <v>11929.111282849057</v>
      </c>
      <c r="H321" s="154">
        <v>16012.835311196392</v>
      </c>
    </row>
    <row r="322" spans="1:8" x14ac:dyDescent="0.25">
      <c r="A322" s="153">
        <v>293</v>
      </c>
      <c r="B322" s="426">
        <v>52627</v>
      </c>
      <c r="C322" s="427"/>
      <c r="D322" s="428">
        <v>592371.84011410549</v>
      </c>
      <c r="E322" s="429"/>
      <c r="F322" s="155">
        <v>4165.3985089142825</v>
      </c>
      <c r="G322" s="155">
        <v>11847.436802282111</v>
      </c>
      <c r="H322" s="154">
        <v>16012.835311196393</v>
      </c>
    </row>
    <row r="323" spans="1:8" x14ac:dyDescent="0.25">
      <c r="A323" s="153">
        <v>294</v>
      </c>
      <c r="B323" s="426">
        <v>52656</v>
      </c>
      <c r="C323" s="427"/>
      <c r="D323" s="428">
        <v>588206.44160519121</v>
      </c>
      <c r="E323" s="429"/>
      <c r="F323" s="155">
        <v>4248.7064790925679</v>
      </c>
      <c r="G323" s="155">
        <v>11764.128832103825</v>
      </c>
      <c r="H323" s="154">
        <v>16012.835311196392</v>
      </c>
    </row>
    <row r="324" spans="1:8" x14ac:dyDescent="0.25">
      <c r="A324" s="153">
        <v>295</v>
      </c>
      <c r="B324" s="426">
        <v>52687</v>
      </c>
      <c r="C324" s="427"/>
      <c r="D324" s="428">
        <v>583957.73512609862</v>
      </c>
      <c r="E324" s="429"/>
      <c r="F324" s="155">
        <v>4333.6806086744191</v>
      </c>
      <c r="G324" s="155">
        <v>11679.154702521973</v>
      </c>
      <c r="H324" s="154">
        <v>16012.835311196392</v>
      </c>
    </row>
    <row r="325" spans="1:8" x14ac:dyDescent="0.25">
      <c r="A325" s="153">
        <v>296</v>
      </c>
      <c r="B325" s="426">
        <v>52717</v>
      </c>
      <c r="C325" s="427"/>
      <c r="D325" s="428">
        <v>579624.0545174242</v>
      </c>
      <c r="E325" s="429"/>
      <c r="F325" s="155">
        <v>4420.3542208479066</v>
      </c>
      <c r="G325" s="155">
        <v>11592.481090348485</v>
      </c>
      <c r="H325" s="154">
        <v>16012.835311196392</v>
      </c>
    </row>
    <row r="326" spans="1:8" x14ac:dyDescent="0.25">
      <c r="A326" s="153">
        <v>297</v>
      </c>
      <c r="B326" s="426">
        <v>52748</v>
      </c>
      <c r="C326" s="427"/>
      <c r="D326" s="428">
        <v>575203.70029657625</v>
      </c>
      <c r="E326" s="429"/>
      <c r="F326" s="155">
        <v>4508.7613052648658</v>
      </c>
      <c r="G326" s="155">
        <v>11504.074005931525</v>
      </c>
      <c r="H326" s="154">
        <v>16012.835311196392</v>
      </c>
    </row>
    <row r="327" spans="1:8" x14ac:dyDescent="0.25">
      <c r="A327" s="153">
        <v>298</v>
      </c>
      <c r="B327" s="426">
        <v>52778</v>
      </c>
      <c r="C327" s="427"/>
      <c r="D327" s="428">
        <v>570694.93899131136</v>
      </c>
      <c r="E327" s="429"/>
      <c r="F327" s="155">
        <v>4598.9365313701619</v>
      </c>
      <c r="G327" s="155">
        <v>11413.898779826228</v>
      </c>
      <c r="H327" s="154">
        <v>16012.83531119639</v>
      </c>
    </row>
    <row r="328" spans="1:8" x14ac:dyDescent="0.25">
      <c r="A328" s="153">
        <v>299</v>
      </c>
      <c r="B328" s="426">
        <v>52809</v>
      </c>
      <c r="C328" s="427"/>
      <c r="D328" s="428">
        <v>566096.0024599412</v>
      </c>
      <c r="E328" s="429"/>
      <c r="F328" s="155">
        <v>4690.9152619975657</v>
      </c>
      <c r="G328" s="155">
        <v>11321.920049198825</v>
      </c>
      <c r="H328" s="154">
        <v>16012.835311196392</v>
      </c>
    </row>
    <row r="329" spans="1:8" x14ac:dyDescent="0.25">
      <c r="A329" s="153">
        <v>300</v>
      </c>
      <c r="B329" s="426">
        <v>52840</v>
      </c>
      <c r="C329" s="427"/>
      <c r="D329" s="428">
        <v>561405.08719794359</v>
      </c>
      <c r="E329" s="429"/>
      <c r="F329" s="155">
        <v>4784.7335672375157</v>
      </c>
      <c r="G329" s="155">
        <v>11228.101743958872</v>
      </c>
      <c r="H329" s="154">
        <v>16012.835311196388</v>
      </c>
    </row>
    <row r="330" spans="1:8" x14ac:dyDescent="0.25">
      <c r="A330" s="153">
        <v>301</v>
      </c>
      <c r="B330" s="426">
        <v>52870</v>
      </c>
      <c r="C330" s="427"/>
      <c r="D330" s="428">
        <v>556620.35363070609</v>
      </c>
      <c r="E330" s="429"/>
      <c r="F330" s="155">
        <v>4880.4282385822662</v>
      </c>
      <c r="G330" s="155">
        <v>11132.407072614122</v>
      </c>
      <c r="H330" s="154">
        <v>16012.835311196388</v>
      </c>
    </row>
    <row r="331" spans="1:8" x14ac:dyDescent="0.25">
      <c r="A331" s="153">
        <v>302</v>
      </c>
      <c r="B331" s="426">
        <v>52901</v>
      </c>
      <c r="C331" s="427"/>
      <c r="D331" s="428">
        <v>551739.92539212387</v>
      </c>
      <c r="E331" s="429"/>
      <c r="F331" s="155">
        <v>4978.0368033539125</v>
      </c>
      <c r="G331" s="155">
        <v>11034.798507842477</v>
      </c>
      <c r="H331" s="154">
        <v>16012.83531119639</v>
      </c>
    </row>
    <row r="332" spans="1:8" x14ac:dyDescent="0.25">
      <c r="A332" s="153">
        <v>303</v>
      </c>
      <c r="B332" s="426">
        <v>52931</v>
      </c>
      <c r="C332" s="427"/>
      <c r="D332" s="428">
        <v>546761.88858876994</v>
      </c>
      <c r="E332" s="429"/>
      <c r="F332" s="155">
        <v>5077.5975394209918</v>
      </c>
      <c r="G332" s="155">
        <v>10935.237771775399</v>
      </c>
      <c r="H332" s="154">
        <v>16012.835311196392</v>
      </c>
    </row>
    <row r="333" spans="1:8" x14ac:dyDescent="0.25">
      <c r="A333" s="153">
        <v>304</v>
      </c>
      <c r="B333" s="426">
        <v>52962</v>
      </c>
      <c r="C333" s="427"/>
      <c r="D333" s="428">
        <v>541684.29104934901</v>
      </c>
      <c r="E333" s="429"/>
      <c r="F333" s="155">
        <v>5179.1494902094091</v>
      </c>
      <c r="G333" s="155">
        <v>10833.685820986981</v>
      </c>
      <c r="H333" s="154">
        <v>16012.83531119639</v>
      </c>
    </row>
    <row r="334" spans="1:8" x14ac:dyDescent="0.25">
      <c r="A334" s="153">
        <v>305</v>
      </c>
      <c r="B334" s="426">
        <v>52993</v>
      </c>
      <c r="C334" s="427"/>
      <c r="D334" s="428">
        <v>536505.14155913959</v>
      </c>
      <c r="E334" s="429"/>
      <c r="F334" s="155">
        <v>5282.7324800135984</v>
      </c>
      <c r="G334" s="155">
        <v>10730.102831182792</v>
      </c>
      <c r="H334" s="154">
        <v>16012.835311196392</v>
      </c>
    </row>
    <row r="335" spans="1:8" x14ac:dyDescent="0.25">
      <c r="A335" s="153">
        <v>306</v>
      </c>
      <c r="B335" s="426">
        <v>53021</v>
      </c>
      <c r="C335" s="427"/>
      <c r="D335" s="428">
        <v>531222.40907912597</v>
      </c>
      <c r="E335" s="429"/>
      <c r="F335" s="155">
        <v>5388.3871296138705</v>
      </c>
      <c r="G335" s="155">
        <v>10624.44818158252</v>
      </c>
      <c r="H335" s="154">
        <v>16012.835311196392</v>
      </c>
    </row>
    <row r="336" spans="1:8" x14ac:dyDescent="0.25">
      <c r="A336" s="153">
        <v>307</v>
      </c>
      <c r="B336" s="426">
        <v>53052</v>
      </c>
      <c r="C336" s="427"/>
      <c r="D336" s="428">
        <v>525834.02194951207</v>
      </c>
      <c r="E336" s="429"/>
      <c r="F336" s="155">
        <v>5496.154872206148</v>
      </c>
      <c r="G336" s="155">
        <v>10516.680438990241</v>
      </c>
      <c r="H336" s="154">
        <v>16012.835311196388</v>
      </c>
    </row>
    <row r="337" spans="1:8" x14ac:dyDescent="0.25">
      <c r="A337" s="153">
        <v>308</v>
      </c>
      <c r="B337" s="426">
        <v>53082</v>
      </c>
      <c r="C337" s="427"/>
      <c r="D337" s="428">
        <v>520337.86707730591</v>
      </c>
      <c r="E337" s="429"/>
      <c r="F337" s="155">
        <v>5606.0779696502686</v>
      </c>
      <c r="G337" s="155">
        <v>10406.757341546119</v>
      </c>
      <c r="H337" s="154">
        <v>16012.835311196388</v>
      </c>
    </row>
    <row r="338" spans="1:8" x14ac:dyDescent="0.25">
      <c r="A338" s="153">
        <v>309</v>
      </c>
      <c r="B338" s="426">
        <v>53113</v>
      </c>
      <c r="C338" s="427"/>
      <c r="D338" s="428">
        <v>514731.78910765564</v>
      </c>
      <c r="E338" s="429"/>
      <c r="F338" s="155">
        <v>5718.1995290432769</v>
      </c>
      <c r="G338" s="155">
        <v>10294.635782153113</v>
      </c>
      <c r="H338" s="154">
        <v>16012.83531119639</v>
      </c>
    </row>
    <row r="339" spans="1:8" x14ac:dyDescent="0.25">
      <c r="A339" s="153">
        <v>310</v>
      </c>
      <c r="B339" s="426">
        <v>53143</v>
      </c>
      <c r="C339" s="427"/>
      <c r="D339" s="428">
        <v>509013.58957861236</v>
      </c>
      <c r="E339" s="429"/>
      <c r="F339" s="155">
        <v>5832.563519624141</v>
      </c>
      <c r="G339" s="155">
        <v>10180.271791572248</v>
      </c>
      <c r="H339" s="154">
        <v>16012.835311196388</v>
      </c>
    </row>
    <row r="340" spans="1:8" x14ac:dyDescent="0.25">
      <c r="A340" s="153">
        <v>311</v>
      </c>
      <c r="B340" s="426">
        <v>53174</v>
      </c>
      <c r="C340" s="427"/>
      <c r="D340" s="428">
        <v>503181.02605898824</v>
      </c>
      <c r="E340" s="429"/>
      <c r="F340" s="155">
        <v>5949.2147900166246</v>
      </c>
      <c r="G340" s="155">
        <v>10063.620521179764</v>
      </c>
      <c r="H340" s="154">
        <v>16012.835311196388</v>
      </c>
    </row>
    <row r="341" spans="1:8" x14ac:dyDescent="0.25">
      <c r="A341" s="153">
        <v>312</v>
      </c>
      <c r="B341" s="426">
        <v>53205</v>
      </c>
      <c r="C341" s="427"/>
      <c r="D341" s="428">
        <v>497231.81126897159</v>
      </c>
      <c r="E341" s="429"/>
      <c r="F341" s="155">
        <v>6068.1990858169574</v>
      </c>
      <c r="G341" s="155">
        <v>9944.6362253794323</v>
      </c>
      <c r="H341" s="154">
        <v>16012.83531119639</v>
      </c>
    </row>
    <row r="342" spans="1:8" x14ac:dyDescent="0.25">
      <c r="A342" s="153">
        <v>313</v>
      </c>
      <c r="B342" s="426">
        <v>53235</v>
      </c>
      <c r="C342" s="427"/>
      <c r="D342" s="428">
        <v>491163.61218315462</v>
      </c>
      <c r="E342" s="429"/>
      <c r="F342" s="155">
        <v>6189.563067533295</v>
      </c>
      <c r="G342" s="155">
        <v>9823.272243663092</v>
      </c>
      <c r="H342" s="154">
        <v>16012.835311196388</v>
      </c>
    </row>
    <row r="343" spans="1:8" x14ac:dyDescent="0.25">
      <c r="A343" s="153">
        <v>314</v>
      </c>
      <c r="B343" s="426">
        <v>53266</v>
      </c>
      <c r="C343" s="427"/>
      <c r="D343" s="428">
        <v>484974.04911562131</v>
      </c>
      <c r="E343" s="429"/>
      <c r="F343" s="155">
        <v>6313.3543288839619</v>
      </c>
      <c r="G343" s="155">
        <v>9699.4809823124269</v>
      </c>
      <c r="H343" s="154">
        <v>16012.835311196388</v>
      </c>
    </row>
    <row r="344" spans="1:8" x14ac:dyDescent="0.25">
      <c r="A344" s="153">
        <v>315</v>
      </c>
      <c r="B344" s="426">
        <v>53296</v>
      </c>
      <c r="C344" s="427"/>
      <c r="D344" s="428">
        <v>478660.69478673732</v>
      </c>
      <c r="E344" s="429"/>
      <c r="F344" s="155">
        <v>6439.6214154616418</v>
      </c>
      <c r="G344" s="155">
        <v>9573.213895734747</v>
      </c>
      <c r="H344" s="154">
        <v>16012.835311196388</v>
      </c>
    </row>
    <row r="345" spans="1:8" x14ac:dyDescent="0.25">
      <c r="A345" s="153">
        <v>316</v>
      </c>
      <c r="B345" s="426">
        <v>53327</v>
      </c>
      <c r="C345" s="427"/>
      <c r="D345" s="428">
        <v>472221.07337127568</v>
      </c>
      <c r="E345" s="429"/>
      <c r="F345" s="155">
        <v>6568.4138437708725</v>
      </c>
      <c r="G345" s="155">
        <v>9444.4214674255145</v>
      </c>
      <c r="H345" s="154">
        <v>16012.835311196388</v>
      </c>
    </row>
    <row r="346" spans="1:8" x14ac:dyDescent="0.25">
      <c r="A346" s="153">
        <v>317</v>
      </c>
      <c r="B346" s="426">
        <v>53358</v>
      </c>
      <c r="C346" s="427"/>
      <c r="D346" s="428">
        <v>465652.65952750482</v>
      </c>
      <c r="E346" s="429"/>
      <c r="F346" s="155">
        <v>6699.7821206462922</v>
      </c>
      <c r="G346" s="155">
        <v>9313.0531905500957</v>
      </c>
      <c r="H346" s="154">
        <v>16012.835311196388</v>
      </c>
    </row>
    <row r="347" spans="1:8" x14ac:dyDescent="0.25">
      <c r="A347" s="153">
        <v>318</v>
      </c>
      <c r="B347" s="426">
        <v>53386</v>
      </c>
      <c r="C347" s="427"/>
      <c r="D347" s="428">
        <v>458952.87740685855</v>
      </c>
      <c r="E347" s="429"/>
      <c r="F347" s="155">
        <v>6833.7777630592182</v>
      </c>
      <c r="G347" s="155">
        <v>9179.0575481371707</v>
      </c>
      <c r="H347" s="154">
        <v>16012.835311196388</v>
      </c>
    </row>
    <row r="348" spans="1:8" x14ac:dyDescent="0.25">
      <c r="A348" s="153">
        <v>319</v>
      </c>
      <c r="B348" s="426">
        <v>53417</v>
      </c>
      <c r="C348" s="427"/>
      <c r="D348" s="428">
        <v>452119.0996437993</v>
      </c>
      <c r="E348" s="429"/>
      <c r="F348" s="155">
        <v>6970.4533183204021</v>
      </c>
      <c r="G348" s="155">
        <v>9042.3819928759858</v>
      </c>
      <c r="H348" s="154">
        <v>16012.835311196388</v>
      </c>
    </row>
    <row r="349" spans="1:8" x14ac:dyDescent="0.25">
      <c r="A349" s="153">
        <v>320</v>
      </c>
      <c r="B349" s="426">
        <v>53447</v>
      </c>
      <c r="C349" s="427"/>
      <c r="D349" s="428">
        <v>445148.64632547891</v>
      </c>
      <c r="E349" s="429"/>
      <c r="F349" s="155">
        <v>7109.8623846868077</v>
      </c>
      <c r="G349" s="155">
        <v>8902.9729265095793</v>
      </c>
      <c r="H349" s="154">
        <v>16012.835311196388</v>
      </c>
    </row>
    <row r="350" spans="1:8" x14ac:dyDescent="0.25">
      <c r="A350" s="153">
        <v>321</v>
      </c>
      <c r="B350" s="426">
        <v>53478</v>
      </c>
      <c r="C350" s="427"/>
      <c r="D350" s="428">
        <v>438038.78394079208</v>
      </c>
      <c r="E350" s="429"/>
      <c r="F350" s="155">
        <v>7252.0596323805457</v>
      </c>
      <c r="G350" s="155">
        <v>8760.7756788158422</v>
      </c>
      <c r="H350" s="154">
        <v>16012.835311196388</v>
      </c>
    </row>
    <row r="351" spans="1:8" x14ac:dyDescent="0.25">
      <c r="A351" s="153">
        <v>322</v>
      </c>
      <c r="B351" s="426">
        <v>53508</v>
      </c>
      <c r="C351" s="427"/>
      <c r="D351" s="428">
        <v>430786.72430841153</v>
      </c>
      <c r="E351" s="429"/>
      <c r="F351" s="155">
        <v>7397.1008250281557</v>
      </c>
      <c r="G351" s="155">
        <v>8615.7344861682304</v>
      </c>
      <c r="H351" s="154">
        <v>16012.835311196386</v>
      </c>
    </row>
    <row r="352" spans="1:8" x14ac:dyDescent="0.25">
      <c r="A352" s="153">
        <v>323</v>
      </c>
      <c r="B352" s="426">
        <v>53539</v>
      </c>
      <c r="C352" s="427"/>
      <c r="D352" s="428">
        <v>423389.62348338339</v>
      </c>
      <c r="E352" s="429"/>
      <c r="F352" s="155">
        <v>7545.0428415287197</v>
      </c>
      <c r="G352" s="155">
        <v>8467.7924696676673</v>
      </c>
      <c r="H352" s="154">
        <v>16012.835311196388</v>
      </c>
    </row>
    <row r="353" spans="1:8" x14ac:dyDescent="0.25">
      <c r="A353" s="153">
        <v>324</v>
      </c>
      <c r="B353" s="426">
        <v>53570</v>
      </c>
      <c r="C353" s="427"/>
      <c r="D353" s="428">
        <v>415844.58064185467</v>
      </c>
      <c r="E353" s="429"/>
      <c r="F353" s="155">
        <v>7695.9436983592923</v>
      </c>
      <c r="G353" s="155">
        <v>8316.8916128370929</v>
      </c>
      <c r="H353" s="154">
        <v>16012.835311196384</v>
      </c>
    </row>
    <row r="354" spans="1:8" x14ac:dyDescent="0.25">
      <c r="A354" s="153">
        <v>325</v>
      </c>
      <c r="B354" s="426">
        <v>53600</v>
      </c>
      <c r="C354" s="427"/>
      <c r="D354" s="428">
        <v>408148.63694349537</v>
      </c>
      <c r="E354" s="429"/>
      <c r="F354" s="155">
        <v>7849.8625723264786</v>
      </c>
      <c r="G354" s="155">
        <v>8162.9727388699075</v>
      </c>
      <c r="H354" s="154">
        <v>16012.835311196386</v>
      </c>
    </row>
    <row r="355" spans="1:8" x14ac:dyDescent="0.25">
      <c r="A355" s="153">
        <v>326</v>
      </c>
      <c r="B355" s="426">
        <v>53631</v>
      </c>
      <c r="C355" s="427"/>
      <c r="D355" s="428">
        <v>400298.77437116887</v>
      </c>
      <c r="E355" s="429"/>
      <c r="F355" s="155">
        <v>8006.8598237730066</v>
      </c>
      <c r="G355" s="155">
        <v>8005.9754874233777</v>
      </c>
      <c r="H355" s="154">
        <v>16012.835311196384</v>
      </c>
    </row>
    <row r="356" spans="1:8" x14ac:dyDescent="0.25">
      <c r="A356" s="153">
        <v>327</v>
      </c>
      <c r="B356" s="426">
        <v>53661</v>
      </c>
      <c r="C356" s="427"/>
      <c r="D356" s="428">
        <v>392291.91454739583</v>
      </c>
      <c r="E356" s="429"/>
      <c r="F356" s="155">
        <v>8166.9970202484674</v>
      </c>
      <c r="G356" s="155">
        <v>7845.8382909479169</v>
      </c>
      <c r="H356" s="154">
        <v>16012.835311196384</v>
      </c>
    </row>
    <row r="357" spans="1:8" x14ac:dyDescent="0.25">
      <c r="A357" s="153">
        <v>328</v>
      </c>
      <c r="B357" s="426">
        <v>53692</v>
      </c>
      <c r="C357" s="427"/>
      <c r="D357" s="428">
        <v>384124.91752714739</v>
      </c>
      <c r="E357" s="429"/>
      <c r="F357" s="155">
        <v>8330.3369606534361</v>
      </c>
      <c r="G357" s="155">
        <v>7682.4983505429482</v>
      </c>
      <c r="H357" s="154">
        <v>16012.835311196384</v>
      </c>
    </row>
    <row r="358" spans="1:8" x14ac:dyDescent="0.25">
      <c r="A358" s="153">
        <v>329</v>
      </c>
      <c r="B358" s="426">
        <v>53723</v>
      </c>
      <c r="C358" s="427"/>
      <c r="D358" s="428">
        <v>375794.58056649397</v>
      </c>
      <c r="E358" s="429"/>
      <c r="F358" s="155">
        <v>8496.9436998665078</v>
      </c>
      <c r="G358" s="155">
        <v>7515.8916113298792</v>
      </c>
      <c r="H358" s="154">
        <v>16012.835311196388</v>
      </c>
    </row>
    <row r="359" spans="1:8" x14ac:dyDescent="0.25">
      <c r="A359" s="153">
        <v>330</v>
      </c>
      <c r="B359" s="426">
        <v>53751</v>
      </c>
      <c r="C359" s="427"/>
      <c r="D359" s="428">
        <v>367297.63686662744</v>
      </c>
      <c r="E359" s="429"/>
      <c r="F359" s="155">
        <v>8666.882573863837</v>
      </c>
      <c r="G359" s="155">
        <v>7345.9527373325491</v>
      </c>
      <c r="H359" s="154">
        <v>16012.835311196386</v>
      </c>
    </row>
    <row r="360" spans="1:8" x14ac:dyDescent="0.25">
      <c r="A360" s="153">
        <v>331</v>
      </c>
      <c r="B360" s="426">
        <v>53782</v>
      </c>
      <c r="C360" s="427"/>
      <c r="D360" s="428">
        <v>358630.7542927636</v>
      </c>
      <c r="E360" s="429"/>
      <c r="F360" s="155">
        <v>8840.2202253411124</v>
      </c>
      <c r="G360" s="155">
        <v>7172.6150858552719</v>
      </c>
      <c r="H360" s="154">
        <v>16012.835311196384</v>
      </c>
    </row>
    <row r="361" spans="1:8" x14ac:dyDescent="0.25">
      <c r="A361" s="153">
        <v>332</v>
      </c>
      <c r="B361" s="426">
        <v>53812</v>
      </c>
      <c r="C361" s="427"/>
      <c r="D361" s="428">
        <v>349790.5340674225</v>
      </c>
      <c r="E361" s="429"/>
      <c r="F361" s="155">
        <v>9017.0246298479342</v>
      </c>
      <c r="G361" s="155">
        <v>6995.8106813484501</v>
      </c>
      <c r="H361" s="154">
        <v>16012.835311196384</v>
      </c>
    </row>
    <row r="362" spans="1:8" x14ac:dyDescent="0.25">
      <c r="A362" s="153">
        <v>333</v>
      </c>
      <c r="B362" s="426">
        <v>53843</v>
      </c>
      <c r="C362" s="427"/>
      <c r="D362" s="428">
        <v>340773.50943757454</v>
      </c>
      <c r="E362" s="429"/>
      <c r="F362" s="155">
        <v>9197.3651224448931</v>
      </c>
      <c r="G362" s="155">
        <v>6815.4701887514912</v>
      </c>
      <c r="H362" s="154">
        <v>16012.835311196384</v>
      </c>
    </row>
    <row r="363" spans="1:8" x14ac:dyDescent="0.25">
      <c r="A363" s="153">
        <v>334</v>
      </c>
      <c r="B363" s="426">
        <v>53873</v>
      </c>
      <c r="C363" s="427"/>
      <c r="D363" s="428">
        <v>331576.14431512967</v>
      </c>
      <c r="E363" s="429"/>
      <c r="F363" s="155">
        <v>9381.3124248937947</v>
      </c>
      <c r="G363" s="155">
        <v>6631.5228863025932</v>
      </c>
      <c r="H363" s="154">
        <v>16012.835311196388</v>
      </c>
    </row>
    <row r="364" spans="1:8" x14ac:dyDescent="0.25">
      <c r="A364" s="153">
        <v>335</v>
      </c>
      <c r="B364" s="426">
        <v>53904</v>
      </c>
      <c r="C364" s="427"/>
      <c r="D364" s="428">
        <v>322194.83189023589</v>
      </c>
      <c r="E364" s="429"/>
      <c r="F364" s="155">
        <v>9568.938673391669</v>
      </c>
      <c r="G364" s="155">
        <v>6443.896637804718</v>
      </c>
      <c r="H364" s="154">
        <v>16012.835311196388</v>
      </c>
    </row>
    <row r="365" spans="1:8" x14ac:dyDescent="0.25">
      <c r="A365" s="153">
        <v>336</v>
      </c>
      <c r="B365" s="426">
        <v>53935</v>
      </c>
      <c r="C365" s="427"/>
      <c r="D365" s="428">
        <v>312625.89321684424</v>
      </c>
      <c r="E365" s="429"/>
      <c r="F365" s="155">
        <v>9760.3174468595025</v>
      </c>
      <c r="G365" s="155">
        <v>6252.5178643368854</v>
      </c>
      <c r="H365" s="154">
        <v>16012.835311196388</v>
      </c>
    </row>
    <row r="366" spans="1:8" x14ac:dyDescent="0.25">
      <c r="A366" s="153">
        <v>337</v>
      </c>
      <c r="B366" s="426">
        <v>53965</v>
      </c>
      <c r="C366" s="427"/>
      <c r="D366" s="428">
        <v>302865.57576998475</v>
      </c>
      <c r="E366" s="429"/>
      <c r="F366" s="155">
        <v>9955.523795796691</v>
      </c>
      <c r="G366" s="155">
        <v>6057.3115153996951</v>
      </c>
      <c r="H366" s="154">
        <v>16012.835311196386</v>
      </c>
    </row>
    <row r="367" spans="1:8" x14ac:dyDescent="0.25">
      <c r="A367" s="153">
        <v>338</v>
      </c>
      <c r="B367" s="426">
        <v>53996</v>
      </c>
      <c r="C367" s="427"/>
      <c r="D367" s="428">
        <v>292910.05197418807</v>
      </c>
      <c r="E367" s="429"/>
      <c r="F367" s="155">
        <v>10154.63427171263</v>
      </c>
      <c r="G367" s="155">
        <v>5858.2010394837616</v>
      </c>
      <c r="H367" s="154">
        <v>16012.835311196392</v>
      </c>
    </row>
    <row r="368" spans="1:8" x14ac:dyDescent="0.25">
      <c r="A368" s="153">
        <v>339</v>
      </c>
      <c r="B368" s="426">
        <v>54026</v>
      </c>
      <c r="C368" s="427"/>
      <c r="D368" s="428">
        <v>282755.41770247545</v>
      </c>
      <c r="E368" s="429"/>
      <c r="F368" s="155">
        <v>10357.726957146879</v>
      </c>
      <c r="G368" s="155">
        <v>5655.1083540495092</v>
      </c>
      <c r="H368" s="154">
        <v>16012.835311196388</v>
      </c>
    </row>
    <row r="369" spans="1:8" x14ac:dyDescent="0.25">
      <c r="A369" s="153">
        <v>340</v>
      </c>
      <c r="B369" s="426">
        <v>54057</v>
      </c>
      <c r="C369" s="427"/>
      <c r="D369" s="428">
        <v>272397.69074532855</v>
      </c>
      <c r="E369" s="429"/>
      <c r="F369" s="155">
        <v>10564.881496289818</v>
      </c>
      <c r="G369" s="155">
        <v>5447.9538149065711</v>
      </c>
      <c r="H369" s="154">
        <v>16012.835311196388</v>
      </c>
    </row>
    <row r="370" spans="1:8" x14ac:dyDescent="0.25">
      <c r="A370" s="153">
        <v>341</v>
      </c>
      <c r="B370" s="426">
        <v>54088</v>
      </c>
      <c r="C370" s="427"/>
      <c r="D370" s="428">
        <v>261832.80924903875</v>
      </c>
      <c r="E370" s="429"/>
      <c r="F370" s="155">
        <v>10776.179126215615</v>
      </c>
      <c r="G370" s="155">
        <v>5236.6561849807749</v>
      </c>
      <c r="H370" s="154">
        <v>16012.83531119639</v>
      </c>
    </row>
    <row r="371" spans="1:8" x14ac:dyDescent="0.25">
      <c r="A371" s="153">
        <v>342</v>
      </c>
      <c r="B371" s="426">
        <v>54117</v>
      </c>
      <c r="C371" s="427"/>
      <c r="D371" s="428">
        <v>251056.63012282315</v>
      </c>
      <c r="E371" s="429"/>
      <c r="F371" s="155">
        <v>10991.702708739927</v>
      </c>
      <c r="G371" s="155">
        <v>5021.1326024564632</v>
      </c>
      <c r="H371" s="154">
        <v>16012.835311196392</v>
      </c>
    </row>
    <row r="372" spans="1:8" x14ac:dyDescent="0.25">
      <c r="A372" s="153">
        <v>343</v>
      </c>
      <c r="B372" s="426">
        <v>54148</v>
      </c>
      <c r="C372" s="427"/>
      <c r="D372" s="428">
        <v>240064.92741408321</v>
      </c>
      <c r="E372" s="429"/>
      <c r="F372" s="155">
        <v>11211.536762914726</v>
      </c>
      <c r="G372" s="155">
        <v>4801.2985482816648</v>
      </c>
      <c r="H372" s="154">
        <v>16012.835311196392</v>
      </c>
    </row>
    <row r="373" spans="1:8" x14ac:dyDescent="0.25">
      <c r="A373" s="153">
        <v>344</v>
      </c>
      <c r="B373" s="426">
        <v>54178</v>
      </c>
      <c r="C373" s="427"/>
      <c r="D373" s="428">
        <v>228853.39065116848</v>
      </c>
      <c r="E373" s="429"/>
      <c r="F373" s="155">
        <v>11435.76749817302</v>
      </c>
      <c r="G373" s="155">
        <v>4577.06781302337</v>
      </c>
      <c r="H373" s="154">
        <v>16012.83531119639</v>
      </c>
    </row>
    <row r="374" spans="1:8" x14ac:dyDescent="0.25">
      <c r="A374" s="153">
        <v>345</v>
      </c>
      <c r="B374" s="426">
        <v>54209</v>
      </c>
      <c r="C374" s="427"/>
      <c r="D374" s="428">
        <v>217417.62315299545</v>
      </c>
      <c r="E374" s="429"/>
      <c r="F374" s="155">
        <v>11664.482848136478</v>
      </c>
      <c r="G374" s="155">
        <v>4348.3524630599095</v>
      </c>
      <c r="H374" s="154">
        <v>16012.835311196388</v>
      </c>
    </row>
    <row r="375" spans="1:8" x14ac:dyDescent="0.25">
      <c r="A375" s="153">
        <v>346</v>
      </c>
      <c r="B375" s="426">
        <v>54239</v>
      </c>
      <c r="C375" s="427"/>
      <c r="D375" s="428">
        <v>205753.14030485897</v>
      </c>
      <c r="E375" s="429"/>
      <c r="F375" s="155">
        <v>11897.772505099209</v>
      </c>
      <c r="G375" s="155">
        <v>4115.0628060971794</v>
      </c>
      <c r="H375" s="154">
        <v>16012.835311196388</v>
      </c>
    </row>
    <row r="376" spans="1:8" x14ac:dyDescent="0.25">
      <c r="A376" s="153">
        <v>347</v>
      </c>
      <c r="B376" s="426">
        <v>54270</v>
      </c>
      <c r="C376" s="427"/>
      <c r="D376" s="428">
        <v>193855.36779975976</v>
      </c>
      <c r="E376" s="429"/>
      <c r="F376" s="155">
        <v>12135.727955201191</v>
      </c>
      <c r="G376" s="155">
        <v>3877.1073559951951</v>
      </c>
      <c r="H376" s="154">
        <v>16012.835311196386</v>
      </c>
    </row>
    <row r="377" spans="1:8" x14ac:dyDescent="0.25">
      <c r="A377" s="153">
        <v>348</v>
      </c>
      <c r="B377" s="426">
        <v>54301</v>
      </c>
      <c r="C377" s="427"/>
      <c r="D377" s="428">
        <v>181719.63984455855</v>
      </c>
      <c r="E377" s="429"/>
      <c r="F377" s="155">
        <v>12378.442514305216</v>
      </c>
      <c r="G377" s="155">
        <v>3634.3927968911712</v>
      </c>
      <c r="H377" s="154">
        <v>16012.835311196388</v>
      </c>
    </row>
    <row r="378" spans="1:8" x14ac:dyDescent="0.25">
      <c r="A378" s="153">
        <v>349</v>
      </c>
      <c r="B378" s="426">
        <v>54331</v>
      </c>
      <c r="C378" s="427"/>
      <c r="D378" s="428">
        <v>169341.19733025334</v>
      </c>
      <c r="E378" s="429"/>
      <c r="F378" s="155">
        <v>12626.011364591317</v>
      </c>
      <c r="G378" s="155">
        <v>3386.8239466050668</v>
      </c>
      <c r="H378" s="154">
        <v>16012.835311196384</v>
      </c>
    </row>
    <row r="379" spans="1:8" x14ac:dyDescent="0.25">
      <c r="A379" s="153">
        <v>350</v>
      </c>
      <c r="B379" s="426">
        <v>54362</v>
      </c>
      <c r="C379" s="427"/>
      <c r="D379" s="428">
        <v>156715.18596566204</v>
      </c>
      <c r="E379" s="429"/>
      <c r="F379" s="155">
        <v>12878.531591883147</v>
      </c>
      <c r="G379" s="155">
        <v>3134.3037193132409</v>
      </c>
      <c r="H379" s="154">
        <v>16012.835311196388</v>
      </c>
    </row>
    <row r="380" spans="1:8" x14ac:dyDescent="0.25">
      <c r="A380" s="153">
        <v>351</v>
      </c>
      <c r="B380" s="426">
        <v>54392</v>
      </c>
      <c r="C380" s="427"/>
      <c r="D380" s="428">
        <v>143836.6543737789</v>
      </c>
      <c r="E380" s="429"/>
      <c r="F380" s="155">
        <v>13136.102223720811</v>
      </c>
      <c r="G380" s="155">
        <v>2876.733087475578</v>
      </c>
      <c r="H380" s="154">
        <v>16012.835311196388</v>
      </c>
    </row>
    <row r="381" spans="1:8" x14ac:dyDescent="0.25">
      <c r="A381" s="153">
        <v>352</v>
      </c>
      <c r="B381" s="426">
        <v>54423</v>
      </c>
      <c r="C381" s="427"/>
      <c r="D381" s="428">
        <v>130700.55215005809</v>
      </c>
      <c r="E381" s="429"/>
      <c r="F381" s="155">
        <v>13398.824268195227</v>
      </c>
      <c r="G381" s="155">
        <v>2614.0110430011619</v>
      </c>
      <c r="H381" s="154">
        <v>16012.835311196388</v>
      </c>
    </row>
    <row r="382" spans="1:8" x14ac:dyDescent="0.25">
      <c r="A382" s="153">
        <v>353</v>
      </c>
      <c r="B382" s="426">
        <v>54454</v>
      </c>
      <c r="C382" s="427"/>
      <c r="D382" s="428">
        <v>117301.72788186287</v>
      </c>
      <c r="E382" s="429"/>
      <c r="F382" s="155">
        <v>13666.800753559131</v>
      </c>
      <c r="G382" s="155">
        <v>2346.034557637257</v>
      </c>
      <c r="H382" s="154">
        <v>16012.835311196388</v>
      </c>
    </row>
    <row r="383" spans="1:8" x14ac:dyDescent="0.25">
      <c r="A383" s="153">
        <v>354</v>
      </c>
      <c r="B383" s="426">
        <v>54482</v>
      </c>
      <c r="C383" s="427"/>
      <c r="D383" s="428">
        <v>103634.92712830374</v>
      </c>
      <c r="E383" s="429"/>
      <c r="F383" s="155">
        <v>13940.136768630313</v>
      </c>
      <c r="G383" s="155">
        <v>2072.6985425660746</v>
      </c>
      <c r="H383" s="154">
        <v>16012.835311196388</v>
      </c>
    </row>
    <row r="384" spans="1:8" x14ac:dyDescent="0.25">
      <c r="A384" s="153">
        <v>355</v>
      </c>
      <c r="B384" s="426">
        <v>54513</v>
      </c>
      <c r="C384" s="427"/>
      <c r="D384" s="428">
        <v>89694.790359673425</v>
      </c>
      <c r="E384" s="429"/>
      <c r="F384" s="155">
        <v>14218.939504002918</v>
      </c>
      <c r="G384" s="155">
        <v>1793.8958071934685</v>
      </c>
      <c r="H384" s="154">
        <v>16012.835311196386</v>
      </c>
    </row>
    <row r="385" spans="1:8" x14ac:dyDescent="0.25">
      <c r="A385" s="153">
        <v>356</v>
      </c>
      <c r="B385" s="426">
        <v>54543</v>
      </c>
      <c r="C385" s="427"/>
      <c r="D385" s="428">
        <v>75475.850855670506</v>
      </c>
      <c r="E385" s="429"/>
      <c r="F385" s="155">
        <v>14503.318294082981</v>
      </c>
      <c r="G385" s="155">
        <v>1509.5170171134102</v>
      </c>
      <c r="H385" s="154">
        <v>16012.835311196392</v>
      </c>
    </row>
    <row r="386" spans="1:8" x14ac:dyDescent="0.25">
      <c r="A386" s="153">
        <v>357</v>
      </c>
      <c r="B386" s="426">
        <v>54574</v>
      </c>
      <c r="C386" s="427"/>
      <c r="D386" s="428">
        <v>60972.532561587526</v>
      </c>
      <c r="E386" s="429"/>
      <c r="F386" s="155">
        <v>14793.384659964639</v>
      </c>
      <c r="G386" s="155">
        <v>1219.4506512317505</v>
      </c>
      <c r="H386" s="154">
        <v>16012.83531119639</v>
      </c>
    </row>
    <row r="387" spans="1:8" x14ac:dyDescent="0.25">
      <c r="A387" s="153">
        <v>358</v>
      </c>
      <c r="B387" s="426">
        <v>54604</v>
      </c>
      <c r="C387" s="427"/>
      <c r="D387" s="428">
        <v>46179.147901622884</v>
      </c>
      <c r="E387" s="429"/>
      <c r="F387" s="155">
        <v>15089.252353163925</v>
      </c>
      <c r="G387" s="155">
        <v>923.58295803245767</v>
      </c>
      <c r="H387" s="154">
        <v>16012.835311196382</v>
      </c>
    </row>
    <row r="388" spans="1:8" x14ac:dyDescent="0.25">
      <c r="A388" s="153">
        <v>359</v>
      </c>
      <c r="B388" s="426">
        <v>54635</v>
      </c>
      <c r="C388" s="427"/>
      <c r="D388" s="428">
        <v>31089.895548458961</v>
      </c>
      <c r="E388" s="429"/>
      <c r="F388" s="155">
        <v>15391.037400227207</v>
      </c>
      <c r="G388" s="155">
        <v>621.79791096917927</v>
      </c>
      <c r="H388" s="154">
        <v>16012.835311196386</v>
      </c>
    </row>
    <row r="389" spans="1:8" x14ac:dyDescent="0.25">
      <c r="A389" s="153">
        <v>360</v>
      </c>
      <c r="B389" s="426">
        <v>54666</v>
      </c>
      <c r="C389" s="427"/>
      <c r="D389" s="428">
        <v>15698.858148231753</v>
      </c>
      <c r="E389" s="429"/>
      <c r="F389" s="155">
        <v>15698.858148231753</v>
      </c>
      <c r="G389" s="155">
        <v>313.97716296463506</v>
      </c>
      <c r="H389" s="154">
        <v>16012.835311196388</v>
      </c>
    </row>
    <row r="390" spans="1:8" x14ac:dyDescent="0.25">
      <c r="A390" s="156">
        <v>1</v>
      </c>
      <c r="B390" s="157"/>
      <c r="C390" s="157"/>
      <c r="D390" s="430" t="s">
        <v>648</v>
      </c>
      <c r="E390" s="431"/>
      <c r="F390" s="158">
        <v>999999.99999999942</v>
      </c>
      <c r="G390" s="158">
        <v>4964620.7120306948</v>
      </c>
      <c r="H390" s="158">
        <v>5964620.712030733</v>
      </c>
    </row>
  </sheetData>
  <sheetProtection selectLockedCells="1"/>
  <mergeCells count="733">
    <mergeCell ref="D26:E26"/>
    <mergeCell ref="B28:C28"/>
    <mergeCell ref="D28:E28"/>
    <mergeCell ref="B29:C29"/>
    <mergeCell ref="D29:E29"/>
    <mergeCell ref="B30:C30"/>
    <mergeCell ref="D30:E30"/>
    <mergeCell ref="C9:F9"/>
    <mergeCell ref="C11:G11"/>
    <mergeCell ref="G13:H13"/>
    <mergeCell ref="A22:B22"/>
    <mergeCell ref="A24:C24"/>
    <mergeCell ref="E24:F24"/>
    <mergeCell ref="B34:C34"/>
    <mergeCell ref="D34:E34"/>
    <mergeCell ref="B35:C35"/>
    <mergeCell ref="D35:E35"/>
    <mergeCell ref="B36:C36"/>
    <mergeCell ref="D36:E36"/>
    <mergeCell ref="B31:C31"/>
    <mergeCell ref="D31:E31"/>
    <mergeCell ref="B32:C32"/>
    <mergeCell ref="D32:E32"/>
    <mergeCell ref="B33:C33"/>
    <mergeCell ref="D33:E33"/>
    <mergeCell ref="B40:C40"/>
    <mergeCell ref="D40:E40"/>
    <mergeCell ref="B41:C41"/>
    <mergeCell ref="D41:E41"/>
    <mergeCell ref="B42:C42"/>
    <mergeCell ref="D42:E42"/>
    <mergeCell ref="B37:C37"/>
    <mergeCell ref="D37:E37"/>
    <mergeCell ref="B38:C38"/>
    <mergeCell ref="D38:E38"/>
    <mergeCell ref="B39:C39"/>
    <mergeCell ref="D39:E39"/>
    <mergeCell ref="B46:C46"/>
    <mergeCell ref="D46:E46"/>
    <mergeCell ref="B47:C47"/>
    <mergeCell ref="D47:E47"/>
    <mergeCell ref="B48:C48"/>
    <mergeCell ref="D48:E48"/>
    <mergeCell ref="B43:C43"/>
    <mergeCell ref="D43:E43"/>
    <mergeCell ref="B44:C44"/>
    <mergeCell ref="D44:E44"/>
    <mergeCell ref="B45:C45"/>
    <mergeCell ref="D45:E45"/>
    <mergeCell ref="B52:C52"/>
    <mergeCell ref="D52:E52"/>
    <mergeCell ref="B53:C53"/>
    <mergeCell ref="D53:E53"/>
    <mergeCell ref="B54:C54"/>
    <mergeCell ref="D54:E54"/>
    <mergeCell ref="B49:C49"/>
    <mergeCell ref="D49:E49"/>
    <mergeCell ref="B50:C50"/>
    <mergeCell ref="D50:E50"/>
    <mergeCell ref="B51:C51"/>
    <mergeCell ref="D51:E51"/>
    <mergeCell ref="B58:C58"/>
    <mergeCell ref="D58:E58"/>
    <mergeCell ref="B59:C59"/>
    <mergeCell ref="D59:E59"/>
    <mergeCell ref="B60:C60"/>
    <mergeCell ref="D60:E60"/>
    <mergeCell ref="B55:C55"/>
    <mergeCell ref="D55:E55"/>
    <mergeCell ref="B56:C56"/>
    <mergeCell ref="D56:E56"/>
    <mergeCell ref="B57:C57"/>
    <mergeCell ref="D57:E57"/>
    <mergeCell ref="B64:C64"/>
    <mergeCell ref="D64:E64"/>
    <mergeCell ref="B65:C65"/>
    <mergeCell ref="D65:E65"/>
    <mergeCell ref="B66:C66"/>
    <mergeCell ref="D66:E66"/>
    <mergeCell ref="B61:C61"/>
    <mergeCell ref="D61:E61"/>
    <mergeCell ref="B62:C62"/>
    <mergeCell ref="D62:E62"/>
    <mergeCell ref="B63:C63"/>
    <mergeCell ref="D63:E63"/>
    <mergeCell ref="B70:C70"/>
    <mergeCell ref="D70:E70"/>
    <mergeCell ref="B71:C71"/>
    <mergeCell ref="D71:E71"/>
    <mergeCell ref="B72:C72"/>
    <mergeCell ref="D72:E72"/>
    <mergeCell ref="B67:C67"/>
    <mergeCell ref="D67:E67"/>
    <mergeCell ref="B68:C68"/>
    <mergeCell ref="D68:E68"/>
    <mergeCell ref="B69:C69"/>
    <mergeCell ref="D69:E69"/>
    <mergeCell ref="B76:C76"/>
    <mergeCell ref="D76:E76"/>
    <mergeCell ref="B77:C77"/>
    <mergeCell ref="D77:E77"/>
    <mergeCell ref="B78:C78"/>
    <mergeCell ref="D78:E78"/>
    <mergeCell ref="B73:C73"/>
    <mergeCell ref="D73:E73"/>
    <mergeCell ref="B74:C74"/>
    <mergeCell ref="D74:E74"/>
    <mergeCell ref="B75:C75"/>
    <mergeCell ref="D75:E75"/>
    <mergeCell ref="B82:C82"/>
    <mergeCell ref="D82:E82"/>
    <mergeCell ref="B83:C83"/>
    <mergeCell ref="D83:E83"/>
    <mergeCell ref="B84:C84"/>
    <mergeCell ref="D84:E84"/>
    <mergeCell ref="B79:C79"/>
    <mergeCell ref="D79:E79"/>
    <mergeCell ref="B80:C80"/>
    <mergeCell ref="D80:E80"/>
    <mergeCell ref="B81:C81"/>
    <mergeCell ref="D81:E81"/>
    <mergeCell ref="B88:C88"/>
    <mergeCell ref="D88:E88"/>
    <mergeCell ref="B89:C89"/>
    <mergeCell ref="D89:E89"/>
    <mergeCell ref="B90:C90"/>
    <mergeCell ref="D90:E90"/>
    <mergeCell ref="B85:C85"/>
    <mergeCell ref="D85:E85"/>
    <mergeCell ref="B86:C86"/>
    <mergeCell ref="D86:E86"/>
    <mergeCell ref="B87:C87"/>
    <mergeCell ref="D87:E87"/>
    <mergeCell ref="B94:C94"/>
    <mergeCell ref="D94:E94"/>
    <mergeCell ref="B95:C95"/>
    <mergeCell ref="D95:E95"/>
    <mergeCell ref="B96:C96"/>
    <mergeCell ref="D96:E96"/>
    <mergeCell ref="B91:C91"/>
    <mergeCell ref="D91:E91"/>
    <mergeCell ref="B92:C92"/>
    <mergeCell ref="D92:E92"/>
    <mergeCell ref="B93:C93"/>
    <mergeCell ref="D93:E93"/>
    <mergeCell ref="B100:C100"/>
    <mergeCell ref="D100:E100"/>
    <mergeCell ref="B101:C101"/>
    <mergeCell ref="D101:E101"/>
    <mergeCell ref="B102:C102"/>
    <mergeCell ref="D102:E102"/>
    <mergeCell ref="B97:C97"/>
    <mergeCell ref="D97:E97"/>
    <mergeCell ref="B98:C98"/>
    <mergeCell ref="D98:E98"/>
    <mergeCell ref="B99:C99"/>
    <mergeCell ref="D99:E99"/>
    <mergeCell ref="B106:C106"/>
    <mergeCell ref="D106:E106"/>
    <mergeCell ref="B107:C107"/>
    <mergeCell ref="D107:E107"/>
    <mergeCell ref="B108:C108"/>
    <mergeCell ref="D108:E108"/>
    <mergeCell ref="B103:C103"/>
    <mergeCell ref="D103:E103"/>
    <mergeCell ref="B104:C104"/>
    <mergeCell ref="D104:E104"/>
    <mergeCell ref="B105:C105"/>
    <mergeCell ref="D105:E105"/>
    <mergeCell ref="B112:C112"/>
    <mergeCell ref="D112:E112"/>
    <mergeCell ref="B113:C113"/>
    <mergeCell ref="D113:E113"/>
    <mergeCell ref="B114:C114"/>
    <mergeCell ref="D114:E114"/>
    <mergeCell ref="B109:C109"/>
    <mergeCell ref="D109:E109"/>
    <mergeCell ref="B110:C110"/>
    <mergeCell ref="D110:E110"/>
    <mergeCell ref="B111:C111"/>
    <mergeCell ref="D111:E111"/>
    <mergeCell ref="B118:C118"/>
    <mergeCell ref="D118:E118"/>
    <mergeCell ref="B119:C119"/>
    <mergeCell ref="D119:E119"/>
    <mergeCell ref="B120:C120"/>
    <mergeCell ref="D120:E120"/>
    <mergeCell ref="B115:C115"/>
    <mergeCell ref="D115:E115"/>
    <mergeCell ref="B116:C116"/>
    <mergeCell ref="D116:E116"/>
    <mergeCell ref="B117:C117"/>
    <mergeCell ref="D117:E117"/>
    <mergeCell ref="B124:C124"/>
    <mergeCell ref="D124:E124"/>
    <mergeCell ref="B125:C125"/>
    <mergeCell ref="D125:E125"/>
    <mergeCell ref="B126:C126"/>
    <mergeCell ref="D126:E126"/>
    <mergeCell ref="B121:C121"/>
    <mergeCell ref="D121:E121"/>
    <mergeCell ref="B122:C122"/>
    <mergeCell ref="D122:E122"/>
    <mergeCell ref="B123:C123"/>
    <mergeCell ref="D123:E123"/>
    <mergeCell ref="B130:C130"/>
    <mergeCell ref="D130:E130"/>
    <mergeCell ref="B131:C131"/>
    <mergeCell ref="D131:E131"/>
    <mergeCell ref="B132:C132"/>
    <mergeCell ref="D132:E132"/>
    <mergeCell ref="B127:C127"/>
    <mergeCell ref="D127:E127"/>
    <mergeCell ref="B128:C128"/>
    <mergeCell ref="D128:E128"/>
    <mergeCell ref="B129:C129"/>
    <mergeCell ref="D129:E129"/>
    <mergeCell ref="B136:C136"/>
    <mergeCell ref="D136:E136"/>
    <mergeCell ref="B137:C137"/>
    <mergeCell ref="D137:E137"/>
    <mergeCell ref="B138:C138"/>
    <mergeCell ref="D138:E138"/>
    <mergeCell ref="B133:C133"/>
    <mergeCell ref="D133:E133"/>
    <mergeCell ref="B134:C134"/>
    <mergeCell ref="D134:E134"/>
    <mergeCell ref="B135:C135"/>
    <mergeCell ref="D135:E135"/>
    <mergeCell ref="B142:C142"/>
    <mergeCell ref="D142:E142"/>
    <mergeCell ref="B143:C143"/>
    <mergeCell ref="D143:E143"/>
    <mergeCell ref="B144:C144"/>
    <mergeCell ref="D144:E144"/>
    <mergeCell ref="B139:C139"/>
    <mergeCell ref="D139:E139"/>
    <mergeCell ref="B140:C140"/>
    <mergeCell ref="D140:E140"/>
    <mergeCell ref="B141:C141"/>
    <mergeCell ref="D141:E141"/>
    <mergeCell ref="B148:C148"/>
    <mergeCell ref="D148:E148"/>
    <mergeCell ref="B149:C149"/>
    <mergeCell ref="D149:E149"/>
    <mergeCell ref="B150:C150"/>
    <mergeCell ref="D150:E150"/>
    <mergeCell ref="B145:C145"/>
    <mergeCell ref="D145:E145"/>
    <mergeCell ref="B146:C146"/>
    <mergeCell ref="D146:E146"/>
    <mergeCell ref="B147:C147"/>
    <mergeCell ref="D147:E147"/>
    <mergeCell ref="B154:C154"/>
    <mergeCell ref="D154:E154"/>
    <mergeCell ref="B155:C155"/>
    <mergeCell ref="D155:E155"/>
    <mergeCell ref="B156:C156"/>
    <mergeCell ref="D156:E156"/>
    <mergeCell ref="B151:C151"/>
    <mergeCell ref="D151:E151"/>
    <mergeCell ref="B152:C152"/>
    <mergeCell ref="D152:E152"/>
    <mergeCell ref="B153:C153"/>
    <mergeCell ref="D153:E153"/>
    <mergeCell ref="B160:C160"/>
    <mergeCell ref="D160:E160"/>
    <mergeCell ref="B161:C161"/>
    <mergeCell ref="D161:E161"/>
    <mergeCell ref="B162:C162"/>
    <mergeCell ref="D162:E162"/>
    <mergeCell ref="B157:C157"/>
    <mergeCell ref="D157:E157"/>
    <mergeCell ref="B158:C158"/>
    <mergeCell ref="D158:E158"/>
    <mergeCell ref="B159:C159"/>
    <mergeCell ref="D159:E159"/>
    <mergeCell ref="B166:C166"/>
    <mergeCell ref="D166:E166"/>
    <mergeCell ref="B167:C167"/>
    <mergeCell ref="D167:E167"/>
    <mergeCell ref="B168:C168"/>
    <mergeCell ref="D168:E168"/>
    <mergeCell ref="B163:C163"/>
    <mergeCell ref="D163:E163"/>
    <mergeCell ref="B164:C164"/>
    <mergeCell ref="D164:E164"/>
    <mergeCell ref="B165:C165"/>
    <mergeCell ref="D165:E165"/>
    <mergeCell ref="B172:C172"/>
    <mergeCell ref="D172:E172"/>
    <mergeCell ref="B173:C173"/>
    <mergeCell ref="D173:E173"/>
    <mergeCell ref="B174:C174"/>
    <mergeCell ref="D174:E174"/>
    <mergeCell ref="B169:C169"/>
    <mergeCell ref="D169:E169"/>
    <mergeCell ref="B170:C170"/>
    <mergeCell ref="D170:E170"/>
    <mergeCell ref="B171:C171"/>
    <mergeCell ref="D171:E171"/>
    <mergeCell ref="B178:C178"/>
    <mergeCell ref="D178:E178"/>
    <mergeCell ref="B179:C179"/>
    <mergeCell ref="D179:E179"/>
    <mergeCell ref="B180:C180"/>
    <mergeCell ref="D180:E180"/>
    <mergeCell ref="B175:C175"/>
    <mergeCell ref="D175:E175"/>
    <mergeCell ref="B176:C176"/>
    <mergeCell ref="D176:E176"/>
    <mergeCell ref="B177:C177"/>
    <mergeCell ref="D177:E177"/>
    <mergeCell ref="B184:C184"/>
    <mergeCell ref="D184:E184"/>
    <mergeCell ref="B185:C185"/>
    <mergeCell ref="D185:E185"/>
    <mergeCell ref="B186:C186"/>
    <mergeCell ref="D186:E186"/>
    <mergeCell ref="B181:C181"/>
    <mergeCell ref="D181:E181"/>
    <mergeCell ref="B182:C182"/>
    <mergeCell ref="D182:E182"/>
    <mergeCell ref="B183:C183"/>
    <mergeCell ref="D183:E183"/>
    <mergeCell ref="B190:C190"/>
    <mergeCell ref="D190:E190"/>
    <mergeCell ref="B191:C191"/>
    <mergeCell ref="D191:E191"/>
    <mergeCell ref="B192:C192"/>
    <mergeCell ref="D192:E192"/>
    <mergeCell ref="B187:C187"/>
    <mergeCell ref="D187:E187"/>
    <mergeCell ref="B188:C188"/>
    <mergeCell ref="D188:E188"/>
    <mergeCell ref="B189:C189"/>
    <mergeCell ref="D189:E189"/>
    <mergeCell ref="B196:C196"/>
    <mergeCell ref="D196:E196"/>
    <mergeCell ref="B197:C197"/>
    <mergeCell ref="D197:E197"/>
    <mergeCell ref="B198:C198"/>
    <mergeCell ref="D198:E198"/>
    <mergeCell ref="B193:C193"/>
    <mergeCell ref="D193:E193"/>
    <mergeCell ref="B194:C194"/>
    <mergeCell ref="D194:E194"/>
    <mergeCell ref="B195:C195"/>
    <mergeCell ref="D195:E195"/>
    <mergeCell ref="B202:C202"/>
    <mergeCell ref="D202:E202"/>
    <mergeCell ref="B203:C203"/>
    <mergeCell ref="D203:E203"/>
    <mergeCell ref="B204:C204"/>
    <mergeCell ref="D204:E204"/>
    <mergeCell ref="B199:C199"/>
    <mergeCell ref="D199:E199"/>
    <mergeCell ref="B200:C200"/>
    <mergeCell ref="D200:E200"/>
    <mergeCell ref="B201:C201"/>
    <mergeCell ref="D201:E201"/>
    <mergeCell ref="B208:C208"/>
    <mergeCell ref="D208:E208"/>
    <mergeCell ref="B209:C209"/>
    <mergeCell ref="D209:E209"/>
    <mergeCell ref="B210:C210"/>
    <mergeCell ref="D210:E210"/>
    <mergeCell ref="B205:C205"/>
    <mergeCell ref="D205:E205"/>
    <mergeCell ref="B206:C206"/>
    <mergeCell ref="D206:E206"/>
    <mergeCell ref="B207:C207"/>
    <mergeCell ref="D207:E207"/>
    <mergeCell ref="B214:C214"/>
    <mergeCell ref="D214:E214"/>
    <mergeCell ref="B215:C215"/>
    <mergeCell ref="D215:E215"/>
    <mergeCell ref="B216:C216"/>
    <mergeCell ref="D216:E216"/>
    <mergeCell ref="B211:C211"/>
    <mergeCell ref="D211:E211"/>
    <mergeCell ref="B212:C212"/>
    <mergeCell ref="D212:E212"/>
    <mergeCell ref="B213:C213"/>
    <mergeCell ref="D213:E213"/>
    <mergeCell ref="B220:C220"/>
    <mergeCell ref="D220:E220"/>
    <mergeCell ref="B221:C221"/>
    <mergeCell ref="D221:E221"/>
    <mergeCell ref="B222:C222"/>
    <mergeCell ref="D222:E222"/>
    <mergeCell ref="B217:C217"/>
    <mergeCell ref="D217:E217"/>
    <mergeCell ref="B218:C218"/>
    <mergeCell ref="D218:E218"/>
    <mergeCell ref="B219:C219"/>
    <mergeCell ref="D219:E219"/>
    <mergeCell ref="B226:C226"/>
    <mergeCell ref="D226:E226"/>
    <mergeCell ref="B227:C227"/>
    <mergeCell ref="D227:E227"/>
    <mergeCell ref="B228:C228"/>
    <mergeCell ref="D228:E228"/>
    <mergeCell ref="B223:C223"/>
    <mergeCell ref="D223:E223"/>
    <mergeCell ref="B224:C224"/>
    <mergeCell ref="D224:E224"/>
    <mergeCell ref="B225:C225"/>
    <mergeCell ref="D225:E225"/>
    <mergeCell ref="B232:C232"/>
    <mergeCell ref="D232:E232"/>
    <mergeCell ref="B233:C233"/>
    <mergeCell ref="D233:E233"/>
    <mergeCell ref="B234:C234"/>
    <mergeCell ref="D234:E234"/>
    <mergeCell ref="B229:C229"/>
    <mergeCell ref="D229:E229"/>
    <mergeCell ref="B230:C230"/>
    <mergeCell ref="D230:E230"/>
    <mergeCell ref="B231:C231"/>
    <mergeCell ref="D231:E231"/>
    <mergeCell ref="B238:C238"/>
    <mergeCell ref="D238:E238"/>
    <mergeCell ref="B239:C239"/>
    <mergeCell ref="D239:E239"/>
    <mergeCell ref="B240:C240"/>
    <mergeCell ref="D240:E240"/>
    <mergeCell ref="B235:C235"/>
    <mergeCell ref="D235:E235"/>
    <mergeCell ref="B236:C236"/>
    <mergeCell ref="D236:E236"/>
    <mergeCell ref="B237:C237"/>
    <mergeCell ref="D237:E237"/>
    <mergeCell ref="B244:C244"/>
    <mergeCell ref="D244:E244"/>
    <mergeCell ref="B245:C245"/>
    <mergeCell ref="D245:E245"/>
    <mergeCell ref="B246:C246"/>
    <mergeCell ref="D246:E246"/>
    <mergeCell ref="B241:C241"/>
    <mergeCell ref="D241:E241"/>
    <mergeCell ref="B242:C242"/>
    <mergeCell ref="D242:E242"/>
    <mergeCell ref="B243:C243"/>
    <mergeCell ref="D243:E243"/>
    <mergeCell ref="B250:C250"/>
    <mergeCell ref="D250:E250"/>
    <mergeCell ref="B251:C251"/>
    <mergeCell ref="D251:E251"/>
    <mergeCell ref="B252:C252"/>
    <mergeCell ref="D252:E252"/>
    <mergeCell ref="B247:C247"/>
    <mergeCell ref="D247:E247"/>
    <mergeCell ref="B248:C248"/>
    <mergeCell ref="D248:E248"/>
    <mergeCell ref="B249:C249"/>
    <mergeCell ref="D249:E249"/>
    <mergeCell ref="B256:C256"/>
    <mergeCell ref="D256:E256"/>
    <mergeCell ref="B257:C257"/>
    <mergeCell ref="D257:E257"/>
    <mergeCell ref="B258:C258"/>
    <mergeCell ref="D258:E258"/>
    <mergeCell ref="B253:C253"/>
    <mergeCell ref="D253:E253"/>
    <mergeCell ref="B254:C254"/>
    <mergeCell ref="D254:E254"/>
    <mergeCell ref="B255:C255"/>
    <mergeCell ref="D255:E255"/>
    <mergeCell ref="B262:C262"/>
    <mergeCell ref="D262:E262"/>
    <mergeCell ref="B263:C263"/>
    <mergeCell ref="D263:E263"/>
    <mergeCell ref="B264:C264"/>
    <mergeCell ref="D264:E264"/>
    <mergeCell ref="B259:C259"/>
    <mergeCell ref="D259:E259"/>
    <mergeCell ref="B260:C260"/>
    <mergeCell ref="D260:E260"/>
    <mergeCell ref="B261:C261"/>
    <mergeCell ref="D261:E261"/>
    <mergeCell ref="B268:C268"/>
    <mergeCell ref="D268:E268"/>
    <mergeCell ref="B269:C269"/>
    <mergeCell ref="D269:E269"/>
    <mergeCell ref="B270:C270"/>
    <mergeCell ref="D270:E270"/>
    <mergeCell ref="B265:C265"/>
    <mergeCell ref="D265:E265"/>
    <mergeCell ref="B266:C266"/>
    <mergeCell ref="D266:E266"/>
    <mergeCell ref="B267:C267"/>
    <mergeCell ref="D267:E267"/>
    <mergeCell ref="B274:C274"/>
    <mergeCell ref="D274:E274"/>
    <mergeCell ref="B275:C275"/>
    <mergeCell ref="D275:E275"/>
    <mergeCell ref="B276:C276"/>
    <mergeCell ref="D276:E276"/>
    <mergeCell ref="B271:C271"/>
    <mergeCell ref="D271:E271"/>
    <mergeCell ref="B272:C272"/>
    <mergeCell ref="D272:E272"/>
    <mergeCell ref="B273:C273"/>
    <mergeCell ref="D273:E273"/>
    <mergeCell ref="B280:C280"/>
    <mergeCell ref="D280:E280"/>
    <mergeCell ref="B281:C281"/>
    <mergeCell ref="D281:E281"/>
    <mergeCell ref="B282:C282"/>
    <mergeCell ref="D282:E282"/>
    <mergeCell ref="B277:C277"/>
    <mergeCell ref="D277:E277"/>
    <mergeCell ref="B278:C278"/>
    <mergeCell ref="D278:E278"/>
    <mergeCell ref="B279:C279"/>
    <mergeCell ref="D279:E279"/>
    <mergeCell ref="B286:C286"/>
    <mergeCell ref="D286:E286"/>
    <mergeCell ref="B287:C287"/>
    <mergeCell ref="D287:E287"/>
    <mergeCell ref="B288:C288"/>
    <mergeCell ref="D288:E288"/>
    <mergeCell ref="B283:C283"/>
    <mergeCell ref="D283:E283"/>
    <mergeCell ref="B284:C284"/>
    <mergeCell ref="D284:E284"/>
    <mergeCell ref="B285:C285"/>
    <mergeCell ref="D285:E285"/>
    <mergeCell ref="B292:C292"/>
    <mergeCell ref="D292:E292"/>
    <mergeCell ref="B293:C293"/>
    <mergeCell ref="D293:E293"/>
    <mergeCell ref="B294:C294"/>
    <mergeCell ref="D294:E294"/>
    <mergeCell ref="B289:C289"/>
    <mergeCell ref="D289:E289"/>
    <mergeCell ref="B290:C290"/>
    <mergeCell ref="D290:E290"/>
    <mergeCell ref="B291:C291"/>
    <mergeCell ref="D291:E291"/>
    <mergeCell ref="B298:C298"/>
    <mergeCell ref="D298:E298"/>
    <mergeCell ref="B299:C299"/>
    <mergeCell ref="D299:E299"/>
    <mergeCell ref="B300:C300"/>
    <mergeCell ref="D300:E300"/>
    <mergeCell ref="B295:C295"/>
    <mergeCell ref="D295:E295"/>
    <mergeCell ref="B296:C296"/>
    <mergeCell ref="D296:E296"/>
    <mergeCell ref="B297:C297"/>
    <mergeCell ref="D297:E297"/>
    <mergeCell ref="B304:C304"/>
    <mergeCell ref="D304:E304"/>
    <mergeCell ref="B305:C305"/>
    <mergeCell ref="D305:E305"/>
    <mergeCell ref="B306:C306"/>
    <mergeCell ref="D306:E306"/>
    <mergeCell ref="B301:C301"/>
    <mergeCell ref="D301:E301"/>
    <mergeCell ref="B302:C302"/>
    <mergeCell ref="D302:E302"/>
    <mergeCell ref="B303:C303"/>
    <mergeCell ref="D303:E303"/>
    <mergeCell ref="B310:C310"/>
    <mergeCell ref="D310:E310"/>
    <mergeCell ref="B311:C311"/>
    <mergeCell ref="D311:E311"/>
    <mergeCell ref="B312:C312"/>
    <mergeCell ref="D312:E312"/>
    <mergeCell ref="B307:C307"/>
    <mergeCell ref="D307:E307"/>
    <mergeCell ref="B308:C308"/>
    <mergeCell ref="D308:E308"/>
    <mergeCell ref="B309:C309"/>
    <mergeCell ref="D309:E309"/>
    <mergeCell ref="B316:C316"/>
    <mergeCell ref="D316:E316"/>
    <mergeCell ref="B317:C317"/>
    <mergeCell ref="D317:E317"/>
    <mergeCell ref="B318:C318"/>
    <mergeCell ref="D318:E318"/>
    <mergeCell ref="B313:C313"/>
    <mergeCell ref="D313:E313"/>
    <mergeCell ref="B314:C314"/>
    <mergeCell ref="D314:E314"/>
    <mergeCell ref="B315:C315"/>
    <mergeCell ref="D315:E315"/>
    <mergeCell ref="B322:C322"/>
    <mergeCell ref="D322:E322"/>
    <mergeCell ref="B323:C323"/>
    <mergeCell ref="D323:E323"/>
    <mergeCell ref="B324:C324"/>
    <mergeCell ref="D324:E324"/>
    <mergeCell ref="B319:C319"/>
    <mergeCell ref="D319:E319"/>
    <mergeCell ref="B320:C320"/>
    <mergeCell ref="D320:E320"/>
    <mergeCell ref="B321:C321"/>
    <mergeCell ref="D321:E321"/>
    <mergeCell ref="B328:C328"/>
    <mergeCell ref="D328:E328"/>
    <mergeCell ref="B329:C329"/>
    <mergeCell ref="D329:E329"/>
    <mergeCell ref="B330:C330"/>
    <mergeCell ref="D330:E330"/>
    <mergeCell ref="B325:C325"/>
    <mergeCell ref="D325:E325"/>
    <mergeCell ref="B326:C326"/>
    <mergeCell ref="D326:E326"/>
    <mergeCell ref="B327:C327"/>
    <mergeCell ref="D327:E327"/>
    <mergeCell ref="B334:C334"/>
    <mergeCell ref="D334:E334"/>
    <mergeCell ref="B335:C335"/>
    <mergeCell ref="D335:E335"/>
    <mergeCell ref="B336:C336"/>
    <mergeCell ref="D336:E336"/>
    <mergeCell ref="B331:C331"/>
    <mergeCell ref="D331:E331"/>
    <mergeCell ref="B332:C332"/>
    <mergeCell ref="D332:E332"/>
    <mergeCell ref="B333:C333"/>
    <mergeCell ref="D333:E333"/>
    <mergeCell ref="B340:C340"/>
    <mergeCell ref="D340:E340"/>
    <mergeCell ref="B341:C341"/>
    <mergeCell ref="D341:E341"/>
    <mergeCell ref="B342:C342"/>
    <mergeCell ref="D342:E342"/>
    <mergeCell ref="B337:C337"/>
    <mergeCell ref="D337:E337"/>
    <mergeCell ref="B338:C338"/>
    <mergeCell ref="D338:E338"/>
    <mergeCell ref="B339:C339"/>
    <mergeCell ref="D339:E339"/>
    <mergeCell ref="B346:C346"/>
    <mergeCell ref="D346:E346"/>
    <mergeCell ref="B347:C347"/>
    <mergeCell ref="D347:E347"/>
    <mergeCell ref="B348:C348"/>
    <mergeCell ref="D348:E348"/>
    <mergeCell ref="B343:C343"/>
    <mergeCell ref="D343:E343"/>
    <mergeCell ref="B344:C344"/>
    <mergeCell ref="D344:E344"/>
    <mergeCell ref="B345:C345"/>
    <mergeCell ref="D345:E345"/>
    <mergeCell ref="B352:C352"/>
    <mergeCell ref="D352:E352"/>
    <mergeCell ref="B353:C353"/>
    <mergeCell ref="D353:E353"/>
    <mergeCell ref="B354:C354"/>
    <mergeCell ref="D354:E354"/>
    <mergeCell ref="B349:C349"/>
    <mergeCell ref="D349:E349"/>
    <mergeCell ref="B350:C350"/>
    <mergeCell ref="D350:E350"/>
    <mergeCell ref="B351:C351"/>
    <mergeCell ref="D351:E351"/>
    <mergeCell ref="B358:C358"/>
    <mergeCell ref="D358:E358"/>
    <mergeCell ref="B359:C359"/>
    <mergeCell ref="D359:E359"/>
    <mergeCell ref="B360:C360"/>
    <mergeCell ref="D360:E360"/>
    <mergeCell ref="B355:C355"/>
    <mergeCell ref="D355:E355"/>
    <mergeCell ref="B356:C356"/>
    <mergeCell ref="D356:E356"/>
    <mergeCell ref="B357:C357"/>
    <mergeCell ref="D357:E357"/>
    <mergeCell ref="B364:C364"/>
    <mergeCell ref="D364:E364"/>
    <mergeCell ref="B365:C365"/>
    <mergeCell ref="D365:E365"/>
    <mergeCell ref="B366:C366"/>
    <mergeCell ref="D366:E366"/>
    <mergeCell ref="B361:C361"/>
    <mergeCell ref="D361:E361"/>
    <mergeCell ref="B362:C362"/>
    <mergeCell ref="D362:E362"/>
    <mergeCell ref="B363:C363"/>
    <mergeCell ref="D363:E363"/>
    <mergeCell ref="B370:C370"/>
    <mergeCell ref="D370:E370"/>
    <mergeCell ref="B371:C371"/>
    <mergeCell ref="D371:E371"/>
    <mergeCell ref="B372:C372"/>
    <mergeCell ref="D372:E372"/>
    <mergeCell ref="B367:C367"/>
    <mergeCell ref="D367:E367"/>
    <mergeCell ref="B368:C368"/>
    <mergeCell ref="D368:E368"/>
    <mergeCell ref="B369:C369"/>
    <mergeCell ref="D369:E369"/>
    <mergeCell ref="B376:C376"/>
    <mergeCell ref="D376:E376"/>
    <mergeCell ref="B377:C377"/>
    <mergeCell ref="D377:E377"/>
    <mergeCell ref="B378:C378"/>
    <mergeCell ref="D378:E378"/>
    <mergeCell ref="B373:C373"/>
    <mergeCell ref="D373:E373"/>
    <mergeCell ref="B374:C374"/>
    <mergeCell ref="D374:E374"/>
    <mergeCell ref="B375:C375"/>
    <mergeCell ref="D375:E375"/>
    <mergeCell ref="B388:C388"/>
    <mergeCell ref="D388:E388"/>
    <mergeCell ref="B389:C389"/>
    <mergeCell ref="D389:E389"/>
    <mergeCell ref="D390:E390"/>
    <mergeCell ref="A3:H4"/>
    <mergeCell ref="B385:C385"/>
    <mergeCell ref="D385:E385"/>
    <mergeCell ref="B386:C386"/>
    <mergeCell ref="D386:E386"/>
    <mergeCell ref="B387:C387"/>
    <mergeCell ref="D387:E387"/>
    <mergeCell ref="B382:C382"/>
    <mergeCell ref="D382:E382"/>
    <mergeCell ref="B383:C383"/>
    <mergeCell ref="D383:E383"/>
    <mergeCell ref="B384:C384"/>
    <mergeCell ref="D384:E384"/>
    <mergeCell ref="B379:C379"/>
    <mergeCell ref="D379:E379"/>
    <mergeCell ref="B380:C380"/>
    <mergeCell ref="D380:E380"/>
    <mergeCell ref="B381:C381"/>
    <mergeCell ref="D381:E381"/>
  </mergeCells>
  <printOptions horizontalCentered="1"/>
  <pageMargins left="0.70866141732283472" right="0.70866141732283472" top="0.74803149606299213" bottom="0.74803149606299213" header="0.31496062992125984" footer="0.31496062992125984"/>
  <pageSetup paperSize="9" scale="85" orientation="portrait" r:id="rId1"/>
  <headerFooter>
    <oddHeader>&amp;CLapas &amp;P iš &amp;N lapų&amp;R&amp;D &amp;T</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5684AFD-8265-4ABF-BC01-AAE922824B36}">
  <ds:schemaRefs/>
</ds:datastoreItem>
</file>

<file path=customXml/itemProps2.xml><?xml version="1.0" encoding="utf-8"?>
<ds:datastoreItem xmlns:ds="http://schemas.openxmlformats.org/officeDocument/2006/customXml" ds:itemID="{75AAC935-9180-414B-B1EB-0D062096D376}">
  <ds:schemaRefs/>
</ds:datastoreItem>
</file>

<file path=customXml/itemProps3.xml><?xml version="1.0" encoding="utf-8"?>
<ds:datastoreItem xmlns:ds="http://schemas.openxmlformats.org/officeDocument/2006/customXml" ds:itemID="{3658BF0E-F1E9-4ED3-9F33-115212BC6B08}">
  <ds:schemaRefs/>
</ds:datastoreItem>
</file>

<file path=customXml/itemProps4.xml><?xml version="1.0" encoding="utf-8"?>
<ds:datastoreItem xmlns:ds="http://schemas.openxmlformats.org/officeDocument/2006/customXml" ds:itemID="{942C7F41-72C6-4980-A1B7-312B8BB02D27}">
  <ds:schemaRefs/>
</ds:datastoreItem>
</file>

<file path=customXml/itemProps5.xml><?xml version="1.0" encoding="utf-8"?>
<ds:datastoreItem xmlns:ds="http://schemas.openxmlformats.org/officeDocument/2006/customXml" ds:itemID="{B81AF5B3-45B3-462A-A99F-D9A4141FEEE7}">
  <ds:schemaRefs/>
</ds:datastoreItem>
</file>

<file path=customXml/itemProps6.xml><?xml version="1.0" encoding="utf-8"?>
<ds:datastoreItem xmlns:ds="http://schemas.openxmlformats.org/officeDocument/2006/customXml" ds:itemID="{9096595C-2BD4-4874-A3D7-D70B3B829A48}">
  <ds:schemaRefs/>
</ds:datastoreItem>
</file>

<file path=customXml/itemProps7.xml><?xml version="1.0" encoding="utf-8"?>
<ds:datastoreItem xmlns:ds="http://schemas.openxmlformats.org/officeDocument/2006/customXml" ds:itemID="{FFB973D1-040A-4E6B-A240-345263A833A5}">
  <ds:schemaRefs/>
</ds:datastoreItem>
</file>

<file path=customXml/itemProps8.xml><?xml version="1.0" encoding="utf-8"?>
<ds:datastoreItem xmlns:ds="http://schemas.openxmlformats.org/officeDocument/2006/customXml" ds:itemID="{4ED71C2E-DCB1-4CD8-8F9D-BF20D57AC0EA}">
  <ds:schemaRefs/>
</ds:datastoreItem>
</file>

<file path=customXml/itemProps9.xml><?xml version="1.0" encoding="utf-8"?>
<ds:datastoreItem xmlns:ds="http://schemas.openxmlformats.org/officeDocument/2006/customXml" ds:itemID="{D7F97A93-C181-41A0-B5AB-C631BBAFAD67}">
  <ds:schemaRefs/>
</ds:datastoreItem>
</file>

<file path=customXml/itemProps10.xml><?xml version="1.0" encoding="utf-8"?>
<ds:datastoreItem xmlns:ds="http://schemas.openxmlformats.org/officeDocument/2006/customXml" ds:itemID="{FC760CE2-EDE7-4C71-837A-C0E7853B3A4C}">
  <ds:schemaRefs>
    <ds:schemaRef ds:uri="http://schemas.microsoft.com/DataMashup"/>
  </ds:schemaRefs>
</ds:datastoreItem>
</file>

<file path=customXml/itemProps11.xml><?xml version="1.0" encoding="utf-8"?>
<ds:datastoreItem xmlns:ds="http://schemas.openxmlformats.org/officeDocument/2006/customXml" ds:itemID="{3FC54072-11CE-4B9B-B5AF-659E955F98E2}">
  <ds:schemaRefs/>
</ds:datastoreItem>
</file>

<file path=customXml/itemProps12.xml><?xml version="1.0" encoding="utf-8"?>
<ds:datastoreItem xmlns:ds="http://schemas.openxmlformats.org/officeDocument/2006/customXml" ds:itemID="{E992FE65-7F50-4560-A8B9-3EA50B62F945}">
  <ds:schemaRefs/>
</ds:datastoreItem>
</file>

<file path=customXml/itemProps13.xml><?xml version="1.0" encoding="utf-8"?>
<ds:datastoreItem xmlns:ds="http://schemas.openxmlformats.org/officeDocument/2006/customXml" ds:itemID="{48BD307A-FC1A-4917-A2FF-03CB250F2135}">
  <ds:schemaRefs/>
</ds:datastoreItem>
</file>

<file path=customXml/itemProps14.xml><?xml version="1.0" encoding="utf-8"?>
<ds:datastoreItem xmlns:ds="http://schemas.openxmlformats.org/officeDocument/2006/customXml" ds:itemID="{30E3E563-D19C-4341-94AE-0355470C6498}">
  <ds:schemaRefs/>
</ds:datastoreItem>
</file>

<file path=customXml/itemProps15.xml><?xml version="1.0" encoding="utf-8"?>
<ds:datastoreItem xmlns:ds="http://schemas.openxmlformats.org/officeDocument/2006/customXml" ds:itemID="{09822954-228D-4999-A9EE-983BD9CDA97A}">
  <ds:schemaRefs/>
</ds:datastoreItem>
</file>

<file path=customXml/itemProps16.xml><?xml version="1.0" encoding="utf-8"?>
<ds:datastoreItem xmlns:ds="http://schemas.openxmlformats.org/officeDocument/2006/customXml" ds:itemID="{D0E31A78-FB6B-4980-98D1-630F7B6788BC}">
  <ds:schemaRefs/>
</ds:datastoreItem>
</file>

<file path=customXml/itemProps17.xml><?xml version="1.0" encoding="utf-8"?>
<ds:datastoreItem xmlns:ds="http://schemas.openxmlformats.org/officeDocument/2006/customXml" ds:itemID="{C06F97C9-0279-4E58-8628-ABDA5028740E}">
  <ds:schemaRefs/>
</ds:datastoreItem>
</file>

<file path=customXml/itemProps18.xml><?xml version="1.0" encoding="utf-8"?>
<ds:datastoreItem xmlns:ds="http://schemas.openxmlformats.org/officeDocument/2006/customXml" ds:itemID="{D895D9DD-8D24-4BF5-8167-210483B8CE09}">
  <ds:schemaRefs/>
</ds:datastoreItem>
</file>

<file path=customXml/itemProps19.xml><?xml version="1.0" encoding="utf-8"?>
<ds:datastoreItem xmlns:ds="http://schemas.openxmlformats.org/officeDocument/2006/customXml" ds:itemID="{4A88FB12-7339-4538-8CB8-2D0A948A9D3F}">
  <ds:schemaRefs/>
</ds:datastoreItem>
</file>

<file path=customXml/itemProps20.xml><?xml version="1.0" encoding="utf-8"?>
<ds:datastoreItem xmlns:ds="http://schemas.openxmlformats.org/officeDocument/2006/customXml" ds:itemID="{EE4936C8-E1B6-47DE-9E9F-6A0AFFD16E8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vt:i4>
      </vt:variant>
    </vt:vector>
  </HeadingPairs>
  <TitlesOfParts>
    <vt:vector size="43" baseType="lpstr">
      <vt:lpstr>U4B</vt:lpstr>
      <vt:lpstr>U4C</vt:lpstr>
      <vt:lpstr>U5</vt:lpstr>
      <vt:lpstr>U6</vt:lpstr>
      <vt:lpstr>U6A</vt:lpstr>
      <vt:lpstr>U7</vt:lpstr>
      <vt:lpstr>U7A</vt:lpstr>
      <vt:lpstr>U8</vt:lpstr>
      <vt:lpstr>U8A</vt:lpstr>
      <vt:lpstr>U9</vt:lpstr>
      <vt:lpstr>U10</vt:lpstr>
      <vt:lpstr>U11</vt:lpstr>
      <vt:lpstr>U12</vt:lpstr>
      <vt:lpstr>U13</vt:lpstr>
      <vt:lpstr>U14</vt:lpstr>
      <vt:lpstr>U15</vt:lpstr>
      <vt:lpstr>U16</vt:lpstr>
      <vt:lpstr>U16A_1</vt:lpstr>
      <vt:lpstr>U16A_2</vt:lpstr>
      <vt:lpstr>U16A_3</vt:lpstr>
      <vt:lpstr>U17</vt:lpstr>
      <vt:lpstr>U17_1</vt:lpstr>
      <vt:lpstr>U17_2</vt:lpstr>
      <vt:lpstr>U17_3</vt:lpstr>
      <vt:lpstr>U17_4</vt:lpstr>
      <vt:lpstr>U18</vt:lpstr>
      <vt:lpstr>U19</vt:lpstr>
      <vt:lpstr>U20</vt:lpstr>
      <vt:lpstr>U21_1</vt:lpstr>
      <vt:lpstr>U21_2</vt:lpstr>
      <vt:lpstr>U21_3</vt:lpstr>
      <vt:lpstr>U7A!Criteria</vt:lpstr>
      <vt:lpstr>U7A!Extract</vt:lpstr>
      <vt:lpstr>'U9'!Extract</vt:lpstr>
      <vt:lpstr>U16A_3!Print_Area</vt:lpstr>
      <vt:lpstr>U17_2!Print_Area</vt:lpstr>
      <vt:lpstr>U17_3!Print_Area</vt:lpstr>
      <vt:lpstr>U17_4!Print_Area</vt:lpstr>
      <vt:lpstr>U21_1!Print_Area</vt:lpstr>
      <vt:lpstr>U21_2!Print_Area</vt:lpstr>
      <vt:lpstr>U21_3!Print_Area</vt:lpstr>
      <vt:lpstr>U21_2!Print_Titles</vt:lpstr>
      <vt:lpstr>U21_3!Print_Titles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Sandra Stasaityte</cp:lastModifiedBy>
  <cp:lastPrinted>2020-04-23T18:20:43Z</cp:lastPrinted>
  <dcterms:created xsi:type="dcterms:W3CDTF">2020-04-09T09:11:45Z</dcterms:created>
  <dcterms:modified xsi:type="dcterms:W3CDTF">2025-12-08T13:22:13Z</dcterms:modified>
</cp:coreProperties>
</file>