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frasch\Desktop\"/>
    </mc:Choice>
  </mc:AlternateContent>
  <xr:revisionPtr revIDLastSave="0" documentId="8_{8246B58C-85CB-45D0-B169-BF9281FA0887}" xr6:coauthVersionLast="43" xr6:coauthVersionMax="43" xr10:uidLastSave="{00000000-0000-0000-0000-000000000000}"/>
  <bookViews>
    <workbookView xWindow="-120" yWindow="-120" windowWidth="29040" windowHeight="15840" tabRatio="528" activeTab="2" xr2:uid="{00000000-000D-0000-FFFF-FFFF00000000}"/>
  </bookViews>
  <sheets>
    <sheet name="13-14-15 Tons" sheetId="4" r:id="rId1"/>
    <sheet name="2014 T per Acre" sheetId="3" r:id="rId2"/>
    <sheet name="2015 Harvest" sheetId="5" r:id="rId3"/>
    <sheet name="Printable Format" sheetId="6" r:id="rId4"/>
  </sheets>
  <definedNames>
    <definedName name="Z_F76F088D_E257_4637_81FB_2D037F8BCE3A_.wvu.Cols" localSheetId="0" hidden="1">'13-14-15 Tons'!$E:$H</definedName>
  </definedNames>
  <calcPr calcId="181029"/>
  <customWorkbookViews>
    <customWorkbookView name="2015 Estimate" guid="{F76F088D-E257-4637-81FB-2D037F8BCE3A}" maximized="1" windowWidth="1600" windowHeight="627" tabRatio="52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6" i="6" l="1"/>
  <c r="E176" i="6"/>
  <c r="F174" i="6"/>
  <c r="F177" i="6" s="1"/>
  <c r="E174" i="6"/>
  <c r="D174" i="6"/>
  <c r="D177" i="6" s="1"/>
  <c r="H173" i="6"/>
  <c r="G173" i="6"/>
  <c r="H172" i="6"/>
  <c r="G172" i="6"/>
  <c r="H171" i="6"/>
  <c r="G171" i="6"/>
  <c r="F168" i="6"/>
  <c r="E168" i="6"/>
  <c r="D168" i="6"/>
  <c r="F167" i="6"/>
  <c r="E167" i="6"/>
  <c r="D167" i="6"/>
  <c r="F166" i="6"/>
  <c r="E166" i="6"/>
  <c r="D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F139" i="6"/>
  <c r="E139" i="6"/>
  <c r="F137" i="6"/>
  <c r="E137" i="6"/>
  <c r="E140" i="6" s="1"/>
  <c r="D137" i="6"/>
  <c r="D140" i="6" s="1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F127" i="6"/>
  <c r="F128" i="6" s="1"/>
  <c r="E127" i="6"/>
  <c r="D127" i="6"/>
  <c r="H124" i="6"/>
  <c r="G124" i="6"/>
  <c r="H123" i="6"/>
  <c r="G123" i="6"/>
  <c r="F119" i="6"/>
  <c r="E119" i="6"/>
  <c r="F118" i="6"/>
  <c r="E118" i="6"/>
  <c r="D118" i="6"/>
  <c r="D121" i="6" s="1"/>
  <c r="H117" i="6"/>
  <c r="G117" i="6"/>
  <c r="H116" i="6"/>
  <c r="G116" i="6"/>
  <c r="H115" i="6"/>
  <c r="G115" i="6"/>
  <c r="H114" i="6"/>
  <c r="G114" i="6"/>
  <c r="D112" i="6"/>
  <c r="F111" i="6"/>
  <c r="E111" i="6"/>
  <c r="F109" i="6"/>
  <c r="F112" i="6" s="1"/>
  <c r="E109" i="6"/>
  <c r="E112" i="6" s="1"/>
  <c r="D109" i="6"/>
  <c r="H108" i="6"/>
  <c r="G108" i="6"/>
  <c r="H107" i="6"/>
  <c r="G107" i="6"/>
  <c r="H106" i="6"/>
  <c r="G106" i="6"/>
  <c r="H105" i="6"/>
  <c r="G105" i="6"/>
  <c r="H104" i="6"/>
  <c r="G104" i="6"/>
  <c r="H102" i="6"/>
  <c r="G102" i="6"/>
  <c r="H101" i="6"/>
  <c r="H100" i="6"/>
  <c r="G100" i="6"/>
  <c r="H99" i="6"/>
  <c r="H98" i="6"/>
  <c r="G98" i="6"/>
  <c r="H96" i="6"/>
  <c r="G96" i="6"/>
  <c r="H94" i="6"/>
  <c r="G94" i="6"/>
  <c r="F90" i="6"/>
  <c r="E90" i="6"/>
  <c r="D90" i="6"/>
  <c r="D92" i="6" s="1"/>
  <c r="F89" i="6"/>
  <c r="E89" i="6"/>
  <c r="H89" i="6" s="1"/>
  <c r="H87" i="6"/>
  <c r="G87" i="6"/>
  <c r="H86" i="6"/>
  <c r="G86" i="6"/>
  <c r="H85" i="6"/>
  <c r="H84" i="6"/>
  <c r="H83" i="6"/>
  <c r="H82" i="6"/>
  <c r="H81" i="6"/>
  <c r="H80" i="6"/>
  <c r="H79" i="6"/>
  <c r="G79" i="6"/>
  <c r="F76" i="6"/>
  <c r="F77" i="6" s="1"/>
  <c r="E76" i="6"/>
  <c r="D76" i="6"/>
  <c r="H75" i="6"/>
  <c r="G75" i="6"/>
  <c r="H74" i="6"/>
  <c r="G74" i="6"/>
  <c r="H73" i="6"/>
  <c r="G73" i="6"/>
  <c r="H72" i="6"/>
  <c r="G72" i="6"/>
  <c r="H71" i="6"/>
  <c r="G71" i="6"/>
  <c r="D69" i="6"/>
  <c r="F68" i="6"/>
  <c r="E68" i="6"/>
  <c r="F67" i="6"/>
  <c r="E67" i="6"/>
  <c r="F66" i="6"/>
  <c r="E66" i="6"/>
  <c r="H65" i="6"/>
  <c r="G65" i="6"/>
  <c r="H64" i="6"/>
  <c r="G64" i="6"/>
  <c r="H63" i="6"/>
  <c r="G63" i="6"/>
  <c r="H61" i="6"/>
  <c r="G61" i="6"/>
  <c r="F58" i="6"/>
  <c r="E58" i="6"/>
  <c r="D58" i="6"/>
  <c r="F57" i="6"/>
  <c r="E57" i="6"/>
  <c r="D57" i="6"/>
  <c r="F56" i="6"/>
  <c r="F59" i="6" s="1"/>
  <c r="E56" i="6"/>
  <c r="D56" i="6"/>
  <c r="H55" i="6"/>
  <c r="G55" i="6"/>
  <c r="H54" i="6"/>
  <c r="G54" i="6"/>
  <c r="H53" i="6"/>
  <c r="G53" i="6"/>
  <c r="H52" i="6"/>
  <c r="G52" i="6"/>
  <c r="H51" i="6"/>
  <c r="G51" i="6"/>
  <c r="G50" i="6"/>
  <c r="H49" i="6"/>
  <c r="G49" i="6"/>
  <c r="H48" i="6"/>
  <c r="G48" i="6"/>
  <c r="H47" i="6"/>
  <c r="G47" i="6"/>
  <c r="H46" i="6"/>
  <c r="G46" i="6"/>
  <c r="F42" i="6"/>
  <c r="E42" i="6"/>
  <c r="F41" i="6"/>
  <c r="E41" i="6"/>
  <c r="D41" i="6"/>
  <c r="D44" i="6" s="1"/>
  <c r="H40" i="6"/>
  <c r="G40" i="6"/>
  <c r="H39" i="6"/>
  <c r="G39" i="6"/>
  <c r="H38" i="6"/>
  <c r="G38" i="6"/>
  <c r="H35" i="6"/>
  <c r="F34" i="6"/>
  <c r="E34" i="6"/>
  <c r="D34" i="6"/>
  <c r="F33" i="6"/>
  <c r="E33" i="6"/>
  <c r="D33" i="6"/>
  <c r="H32" i="6"/>
  <c r="G32" i="6"/>
  <c r="H31" i="6"/>
  <c r="G31" i="6"/>
  <c r="H30" i="6"/>
  <c r="G30" i="6"/>
  <c r="H29" i="6"/>
  <c r="G29" i="6"/>
  <c r="D27" i="6"/>
  <c r="F26" i="6"/>
  <c r="E26" i="6"/>
  <c r="D26" i="6"/>
  <c r="F25" i="6"/>
  <c r="E25" i="6"/>
  <c r="F24" i="6"/>
  <c r="E24" i="6"/>
  <c r="D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D36" i="6" l="1"/>
  <c r="E44" i="6"/>
  <c r="E36" i="6"/>
  <c r="D59" i="6"/>
  <c r="H168" i="6"/>
  <c r="H139" i="6"/>
  <c r="H66" i="6"/>
  <c r="F121" i="6"/>
  <c r="F140" i="6"/>
  <c r="H167" i="6"/>
  <c r="E177" i="6"/>
  <c r="D169" i="6"/>
  <c r="E179" i="6"/>
  <c r="H41" i="6"/>
  <c r="H119" i="6"/>
  <c r="H127" i="6"/>
  <c r="E169" i="6"/>
  <c r="H176" i="6"/>
  <c r="E69" i="6"/>
  <c r="H140" i="6"/>
  <c r="F92" i="6"/>
  <c r="H137" i="6"/>
  <c r="H56" i="6"/>
  <c r="H57" i="6"/>
  <c r="H58" i="6"/>
  <c r="H90" i="6"/>
  <c r="H111" i="6"/>
  <c r="F169" i="6"/>
  <c r="H25" i="6"/>
  <c r="H68" i="6"/>
  <c r="F179" i="6"/>
  <c r="E180" i="6"/>
  <c r="F27" i="6"/>
  <c r="H76" i="6"/>
  <c r="E77" i="6"/>
  <c r="H24" i="6"/>
  <c r="H26" i="6"/>
  <c r="F180" i="6"/>
  <c r="F36" i="6"/>
  <c r="H33" i="6"/>
  <c r="H67" i="6"/>
  <c r="F69" i="6"/>
  <c r="H34" i="6"/>
  <c r="H42" i="6"/>
  <c r="F44" i="6"/>
  <c r="H112" i="6"/>
  <c r="H177" i="6"/>
  <c r="E92" i="6"/>
  <c r="E59" i="6"/>
  <c r="H109" i="6"/>
  <c r="E121" i="6"/>
  <c r="E128" i="6"/>
  <c r="H166" i="6"/>
  <c r="H174" i="6"/>
  <c r="H118" i="6"/>
  <c r="E27" i="6"/>
  <c r="J29" i="5"/>
  <c r="J30" i="5"/>
  <c r="J31" i="5"/>
  <c r="J34" i="5"/>
  <c r="J40" i="5"/>
  <c r="J41" i="5"/>
  <c r="J42" i="5"/>
  <c r="J48" i="5"/>
  <c r="J49" i="5"/>
  <c r="J50" i="5"/>
  <c r="J51" i="5"/>
  <c r="J52" i="5"/>
  <c r="J53" i="5"/>
  <c r="J54" i="5"/>
  <c r="J55" i="5"/>
  <c r="J56" i="5"/>
  <c r="J57" i="5"/>
  <c r="J63" i="5"/>
  <c r="J65" i="5"/>
  <c r="J66" i="5"/>
  <c r="J67" i="5"/>
  <c r="J73" i="5"/>
  <c r="J74" i="5"/>
  <c r="J75" i="5"/>
  <c r="J76" i="5"/>
  <c r="J77" i="5"/>
  <c r="J81" i="5"/>
  <c r="J88" i="5"/>
  <c r="J89" i="5"/>
  <c r="J96" i="5"/>
  <c r="J98" i="5"/>
  <c r="J100" i="5"/>
  <c r="J102" i="5"/>
  <c r="J104" i="5"/>
  <c r="J106" i="5"/>
  <c r="J107" i="5"/>
  <c r="J108" i="5"/>
  <c r="J109" i="5"/>
  <c r="J110" i="5"/>
  <c r="J116" i="5"/>
  <c r="J117" i="5"/>
  <c r="J118" i="5"/>
  <c r="J119" i="5"/>
  <c r="J125" i="5"/>
  <c r="J126" i="5"/>
  <c r="J132" i="5"/>
  <c r="J133" i="5"/>
  <c r="J134" i="5"/>
  <c r="J135" i="5"/>
  <c r="J136" i="5"/>
  <c r="J137" i="5"/>
  <c r="J140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2" i="5"/>
  <c r="J165" i="5"/>
  <c r="J166" i="5"/>
  <c r="J167" i="5"/>
  <c r="J168" i="5"/>
  <c r="J169" i="5"/>
  <c r="J170" i="5"/>
  <c r="J172" i="5"/>
  <c r="J173" i="5"/>
  <c r="J174" i="5"/>
  <c r="J180" i="5"/>
  <c r="J181" i="5"/>
  <c r="J182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5" i="5"/>
  <c r="J6" i="5"/>
  <c r="J7" i="5"/>
  <c r="J8" i="5"/>
  <c r="J4" i="5"/>
  <c r="H44" i="6" l="1"/>
  <c r="H169" i="6"/>
  <c r="F181" i="6"/>
  <c r="H179" i="6"/>
  <c r="H69" i="6"/>
  <c r="E184" i="6"/>
  <c r="H27" i="6"/>
  <c r="H121" i="6"/>
  <c r="H92" i="6"/>
  <c r="H77" i="6"/>
  <c r="H59" i="6"/>
  <c r="H180" i="6"/>
  <c r="E181" i="6"/>
  <c r="H128" i="6"/>
  <c r="E183" i="6"/>
  <c r="H36" i="6"/>
  <c r="H92" i="5"/>
  <c r="I92" i="5"/>
  <c r="L88" i="5"/>
  <c r="L89" i="5"/>
  <c r="I58" i="5"/>
  <c r="H181" i="6" l="1"/>
  <c r="L55" i="5"/>
  <c r="L40" i="5"/>
  <c r="K101" i="5"/>
  <c r="K102" i="5"/>
  <c r="K103" i="5"/>
  <c r="K104" i="5"/>
  <c r="L103" i="5"/>
  <c r="L104" i="5"/>
  <c r="L126" i="5"/>
  <c r="I68" i="5"/>
  <c r="I24" i="5" l="1"/>
  <c r="I26" i="5"/>
  <c r="I25" i="5" l="1"/>
  <c r="H25" i="5"/>
  <c r="K18" i="5"/>
  <c r="L18" i="5"/>
  <c r="L16" i="5"/>
  <c r="K14" i="5"/>
  <c r="K12" i="5"/>
  <c r="L12" i="5"/>
  <c r="K10" i="5"/>
  <c r="L10" i="5"/>
  <c r="K174" i="5"/>
  <c r="H24" i="5"/>
  <c r="H26" i="5"/>
  <c r="H35" i="5"/>
  <c r="H36" i="5"/>
  <c r="H43" i="5"/>
  <c r="H44" i="5"/>
  <c r="H58" i="5"/>
  <c r="H59" i="5"/>
  <c r="H60" i="5"/>
  <c r="H68" i="5"/>
  <c r="H69" i="5"/>
  <c r="H70" i="5"/>
  <c r="H78" i="5"/>
  <c r="H79" i="5" s="1"/>
  <c r="H91" i="5"/>
  <c r="H111" i="5"/>
  <c r="H113" i="5"/>
  <c r="H120" i="5"/>
  <c r="H121" i="5"/>
  <c r="H129" i="5"/>
  <c r="H130" i="5" s="1"/>
  <c r="H141" i="5"/>
  <c r="H143" i="5"/>
  <c r="H175" i="5"/>
  <c r="H176" i="5"/>
  <c r="H177" i="5"/>
  <c r="H183" i="5"/>
  <c r="H185" i="5"/>
  <c r="H38" i="5" l="1"/>
  <c r="H71" i="5"/>
  <c r="H189" i="5"/>
  <c r="H123" i="5"/>
  <c r="H186" i="5"/>
  <c r="H27" i="5"/>
  <c r="H94" i="5"/>
  <c r="H178" i="5"/>
  <c r="H144" i="5"/>
  <c r="H114" i="5"/>
  <c r="H61" i="5"/>
  <c r="H46" i="5"/>
  <c r="H188" i="5"/>
  <c r="I185" i="5"/>
  <c r="I183" i="5"/>
  <c r="I175" i="5"/>
  <c r="I176" i="5"/>
  <c r="I177" i="5"/>
  <c r="I141" i="5"/>
  <c r="I143" i="5"/>
  <c r="I129" i="5"/>
  <c r="I120" i="5"/>
  <c r="I121" i="5"/>
  <c r="I113" i="5"/>
  <c r="I111" i="5"/>
  <c r="L101" i="5"/>
  <c r="L102" i="5"/>
  <c r="I91" i="5"/>
  <c r="I78" i="5"/>
  <c r="I69" i="5"/>
  <c r="I70" i="5"/>
  <c r="I59" i="5"/>
  <c r="I60" i="5"/>
  <c r="I43" i="5"/>
  <c r="I44" i="5"/>
  <c r="I35" i="5"/>
  <c r="K35" i="5" s="1"/>
  <c r="I36" i="5"/>
  <c r="L14" i="5"/>
  <c r="L15" i="5"/>
  <c r="L56" i="5"/>
  <c r="K116" i="5"/>
  <c r="K117" i="5"/>
  <c r="L96" i="5"/>
  <c r="I79" i="5" l="1"/>
  <c r="H193" i="5"/>
  <c r="H192" i="5"/>
  <c r="I71" i="5"/>
  <c r="I123" i="5"/>
  <c r="I114" i="5"/>
  <c r="I38" i="5"/>
  <c r="I186" i="5"/>
  <c r="I130" i="5"/>
  <c r="I189" i="5"/>
  <c r="I46" i="5"/>
  <c r="I94" i="5"/>
  <c r="I61" i="5"/>
  <c r="I144" i="5"/>
  <c r="I188" i="5"/>
  <c r="I27" i="5"/>
  <c r="H190" i="5"/>
  <c r="I178" i="5"/>
  <c r="L100" i="5"/>
  <c r="I190" i="5" l="1"/>
  <c r="K23" i="5"/>
  <c r="L23" i="5"/>
  <c r="L132" i="5"/>
  <c r="L133" i="5"/>
  <c r="L134" i="5"/>
  <c r="L135" i="5"/>
  <c r="L136" i="5"/>
  <c r="L137" i="5"/>
  <c r="L140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2" i="5"/>
  <c r="L165" i="5"/>
  <c r="L166" i="5"/>
  <c r="L167" i="5"/>
  <c r="L168" i="5"/>
  <c r="L169" i="5"/>
  <c r="L170" i="5"/>
  <c r="L172" i="5"/>
  <c r="L173" i="5"/>
  <c r="L174" i="5"/>
  <c r="L180" i="5"/>
  <c r="L181" i="5"/>
  <c r="L182" i="5"/>
  <c r="L98" i="5"/>
  <c r="L106" i="5"/>
  <c r="L107" i="5"/>
  <c r="L108" i="5"/>
  <c r="L109" i="5"/>
  <c r="L110" i="5"/>
  <c r="L116" i="5"/>
  <c r="L117" i="5"/>
  <c r="L118" i="5"/>
  <c r="L119" i="5"/>
  <c r="L125" i="5"/>
  <c r="L83" i="5"/>
  <c r="L84" i="5"/>
  <c r="L85" i="5"/>
  <c r="L86" i="5"/>
  <c r="L87" i="5"/>
  <c r="L73" i="5"/>
  <c r="L74" i="5"/>
  <c r="L75" i="5"/>
  <c r="L76" i="5"/>
  <c r="L77" i="5"/>
  <c r="L81" i="5"/>
  <c r="L82" i="5"/>
  <c r="L41" i="5"/>
  <c r="L42" i="5"/>
  <c r="L48" i="5"/>
  <c r="L49" i="5"/>
  <c r="L50" i="5"/>
  <c r="L51" i="5"/>
  <c r="L53" i="5"/>
  <c r="L54" i="5"/>
  <c r="L57" i="5"/>
  <c r="L63" i="5"/>
  <c r="L65" i="5"/>
  <c r="L66" i="5"/>
  <c r="L67" i="5"/>
  <c r="L29" i="5"/>
  <c r="L30" i="5"/>
  <c r="L31" i="5"/>
  <c r="L34" i="5"/>
  <c r="L37" i="5"/>
  <c r="L5" i="5"/>
  <c r="L6" i="5"/>
  <c r="L7" i="5"/>
  <c r="L8" i="5"/>
  <c r="L9" i="5"/>
  <c r="L11" i="5"/>
  <c r="L13" i="5"/>
  <c r="L17" i="5"/>
  <c r="L19" i="5"/>
  <c r="L20" i="5"/>
  <c r="L21" i="5"/>
  <c r="L22" i="5"/>
  <c r="L4" i="5"/>
  <c r="L44" i="5" l="1"/>
  <c r="L185" i="5"/>
  <c r="L143" i="5"/>
  <c r="L121" i="5"/>
  <c r="L70" i="5"/>
  <c r="L69" i="5"/>
  <c r="L113" i="5" l="1"/>
  <c r="L68" i="5"/>
  <c r="L91" i="5"/>
  <c r="L25" i="5" l="1"/>
  <c r="K4" i="5"/>
  <c r="K5" i="5"/>
  <c r="K6" i="5"/>
  <c r="K7" i="5"/>
  <c r="K8" i="5"/>
  <c r="K9" i="5"/>
  <c r="K11" i="5"/>
  <c r="K13" i="5"/>
  <c r="K16" i="5"/>
  <c r="K17" i="5"/>
  <c r="K19" i="5"/>
  <c r="K20" i="5"/>
  <c r="K21" i="5"/>
  <c r="K22" i="5"/>
  <c r="K25" i="5"/>
  <c r="K29" i="5"/>
  <c r="K30" i="5"/>
  <c r="K31" i="5"/>
  <c r="K34" i="5"/>
  <c r="K37" i="5"/>
  <c r="K40" i="5"/>
  <c r="K41" i="5"/>
  <c r="K42" i="5"/>
  <c r="K44" i="5"/>
  <c r="K48" i="5"/>
  <c r="K49" i="5"/>
  <c r="K50" i="5"/>
  <c r="K51" i="5"/>
  <c r="K53" i="5"/>
  <c r="K54" i="5"/>
  <c r="K55" i="5"/>
  <c r="K57" i="5"/>
  <c r="K63" i="5"/>
  <c r="K65" i="5"/>
  <c r="K66" i="5"/>
  <c r="K67" i="5"/>
  <c r="K68" i="5"/>
  <c r="K69" i="5"/>
  <c r="K70" i="5"/>
  <c r="K73" i="5"/>
  <c r="K74" i="5"/>
  <c r="K75" i="5"/>
  <c r="K76" i="5"/>
  <c r="K77" i="5"/>
  <c r="K81" i="5"/>
  <c r="K82" i="5"/>
  <c r="K83" i="5"/>
  <c r="K84" i="5"/>
  <c r="K85" i="5"/>
  <c r="K86" i="5"/>
  <c r="K87" i="5"/>
  <c r="K89" i="5"/>
  <c r="K91" i="5"/>
  <c r="K96" i="5"/>
  <c r="K98" i="5"/>
  <c r="K100" i="5"/>
  <c r="K106" i="5"/>
  <c r="K107" i="5"/>
  <c r="K108" i="5"/>
  <c r="K109" i="5"/>
  <c r="K110" i="5"/>
  <c r="K113" i="5"/>
  <c r="K118" i="5"/>
  <c r="K119" i="5"/>
  <c r="K121" i="5"/>
  <c r="K125" i="5"/>
  <c r="K126" i="5"/>
  <c r="K127" i="5"/>
  <c r="K128" i="5"/>
  <c r="K132" i="5"/>
  <c r="K133" i="5"/>
  <c r="K134" i="5"/>
  <c r="K135" i="5"/>
  <c r="K136" i="5"/>
  <c r="K137" i="5"/>
  <c r="K140" i="5"/>
  <c r="K143" i="5"/>
  <c r="K146" i="5"/>
  <c r="K147" i="5"/>
  <c r="K148" i="5"/>
  <c r="K149" i="5"/>
  <c r="K150" i="5"/>
  <c r="K151" i="5"/>
  <c r="K152" i="5"/>
  <c r="K153" i="5"/>
  <c r="K159" i="5"/>
  <c r="K162" i="5"/>
  <c r="K165" i="5"/>
  <c r="K166" i="5"/>
  <c r="K167" i="5"/>
  <c r="K168" i="5"/>
  <c r="K169" i="5"/>
  <c r="K170" i="5"/>
  <c r="K172" i="5"/>
  <c r="K173" i="5"/>
  <c r="K180" i="5"/>
  <c r="K181" i="5"/>
  <c r="K182" i="5"/>
  <c r="K185" i="5"/>
  <c r="K155" i="5"/>
  <c r="K156" i="5"/>
  <c r="K157" i="5"/>
  <c r="K158" i="5"/>
  <c r="K154" i="5"/>
  <c r="K88" i="5" l="1"/>
  <c r="L183" i="5"/>
  <c r="L177" i="5"/>
  <c r="L176" i="5"/>
  <c r="L175" i="5"/>
  <c r="L141" i="5"/>
  <c r="L129" i="5"/>
  <c r="L120" i="5"/>
  <c r="L111" i="5"/>
  <c r="L92" i="5"/>
  <c r="L79" i="5"/>
  <c r="L78" i="5"/>
  <c r="L71" i="5"/>
  <c r="L60" i="5"/>
  <c r="L59" i="5"/>
  <c r="L58" i="5"/>
  <c r="L43" i="5"/>
  <c r="L36" i="5"/>
  <c r="L35" i="5"/>
  <c r="L26" i="5"/>
  <c r="L24" i="5"/>
  <c r="L188" i="5" l="1"/>
  <c r="L189" i="5"/>
  <c r="L38" i="5"/>
  <c r="K36" i="5"/>
  <c r="K60" i="5"/>
  <c r="L94" i="5"/>
  <c r="K92" i="5"/>
  <c r="L130" i="5"/>
  <c r="K129" i="5"/>
  <c r="K177" i="5"/>
  <c r="K24" i="5"/>
  <c r="L46" i="5"/>
  <c r="K43" i="5"/>
  <c r="K71" i="5"/>
  <c r="L114" i="5"/>
  <c r="K111" i="5"/>
  <c r="L144" i="5"/>
  <c r="K141" i="5"/>
  <c r="L186" i="5"/>
  <c r="K183" i="5"/>
  <c r="K26" i="5"/>
  <c r="K58" i="5"/>
  <c r="K78" i="5"/>
  <c r="K120" i="5"/>
  <c r="L178" i="5"/>
  <c r="K175" i="5"/>
  <c r="K59" i="5"/>
  <c r="K79" i="5"/>
  <c r="L123" i="5"/>
  <c r="K176" i="5"/>
  <c r="L61" i="5"/>
  <c r="L27" i="5"/>
  <c r="K188" i="5" l="1"/>
  <c r="L190" i="5"/>
  <c r="K189" i="5"/>
  <c r="K114" i="5"/>
  <c r="K130" i="5"/>
  <c r="K27" i="5"/>
  <c r="K144" i="5"/>
  <c r="K46" i="5"/>
  <c r="K38" i="5"/>
  <c r="K61" i="5"/>
  <c r="K123" i="5"/>
  <c r="K186" i="5"/>
  <c r="K178" i="5"/>
  <c r="K94" i="5"/>
  <c r="K192" i="5" l="1"/>
  <c r="K193" i="5"/>
  <c r="K190" i="5"/>
  <c r="L162" i="4"/>
  <c r="L163" i="4"/>
  <c r="L164" i="4"/>
  <c r="L77" i="4"/>
  <c r="L78" i="4"/>
  <c r="M78" i="4" s="1"/>
  <c r="D5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20" i="4"/>
  <c r="M24" i="4"/>
  <c r="M25" i="4"/>
  <c r="M26" i="4"/>
  <c r="M27" i="4"/>
  <c r="M33" i="4"/>
  <c r="M34" i="4"/>
  <c r="M35" i="4"/>
  <c r="M37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9" i="4"/>
  <c r="M61" i="4"/>
  <c r="M62" i="4"/>
  <c r="M63" i="4"/>
  <c r="M64" i="4"/>
  <c r="M65" i="4"/>
  <c r="M66" i="4"/>
  <c r="M69" i="4"/>
  <c r="M70" i="4"/>
  <c r="M71" i="4"/>
  <c r="M72" i="4"/>
  <c r="M73" i="4"/>
  <c r="M74" i="4"/>
  <c r="M80" i="4"/>
  <c r="M81" i="4"/>
  <c r="M82" i="4"/>
  <c r="M83" i="4"/>
  <c r="M84" i="4"/>
  <c r="M85" i="4"/>
  <c r="M86" i="4"/>
  <c r="M87" i="4"/>
  <c r="M89" i="4"/>
  <c r="M94" i="4"/>
  <c r="M98" i="4"/>
  <c r="M100" i="4"/>
  <c r="M101" i="4"/>
  <c r="M102" i="4"/>
  <c r="M103" i="4"/>
  <c r="M104" i="4"/>
  <c r="M107" i="4"/>
  <c r="M110" i="4"/>
  <c r="M111" i="4"/>
  <c r="M112" i="4"/>
  <c r="M113" i="4"/>
  <c r="M115" i="4"/>
  <c r="M119" i="4"/>
  <c r="M120" i="4"/>
  <c r="M126" i="4"/>
  <c r="M127" i="4"/>
  <c r="M128" i="4"/>
  <c r="M129" i="4"/>
  <c r="M130" i="4"/>
  <c r="M131" i="4"/>
  <c r="M132" i="4"/>
  <c r="M135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7" i="4"/>
  <c r="M168" i="4"/>
  <c r="M169" i="4"/>
  <c r="M172" i="4"/>
  <c r="M4" i="4"/>
  <c r="L170" i="4"/>
  <c r="L133" i="4"/>
  <c r="L136" i="4" s="1"/>
  <c r="L123" i="4"/>
  <c r="L114" i="4"/>
  <c r="L117" i="4" s="1"/>
  <c r="L105" i="4"/>
  <c r="L108" i="4" s="1"/>
  <c r="L90" i="4"/>
  <c r="L92" i="4" s="1"/>
  <c r="L67" i="4"/>
  <c r="L56" i="4"/>
  <c r="L55" i="4"/>
  <c r="L54" i="4"/>
  <c r="L36" i="4"/>
  <c r="L39" i="4" s="1"/>
  <c r="L29" i="4"/>
  <c r="L28" i="4"/>
  <c r="L21" i="4"/>
  <c r="L19" i="4"/>
  <c r="L124" i="4" l="1"/>
  <c r="M124" i="4" s="1"/>
  <c r="L173" i="4"/>
  <c r="L165" i="4"/>
  <c r="L178" i="4"/>
  <c r="L57" i="4"/>
  <c r="M54" i="4"/>
  <c r="L31" i="4"/>
  <c r="L22" i="4"/>
  <c r="L177" i="4"/>
  <c r="G185" i="5"/>
  <c r="G184" i="5"/>
  <c r="F183" i="5"/>
  <c r="E183" i="5"/>
  <c r="D183" i="5"/>
  <c r="D186" i="5" s="1"/>
  <c r="G182" i="5"/>
  <c r="G181" i="5"/>
  <c r="G180" i="5"/>
  <c r="F177" i="5"/>
  <c r="E177" i="5"/>
  <c r="D177" i="5"/>
  <c r="F176" i="5"/>
  <c r="E176" i="5"/>
  <c r="D176" i="5"/>
  <c r="F175" i="5"/>
  <c r="E175" i="5"/>
  <c r="D175" i="5"/>
  <c r="G174" i="5"/>
  <c r="G173" i="5"/>
  <c r="G172" i="5"/>
  <c r="G170" i="5"/>
  <c r="G169" i="5"/>
  <c r="G168" i="5"/>
  <c r="G167" i="5"/>
  <c r="G166" i="5"/>
  <c r="G165" i="5"/>
  <c r="G162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3" i="5"/>
  <c r="G142" i="5"/>
  <c r="F141" i="5"/>
  <c r="E141" i="5"/>
  <c r="D141" i="5"/>
  <c r="D144" i="5" s="1"/>
  <c r="G140" i="5"/>
  <c r="G137" i="5"/>
  <c r="G136" i="5"/>
  <c r="G135" i="5"/>
  <c r="G134" i="5"/>
  <c r="G133" i="5"/>
  <c r="G132" i="5"/>
  <c r="G130" i="5"/>
  <c r="F129" i="5"/>
  <c r="D129" i="5"/>
  <c r="G128" i="5"/>
  <c r="G127" i="5"/>
  <c r="G126" i="5"/>
  <c r="G125" i="5"/>
  <c r="G122" i="5"/>
  <c r="G121" i="5"/>
  <c r="F120" i="5"/>
  <c r="E120" i="5"/>
  <c r="E123" i="5" s="1"/>
  <c r="D120" i="5"/>
  <c r="D123" i="5" s="1"/>
  <c r="G119" i="5"/>
  <c r="G118" i="5"/>
  <c r="G117" i="5"/>
  <c r="G116" i="5"/>
  <c r="G113" i="5"/>
  <c r="G112" i="5"/>
  <c r="F111" i="5"/>
  <c r="E111" i="5"/>
  <c r="D111" i="5"/>
  <c r="G110" i="5"/>
  <c r="G109" i="5"/>
  <c r="G108" i="5"/>
  <c r="G107" i="5"/>
  <c r="G106" i="5"/>
  <c r="G100" i="5"/>
  <c r="G98" i="5"/>
  <c r="G96" i="5"/>
  <c r="F92" i="5"/>
  <c r="E92" i="5"/>
  <c r="E94" i="5" s="1"/>
  <c r="D92" i="5"/>
  <c r="G91" i="5"/>
  <c r="G90" i="5"/>
  <c r="G89" i="5"/>
  <c r="G87" i="5"/>
  <c r="G86" i="5"/>
  <c r="G85" i="5"/>
  <c r="G84" i="5"/>
  <c r="G83" i="5"/>
  <c r="G82" i="5"/>
  <c r="G81" i="5"/>
  <c r="G79" i="5"/>
  <c r="F78" i="5"/>
  <c r="E78" i="5"/>
  <c r="D78" i="5"/>
  <c r="G77" i="5"/>
  <c r="G76" i="5"/>
  <c r="G75" i="5"/>
  <c r="G74" i="5"/>
  <c r="G73" i="5"/>
  <c r="F71" i="5"/>
  <c r="E71" i="5"/>
  <c r="D71" i="5"/>
  <c r="G70" i="5"/>
  <c r="G69" i="5"/>
  <c r="G68" i="5"/>
  <c r="G67" i="5"/>
  <c r="G66" i="5"/>
  <c r="G65" i="5"/>
  <c r="G63" i="5"/>
  <c r="F60" i="5"/>
  <c r="E60" i="5"/>
  <c r="D60" i="5"/>
  <c r="F59" i="5"/>
  <c r="E59" i="5"/>
  <c r="D59" i="5"/>
  <c r="F58" i="5"/>
  <c r="E58" i="5"/>
  <c r="D58" i="5"/>
  <c r="G57" i="5"/>
  <c r="G56" i="5"/>
  <c r="G55" i="5"/>
  <c r="G54" i="5"/>
  <c r="G53" i="5"/>
  <c r="G52" i="5"/>
  <c r="G51" i="5"/>
  <c r="G50" i="5"/>
  <c r="G49" i="5"/>
  <c r="G48" i="5"/>
  <c r="G45" i="5"/>
  <c r="G44" i="5"/>
  <c r="F43" i="5"/>
  <c r="E43" i="5"/>
  <c r="E46" i="5" s="1"/>
  <c r="D43" i="5"/>
  <c r="D46" i="5" s="1"/>
  <c r="G42" i="5"/>
  <c r="G41" i="5"/>
  <c r="G40" i="5"/>
  <c r="G37" i="5"/>
  <c r="F36" i="5"/>
  <c r="E36" i="5"/>
  <c r="D36" i="5"/>
  <c r="F35" i="5"/>
  <c r="E35" i="5"/>
  <c r="D35" i="5"/>
  <c r="G34" i="5"/>
  <c r="G31" i="5"/>
  <c r="G30" i="5"/>
  <c r="G29" i="5"/>
  <c r="E27" i="5"/>
  <c r="D27" i="5"/>
  <c r="F26" i="5"/>
  <c r="D26" i="5"/>
  <c r="G25" i="5"/>
  <c r="F24" i="5"/>
  <c r="E24" i="5"/>
  <c r="E189" i="5" s="1"/>
  <c r="D24" i="5"/>
  <c r="G22" i="5"/>
  <c r="G21" i="5"/>
  <c r="G20" i="5"/>
  <c r="G19" i="5"/>
  <c r="G17" i="5"/>
  <c r="G16" i="5"/>
  <c r="G13" i="5"/>
  <c r="G11" i="5"/>
  <c r="G9" i="5"/>
  <c r="G8" i="5"/>
  <c r="G7" i="5"/>
  <c r="G6" i="5"/>
  <c r="G5" i="5"/>
  <c r="G4" i="5"/>
  <c r="D114" i="5" l="1"/>
  <c r="D94" i="5"/>
  <c r="F189" i="5"/>
  <c r="F188" i="5"/>
  <c r="D189" i="5"/>
  <c r="G26" i="5"/>
  <c r="F114" i="5"/>
  <c r="F144" i="5"/>
  <c r="F94" i="5"/>
  <c r="G94" i="5" s="1"/>
  <c r="G129" i="5"/>
  <c r="F46" i="5"/>
  <c r="G46" i="5" s="1"/>
  <c r="D38" i="5"/>
  <c r="G59" i="5"/>
  <c r="L179" i="4"/>
  <c r="F178" i="5"/>
  <c r="G183" i="5"/>
  <c r="D61" i="5"/>
  <c r="D188" i="5" s="1"/>
  <c r="G36" i="5"/>
  <c r="G60" i="5"/>
  <c r="G176" i="5"/>
  <c r="F61" i="5"/>
  <c r="F27" i="5"/>
  <c r="F38" i="5"/>
  <c r="E61" i="5"/>
  <c r="E188" i="5" s="1"/>
  <c r="E190" i="5" s="1"/>
  <c r="G71" i="5"/>
  <c r="G111" i="5"/>
  <c r="G177" i="5"/>
  <c r="F186" i="5"/>
  <c r="G24" i="5"/>
  <c r="G35" i="5"/>
  <c r="G58" i="5"/>
  <c r="G78" i="5"/>
  <c r="G92" i="5"/>
  <c r="E178" i="5"/>
  <c r="G120" i="5"/>
  <c r="F123" i="5"/>
  <c r="D178" i="5"/>
  <c r="E38" i="5"/>
  <c r="G141" i="5"/>
  <c r="G175" i="5"/>
  <c r="G43" i="5"/>
  <c r="D190" i="5" l="1"/>
  <c r="G189" i="5"/>
  <c r="G188" i="5"/>
  <c r="F190" i="5"/>
  <c r="G190" i="5" s="1"/>
  <c r="G114" i="5"/>
  <c r="G144" i="5"/>
  <c r="G123" i="5"/>
  <c r="G186" i="5"/>
  <c r="G38" i="5"/>
  <c r="G27" i="5"/>
  <c r="G61" i="5"/>
  <c r="G178" i="5"/>
  <c r="F57" i="3"/>
  <c r="F58" i="3"/>
  <c r="F59" i="3"/>
  <c r="F60" i="3"/>
  <c r="F61" i="3"/>
  <c r="F62" i="3"/>
  <c r="F63" i="3"/>
  <c r="F120" i="3"/>
  <c r="F121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87" i="3"/>
  <c r="F88" i="3"/>
  <c r="F89" i="3"/>
  <c r="F90" i="3"/>
  <c r="F91" i="3"/>
  <c r="F92" i="3"/>
  <c r="F84" i="3"/>
  <c r="F79" i="3"/>
  <c r="F80" i="3"/>
  <c r="F81" i="3"/>
  <c r="F73" i="3"/>
  <c r="F74" i="3"/>
  <c r="F75" i="3"/>
  <c r="F76" i="3"/>
  <c r="F68" i="3"/>
  <c r="F70" i="3"/>
  <c r="F46" i="3"/>
  <c r="F4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1" i="3"/>
  <c r="F22" i="3"/>
  <c r="F23" i="3"/>
  <c r="F2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K98" i="4"/>
  <c r="K96" i="4"/>
  <c r="K171" i="4"/>
  <c r="K172" i="4"/>
  <c r="K169" i="4"/>
  <c r="K168" i="4"/>
  <c r="K132" i="4"/>
  <c r="K134" i="4"/>
  <c r="K135" i="4"/>
  <c r="K120" i="4"/>
  <c r="K121" i="4"/>
  <c r="K122" i="4"/>
  <c r="K124" i="4"/>
  <c r="K115" i="4"/>
  <c r="K116" i="4"/>
  <c r="K104" i="4"/>
  <c r="K106" i="4"/>
  <c r="K107" i="4"/>
  <c r="K89" i="4"/>
  <c r="K73" i="4"/>
  <c r="K74" i="4"/>
  <c r="K75" i="4"/>
  <c r="K76" i="4"/>
  <c r="K78" i="4"/>
  <c r="K64" i="4"/>
  <c r="K65" i="4"/>
  <c r="K66" i="4"/>
  <c r="K49" i="4"/>
  <c r="K50" i="4"/>
  <c r="K51" i="4"/>
  <c r="K52" i="4"/>
  <c r="K53" i="4"/>
  <c r="K37" i="4"/>
  <c r="K38" i="4"/>
  <c r="K30" i="4"/>
  <c r="K27" i="4"/>
  <c r="K13" i="4"/>
  <c r="K14" i="4"/>
  <c r="K15" i="4"/>
  <c r="K16" i="4"/>
  <c r="K17" i="4"/>
  <c r="K18" i="4"/>
  <c r="K20" i="4"/>
  <c r="J90" i="4"/>
  <c r="J54" i="4"/>
  <c r="J55" i="4"/>
  <c r="I90" i="4"/>
  <c r="I92" i="4" s="1"/>
  <c r="I54" i="4"/>
  <c r="K54" i="4" l="1"/>
  <c r="K90" i="4"/>
  <c r="J164" i="4" l="1"/>
  <c r="J163" i="4"/>
  <c r="J162" i="4"/>
  <c r="I164" i="4"/>
  <c r="I163" i="4"/>
  <c r="I162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38" i="4"/>
  <c r="D162" i="4"/>
  <c r="M162" i="4" s="1"/>
  <c r="D164" i="4"/>
  <c r="M164" i="4" s="1"/>
  <c r="D163" i="4"/>
  <c r="M163" i="4" s="1"/>
  <c r="J92" i="4"/>
  <c r="K92" i="4" s="1"/>
  <c r="D90" i="4"/>
  <c r="K81" i="4"/>
  <c r="K82" i="4"/>
  <c r="K83" i="4"/>
  <c r="K84" i="4"/>
  <c r="K85" i="4"/>
  <c r="K86" i="4"/>
  <c r="K87" i="4"/>
  <c r="K88" i="4"/>
  <c r="K80" i="4"/>
  <c r="J105" i="4"/>
  <c r="J108" i="4" s="1"/>
  <c r="K108" i="4" s="1"/>
  <c r="I105" i="4"/>
  <c r="D105" i="4"/>
  <c r="K101" i="4"/>
  <c r="K102" i="4"/>
  <c r="K103" i="4"/>
  <c r="K100" i="4"/>
  <c r="K94" i="4"/>
  <c r="F170" i="4"/>
  <c r="H170" i="4"/>
  <c r="I170" i="4"/>
  <c r="J170" i="4"/>
  <c r="J173" i="4" s="1"/>
  <c r="K173" i="4" s="1"/>
  <c r="D170" i="4"/>
  <c r="K167" i="4"/>
  <c r="J77" i="4"/>
  <c r="I77" i="4"/>
  <c r="D77" i="4"/>
  <c r="M77" i="4" s="1"/>
  <c r="K70" i="4"/>
  <c r="K71" i="4"/>
  <c r="K72" i="4"/>
  <c r="K69" i="4"/>
  <c r="E67" i="4"/>
  <c r="F67" i="4"/>
  <c r="G67" i="4"/>
  <c r="H67" i="4"/>
  <c r="I67" i="4"/>
  <c r="J67" i="4"/>
  <c r="D67" i="4"/>
  <c r="M67" i="4" s="1"/>
  <c r="K62" i="4"/>
  <c r="K63" i="4"/>
  <c r="K61" i="4"/>
  <c r="J133" i="4"/>
  <c r="J136" i="4" s="1"/>
  <c r="K136" i="4" s="1"/>
  <c r="I133" i="4"/>
  <c r="F133" i="4"/>
  <c r="H133" i="4"/>
  <c r="D133" i="4"/>
  <c r="J123" i="4"/>
  <c r="K123" i="4" s="1"/>
  <c r="D123" i="4"/>
  <c r="M123" i="4" s="1"/>
  <c r="K127" i="4"/>
  <c r="K128" i="4"/>
  <c r="K129" i="4"/>
  <c r="K130" i="4"/>
  <c r="K131" i="4"/>
  <c r="K126" i="4"/>
  <c r="F114" i="4"/>
  <c r="F117" i="4" s="1"/>
  <c r="H114" i="4"/>
  <c r="H117" i="4" s="1"/>
  <c r="I114" i="4"/>
  <c r="J114" i="4"/>
  <c r="J117" i="4" s="1"/>
  <c r="D114" i="4"/>
  <c r="K111" i="4"/>
  <c r="K112" i="4"/>
  <c r="K113" i="4"/>
  <c r="K110" i="4"/>
  <c r="K59" i="4"/>
  <c r="I56" i="4"/>
  <c r="J56" i="4"/>
  <c r="I55" i="4"/>
  <c r="D56" i="4"/>
  <c r="M56" i="4" s="1"/>
  <c r="D55" i="4"/>
  <c r="M55" i="4" s="1"/>
  <c r="J28" i="4"/>
  <c r="J36" i="4"/>
  <c r="J39" i="4" s="1"/>
  <c r="I36" i="4"/>
  <c r="J29" i="4"/>
  <c r="I29" i="4"/>
  <c r="I28" i="4"/>
  <c r="J21" i="4"/>
  <c r="I19" i="4"/>
  <c r="J19" i="4"/>
  <c r="I22" i="4"/>
  <c r="K42" i="4"/>
  <c r="K43" i="4"/>
  <c r="K44" i="4"/>
  <c r="K45" i="4"/>
  <c r="K46" i="4"/>
  <c r="K47" i="4"/>
  <c r="K48" i="4"/>
  <c r="K41" i="4"/>
  <c r="K119" i="4"/>
  <c r="K34" i="4"/>
  <c r="K35" i="4"/>
  <c r="K33" i="4"/>
  <c r="D36" i="4"/>
  <c r="D29" i="4"/>
  <c r="M29" i="4" s="1"/>
  <c r="D28" i="4"/>
  <c r="M28" i="4" s="1"/>
  <c r="K25" i="4"/>
  <c r="K26" i="4"/>
  <c r="K24" i="4"/>
  <c r="K5" i="4"/>
  <c r="K6" i="4"/>
  <c r="K7" i="4"/>
  <c r="K8" i="4"/>
  <c r="K9" i="4"/>
  <c r="K10" i="4"/>
  <c r="K11" i="4"/>
  <c r="K12" i="4"/>
  <c r="K4" i="4"/>
  <c r="D22" i="4"/>
  <c r="M22" i="4" s="1"/>
  <c r="D21" i="4"/>
  <c r="M21" i="4" s="1"/>
  <c r="D19" i="4"/>
  <c r="M19" i="4" s="1"/>
  <c r="K29" i="4" l="1"/>
  <c r="D136" i="4"/>
  <c r="M136" i="4" s="1"/>
  <c r="M133" i="4"/>
  <c r="D108" i="4"/>
  <c r="M108" i="4" s="1"/>
  <c r="M105" i="4"/>
  <c r="D92" i="4"/>
  <c r="M92" i="4" s="1"/>
  <c r="M90" i="4"/>
  <c r="D39" i="4"/>
  <c r="M39" i="4" s="1"/>
  <c r="M36" i="4"/>
  <c r="D117" i="4"/>
  <c r="M117" i="4" s="1"/>
  <c r="M114" i="4"/>
  <c r="D173" i="4"/>
  <c r="M173" i="4" s="1"/>
  <c r="M170" i="4"/>
  <c r="K67" i="4"/>
  <c r="J177" i="4"/>
  <c r="K133" i="4"/>
  <c r="K105" i="4"/>
  <c r="D165" i="4"/>
  <c r="M165" i="4" s="1"/>
  <c r="K77" i="4"/>
  <c r="D177" i="4"/>
  <c r="M177" i="4" s="1"/>
  <c r="K55" i="4"/>
  <c r="I57" i="4"/>
  <c r="K19" i="4"/>
  <c r="I177" i="4"/>
  <c r="D178" i="4"/>
  <c r="M178" i="4" s="1"/>
  <c r="K163" i="4"/>
  <c r="I165" i="4"/>
  <c r="K162" i="4"/>
  <c r="K21" i="4"/>
  <c r="J178" i="4"/>
  <c r="I39" i="4"/>
  <c r="K39" i="4" s="1"/>
  <c r="K36" i="4"/>
  <c r="K56" i="4"/>
  <c r="I178" i="4"/>
  <c r="I117" i="4"/>
  <c r="K117" i="4" s="1"/>
  <c r="K114" i="4"/>
  <c r="K28" i="4"/>
  <c r="J165" i="4"/>
  <c r="K170" i="4"/>
  <c r="K164" i="4"/>
  <c r="J22" i="4"/>
  <c r="J31" i="4"/>
  <c r="D57" i="4"/>
  <c r="M57" i="4" s="1"/>
  <c r="J57" i="4"/>
  <c r="I31" i="4"/>
  <c r="D31" i="4"/>
  <c r="M31" i="4" s="1"/>
  <c r="F119" i="3"/>
  <c r="F94" i="3"/>
  <c r="F86" i="3"/>
  <c r="F83" i="3"/>
  <c r="F78" i="3"/>
  <c r="F72" i="3"/>
  <c r="F66" i="3"/>
  <c r="F56" i="3"/>
  <c r="F50" i="3"/>
  <c r="F51" i="3"/>
  <c r="F52" i="3"/>
  <c r="F49" i="3"/>
  <c r="F45" i="3"/>
  <c r="F43" i="3"/>
  <c r="F26" i="3"/>
  <c r="F27" i="3"/>
  <c r="F25" i="3"/>
  <c r="F4" i="3"/>
  <c r="J179" i="4" l="1"/>
  <c r="D179" i="4"/>
  <c r="M179" i="4" s="1"/>
  <c r="K177" i="4"/>
  <c r="K178" i="4"/>
  <c r="K31" i="4"/>
  <c r="K165" i="4"/>
  <c r="K22" i="4"/>
  <c r="K57" i="4"/>
  <c r="I179" i="4"/>
  <c r="K179" i="4" s="1"/>
  <c r="E159" i="4" l="1"/>
  <c r="G159" i="4"/>
  <c r="E47" i="4" l="1"/>
  <c r="G47" i="4"/>
  <c r="E46" i="4"/>
  <c r="G46" i="4"/>
  <c r="E45" i="4"/>
  <c r="G45" i="4"/>
  <c r="G168" i="4" l="1"/>
  <c r="E168" i="4"/>
  <c r="G167" i="4"/>
  <c r="E167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13" i="4"/>
  <c r="E113" i="4"/>
  <c r="G111" i="4"/>
  <c r="E111" i="4"/>
  <c r="G110" i="4"/>
  <c r="E110" i="4"/>
  <c r="G103" i="4"/>
  <c r="E103" i="4"/>
  <c r="G102" i="4"/>
  <c r="E102" i="4"/>
  <c r="G101" i="4"/>
  <c r="E101" i="4"/>
  <c r="G100" i="4"/>
  <c r="E100" i="4"/>
  <c r="G96" i="4"/>
  <c r="E96" i="4"/>
  <c r="G94" i="4"/>
  <c r="E94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62" i="4"/>
  <c r="E62" i="4"/>
  <c r="G61" i="4"/>
  <c r="E61" i="4"/>
  <c r="G59" i="4"/>
  <c r="E59" i="4"/>
  <c r="G44" i="4"/>
  <c r="E44" i="4"/>
  <c r="G43" i="4"/>
  <c r="E43" i="4"/>
  <c r="G42" i="4"/>
  <c r="E42" i="4"/>
  <c r="G41" i="4"/>
  <c r="E41" i="4"/>
  <c r="G35" i="4"/>
  <c r="E35" i="4"/>
  <c r="G34" i="4"/>
  <c r="E34" i="4"/>
  <c r="G33" i="4"/>
  <c r="E33" i="4"/>
  <c r="H27" i="4"/>
  <c r="G26" i="4"/>
  <c r="E26" i="4"/>
  <c r="G25" i="4"/>
  <c r="E25" i="4"/>
  <c r="G24" i="4"/>
  <c r="E24" i="4"/>
  <c r="G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E133" i="4" l="1"/>
  <c r="G114" i="4"/>
  <c r="G117" i="4" s="1"/>
  <c r="G170" i="4"/>
  <c r="E114" i="4"/>
  <c r="E117" i="4" s="1"/>
  <c r="G133" i="4"/>
  <c r="E170" i="4"/>
  <c r="F178" i="4"/>
  <c r="H178" i="4"/>
  <c r="H177" i="4"/>
  <c r="H179" i="4" l="1"/>
  <c r="F177" i="4"/>
  <c r="F179" i="4" s="1"/>
  <c r="G178" i="4" s="1"/>
  <c r="G177" i="4" l="1"/>
</calcChain>
</file>

<file path=xl/sharedStrings.xml><?xml version="1.0" encoding="utf-8"?>
<sst xmlns="http://schemas.openxmlformats.org/spreadsheetml/2006/main" count="1290" uniqueCount="200">
  <si>
    <t>Varietal</t>
  </si>
  <si>
    <t>Source</t>
  </si>
  <si>
    <t>Chardonnay</t>
  </si>
  <si>
    <t>QGV</t>
  </si>
  <si>
    <t>PAT</t>
  </si>
  <si>
    <t>MRT</t>
  </si>
  <si>
    <t>OSO</t>
  </si>
  <si>
    <t>Contract</t>
  </si>
  <si>
    <t>Non-Contract</t>
  </si>
  <si>
    <t>Total</t>
  </si>
  <si>
    <t>F1B2</t>
  </si>
  <si>
    <t>F2B4</t>
  </si>
  <si>
    <t>F2B5</t>
  </si>
  <si>
    <t>Chasselas</t>
  </si>
  <si>
    <t>F3B4</t>
  </si>
  <si>
    <t>Chenin Blanc</t>
  </si>
  <si>
    <t>F4B1</t>
  </si>
  <si>
    <t>Gewurztraminer</t>
  </si>
  <si>
    <t>F5B1</t>
  </si>
  <si>
    <t>Optima</t>
  </si>
  <si>
    <t>F5B2</t>
  </si>
  <si>
    <t>Pinot Blanc</t>
  </si>
  <si>
    <t>F5B3</t>
  </si>
  <si>
    <t>Pinot Gris</t>
  </si>
  <si>
    <t>F5B4</t>
  </si>
  <si>
    <t>Sauvignon Blanc</t>
  </si>
  <si>
    <t>Total White</t>
  </si>
  <si>
    <t>Cabernet Sauvignon</t>
  </si>
  <si>
    <t>Foch</t>
  </si>
  <si>
    <t>F1B7</t>
  </si>
  <si>
    <t>Merlot</t>
  </si>
  <si>
    <t>F2B3</t>
  </si>
  <si>
    <t>F3B3</t>
  </si>
  <si>
    <t>Pinot Noir</t>
  </si>
  <si>
    <t>Syrah</t>
  </si>
  <si>
    <t>Total Red</t>
  </si>
  <si>
    <t>F2B6</t>
  </si>
  <si>
    <t>F1B3</t>
  </si>
  <si>
    <t>B3</t>
  </si>
  <si>
    <t>F5B8/9</t>
  </si>
  <si>
    <t>B1-4</t>
  </si>
  <si>
    <t>Turton</t>
  </si>
  <si>
    <t>Anders</t>
  </si>
  <si>
    <t>Large</t>
  </si>
  <si>
    <t>F1B5</t>
  </si>
  <si>
    <t>F2B9</t>
  </si>
  <si>
    <t>Drought</t>
  </si>
  <si>
    <t>DeRosa</t>
  </si>
  <si>
    <t>Riesling and Icewine</t>
  </si>
  <si>
    <t>F1B4</t>
  </si>
  <si>
    <t>F2B1</t>
  </si>
  <si>
    <t>F2B2</t>
  </si>
  <si>
    <t>F3B1</t>
  </si>
  <si>
    <t>F3B2</t>
  </si>
  <si>
    <t>F3B5</t>
  </si>
  <si>
    <t>B1,2,4</t>
  </si>
  <si>
    <t>F1B6</t>
  </si>
  <si>
    <t>F1B1</t>
  </si>
  <si>
    <t>F4B5</t>
  </si>
  <si>
    <t>F4B6</t>
  </si>
  <si>
    <t>F5B7</t>
  </si>
  <si>
    <t>F4B4</t>
  </si>
  <si>
    <t>Gamay Noir</t>
  </si>
  <si>
    <t>F2B7</t>
  </si>
  <si>
    <t>F2B8</t>
  </si>
  <si>
    <t>F6B1/2</t>
  </si>
  <si>
    <t>F3B6</t>
  </si>
  <si>
    <t>F3B7</t>
  </si>
  <si>
    <t>F3B8</t>
  </si>
  <si>
    <t>F4B2</t>
  </si>
  <si>
    <t>F4B3</t>
  </si>
  <si>
    <t>F4B7</t>
  </si>
  <si>
    <t>F4B8</t>
  </si>
  <si>
    <t>F4B9</t>
  </si>
  <si>
    <t>F4B10</t>
  </si>
  <si>
    <t>F4B11</t>
  </si>
  <si>
    <t>F5B5</t>
  </si>
  <si>
    <t>F5B6</t>
  </si>
  <si>
    <t>2012 Actual</t>
  </si>
  <si>
    <t>Bartel</t>
  </si>
  <si>
    <t>Icewine</t>
  </si>
  <si>
    <t>2011 Actual</t>
  </si>
  <si>
    <t>Acres</t>
  </si>
  <si>
    <t>T/Acr</t>
  </si>
  <si>
    <t>Lease - BFV</t>
  </si>
  <si>
    <t>B2</t>
  </si>
  <si>
    <t>Lease - MAN</t>
  </si>
  <si>
    <t>Constellation</t>
  </si>
  <si>
    <t>B1</t>
  </si>
  <si>
    <t>Lease - MRT</t>
  </si>
  <si>
    <t>B3-5</t>
  </si>
  <si>
    <t>Seven Mtns</t>
  </si>
  <si>
    <t>Greata Ranch</t>
  </si>
  <si>
    <t>Muller Thurgau</t>
  </si>
  <si>
    <t>QG Owned: QG, Boucherie Mountain Vineyards, Patricia, Osoyoos</t>
  </si>
  <si>
    <t>QG Lease - Managed: Mannhardt, Martyna, Blue Fox, Illig, Westpoint</t>
  </si>
  <si>
    <t xml:space="preserve">QG Contracted: Anders, Drought, DeRosa, 7 Mountains, Petretta (Lakeshore), Turton, Large, Greata, Bartel </t>
  </si>
  <si>
    <t xml:space="preserve">Grand Total </t>
  </si>
  <si>
    <t>SHV - Musque</t>
  </si>
  <si>
    <t>Sylvan Heights (SHV)</t>
  </si>
  <si>
    <t>Joyce Prowse</t>
  </si>
  <si>
    <t>Doug Deshner</t>
  </si>
  <si>
    <t>Culos</t>
  </si>
  <si>
    <t>Viognier</t>
  </si>
  <si>
    <t>DCV</t>
  </si>
  <si>
    <t>Update:Oct 13, 2014</t>
  </si>
  <si>
    <t>Tons</t>
  </si>
  <si>
    <t>(T/Acre)</t>
  </si>
  <si>
    <t>Actual (Tons)</t>
  </si>
  <si>
    <t>x</t>
  </si>
  <si>
    <t xml:space="preserve">Sylvan Heights </t>
  </si>
  <si>
    <t>Sylvan Heights  - Musque</t>
  </si>
  <si>
    <t>traded GRV</t>
  </si>
  <si>
    <r>
      <rPr>
        <b/>
        <sz val="11"/>
        <color theme="1"/>
        <rFont val="Calibri"/>
        <family val="2"/>
      </rPr>
      <t>Δ 2013-2014</t>
    </r>
    <r>
      <rPr>
        <b/>
        <sz val="11"/>
        <color theme="1"/>
        <rFont val="Calibri"/>
        <family val="2"/>
        <scheme val="minor"/>
      </rPr>
      <t xml:space="preserve"> </t>
    </r>
  </si>
  <si>
    <t>Peller</t>
  </si>
  <si>
    <t>Total QGV</t>
  </si>
  <si>
    <t xml:space="preserve">Lease </t>
  </si>
  <si>
    <t>Total Contract</t>
  </si>
  <si>
    <t xml:space="preserve">Total </t>
  </si>
  <si>
    <t xml:space="preserve">Total Lease </t>
  </si>
  <si>
    <t>Total Lease</t>
  </si>
  <si>
    <t>Lease</t>
  </si>
  <si>
    <t>Dick Cleave</t>
  </si>
  <si>
    <t>Grand Total Contract</t>
  </si>
  <si>
    <t>Grand Total QG &amp; Lease</t>
  </si>
  <si>
    <t>MAN- Lease</t>
  </si>
  <si>
    <t>Estimated (Tons)</t>
  </si>
  <si>
    <t>Estimated (T/acre)</t>
  </si>
  <si>
    <t>Chass- targetting 7T/acre (maybe 8?)</t>
  </si>
  <si>
    <t>Chenin- tagetting 5T/acre</t>
  </si>
  <si>
    <t>Gew- target 5T/acre, drop growers</t>
  </si>
  <si>
    <t>Pinot blanc- target 5T/acre</t>
  </si>
  <si>
    <t>Pinot gris- target 4-5T/acre</t>
  </si>
  <si>
    <t>Riesling- no icewine, target 4T/acre</t>
  </si>
  <si>
    <t>Drop SHV</t>
  </si>
  <si>
    <t>Merlot- target 3.5-4T/acre</t>
  </si>
  <si>
    <t>Pinot noir- target 3.5-4 T/acre</t>
  </si>
  <si>
    <t>Chd- averaging no more than 5.5T/acre or less</t>
  </si>
  <si>
    <t>2015 Estimated (Tons)</t>
  </si>
  <si>
    <t>Icewine (B4?)</t>
  </si>
  <si>
    <t xml:space="preserve">Red Total </t>
  </si>
  <si>
    <t>White Total</t>
  </si>
  <si>
    <t>Δ Actual - Target</t>
  </si>
  <si>
    <r>
      <t xml:space="preserve">% </t>
    </r>
    <r>
      <rPr>
        <sz val="11"/>
        <color theme="1"/>
        <rFont val="Calibri"/>
        <family val="2"/>
      </rPr>
      <t>Δ Actual-Target</t>
    </r>
  </si>
  <si>
    <t>Contact</t>
  </si>
  <si>
    <t>˚Brix</t>
  </si>
  <si>
    <t>pH</t>
  </si>
  <si>
    <t xml:space="preserve">TA </t>
  </si>
  <si>
    <t>n/a</t>
  </si>
  <si>
    <t>Auxerrious</t>
  </si>
  <si>
    <t>F5B1 Lower</t>
  </si>
  <si>
    <t>F5B1 Upper</t>
  </si>
  <si>
    <t>F5B2 Lower</t>
  </si>
  <si>
    <t>F5B2 Upper</t>
  </si>
  <si>
    <t>F5B3 Lower</t>
  </si>
  <si>
    <t>F5B3 Upper</t>
  </si>
  <si>
    <t>F5B4 Lower</t>
  </si>
  <si>
    <t>F5B4 Upper</t>
  </si>
  <si>
    <t>F2B10</t>
  </si>
  <si>
    <t>Cabernet franc</t>
  </si>
  <si>
    <t xml:space="preserve">Contract </t>
  </si>
  <si>
    <t>(BA)</t>
  </si>
  <si>
    <t>(CLEAN)</t>
  </si>
  <si>
    <t>F2&amp;3</t>
  </si>
  <si>
    <t>tons/acre</t>
  </si>
  <si>
    <t>YAN</t>
  </si>
  <si>
    <t>GDD</t>
  </si>
  <si>
    <t>Gamay Rose</t>
  </si>
  <si>
    <t>PN</t>
  </si>
  <si>
    <t>upper:</t>
  </si>
  <si>
    <t>lower:</t>
  </si>
  <si>
    <t>ROSE</t>
  </si>
  <si>
    <t>Sylvan Heights-M</t>
  </si>
  <si>
    <r>
      <t xml:space="preserve">% </t>
    </r>
    <r>
      <rPr>
        <sz val="8"/>
        <color theme="1"/>
        <rFont val="Calibri"/>
        <family val="2"/>
      </rPr>
      <t>Δ Actual-Target</t>
    </r>
  </si>
  <si>
    <t>White</t>
  </si>
  <si>
    <t>Red</t>
  </si>
  <si>
    <t>Ravaz</t>
  </si>
  <si>
    <t>Avg. Cane</t>
  </si>
  <si>
    <t>wt (g)</t>
  </si>
  <si>
    <t>Drought-Rose</t>
  </si>
  <si>
    <t>Drought-PN</t>
  </si>
  <si>
    <t>upper</t>
  </si>
  <si>
    <t>lower</t>
  </si>
  <si>
    <t>F6B1</t>
  </si>
  <si>
    <t>F6B2</t>
  </si>
  <si>
    <t>WS F4B3</t>
  </si>
  <si>
    <t>WS F5B4</t>
  </si>
  <si>
    <t>WS BFV</t>
  </si>
  <si>
    <t>WS F2B7</t>
  </si>
  <si>
    <t>WS F3B3</t>
  </si>
  <si>
    <t>F2B5 DATA MISSING</t>
  </si>
  <si>
    <t>WS OSO</t>
  </si>
  <si>
    <t>WS MRT</t>
  </si>
  <si>
    <t>WS F1B3</t>
  </si>
  <si>
    <t>F1B3 (Clean)</t>
  </si>
  <si>
    <t>F1B3 (BA)</t>
  </si>
  <si>
    <t>WS PAT</t>
  </si>
  <si>
    <t>N/A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</si>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</sst>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6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9" fontId="8" fillId="0" borderId="0" applyFont="0" applyFill="0" applyBorder="0" applyAlignment="0" applyProtection="0"/>
    <xf numFmtId="0" fontId="9" fillId="0" borderId="0"/>
  </cellStyleXfs>
  <cellXfs count="466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/>
    <xf numFmtId="164" fontId="0" fillId="0" borderId="0" xfId="0" applyNumberFormat="1" applyFont="1"/>
    <xf numFmtId="0" fontId="3" fillId="0" borderId="0" xfId="0" applyFont="1" applyFill="1" applyBorder="1" applyAlignment="1">
      <alignment vertical="center"/>
    </xf>
    <xf numFmtId="0" fontId="2" fillId="0" borderId="3" xfId="0" applyFont="1" applyBorder="1"/>
    <xf numFmtId="164" fontId="3" fillId="2" borderId="8" xfId="0" applyNumberFormat="1" applyFont="1" applyFill="1" applyBorder="1" applyAlignment="1">
      <alignment horizontal="center" vertical="center"/>
    </xf>
    <xf numFmtId="0" fontId="0" fillId="0" borderId="3" xfId="0" applyFont="1" applyBorder="1"/>
    <xf numFmtId="164" fontId="2" fillId="0" borderId="1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/>
    <xf numFmtId="164" fontId="0" fillId="2" borderId="1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164" fontId="6" fillId="2" borderId="9" xfId="0" applyNumberFormat="1" applyFont="1" applyFill="1" applyBorder="1" applyAlignment="1">
      <alignment horizontal="center" vertical="center"/>
    </xf>
    <xf numFmtId="0" fontId="0" fillId="0" borderId="2" xfId="0" applyFont="1" applyBorder="1"/>
    <xf numFmtId="9" fontId="2" fillId="0" borderId="3" xfId="2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9" fontId="2" fillId="0" borderId="3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0" fillId="0" borderId="3" xfId="0" applyFont="1" applyBorder="1" applyAlignment="1">
      <alignment horizontal="center"/>
    </xf>
    <xf numFmtId="165" fontId="0" fillId="0" borderId="4" xfId="2" applyNumberFormat="1" applyFont="1" applyBorder="1" applyAlignment="1">
      <alignment horizontal="left" vertical="center"/>
    </xf>
    <xf numFmtId="165" fontId="3" fillId="0" borderId="4" xfId="2" applyNumberFormat="1" applyFont="1" applyBorder="1" applyAlignment="1">
      <alignment horizontal="left" vertical="center"/>
    </xf>
    <xf numFmtId="165" fontId="10" fillId="0" borderId="6" xfId="2" applyNumberFormat="1" applyFont="1" applyBorder="1" applyAlignment="1">
      <alignment horizontal="left" vertical="center"/>
    </xf>
    <xf numFmtId="164" fontId="6" fillId="2" borderId="0" xfId="0" applyNumberFormat="1" applyFont="1" applyFill="1" applyBorder="1" applyAlignment="1">
      <alignment horizontal="center" vertical="center"/>
    </xf>
    <xf numFmtId="165" fontId="10" fillId="0" borderId="0" xfId="2" applyNumberFormat="1" applyFont="1" applyBorder="1" applyAlignment="1">
      <alignment horizontal="left" vertical="center"/>
    </xf>
    <xf numFmtId="164" fontId="6" fillId="2" borderId="11" xfId="0" applyNumberFormat="1" applyFont="1" applyFill="1" applyBorder="1" applyAlignment="1">
      <alignment horizontal="center" vertical="center"/>
    </xf>
    <xf numFmtId="165" fontId="10" fillId="0" borderId="3" xfId="2" applyNumberFormat="1" applyFont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/>
    </xf>
    <xf numFmtId="164" fontId="2" fillId="0" borderId="0" xfId="0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9" fontId="2" fillId="0" borderId="0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2" fontId="0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vertical="center"/>
    </xf>
    <xf numFmtId="164" fontId="6" fillId="6" borderId="13" xfId="0" applyNumberFormat="1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/>
    </xf>
    <xf numFmtId="164" fontId="2" fillId="6" borderId="8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164" fontId="0" fillId="6" borderId="18" xfId="0" applyNumberFormat="1" applyFon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vertical="center"/>
    </xf>
    <xf numFmtId="164" fontId="2" fillId="6" borderId="18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/>
    </xf>
    <xf numFmtId="164" fontId="0" fillId="6" borderId="13" xfId="0" applyNumberFormat="1" applyFont="1" applyFill="1" applyBorder="1" applyAlignment="1">
      <alignment horizontal="center" vertical="center"/>
    </xf>
    <xf numFmtId="0" fontId="0" fillId="6" borderId="18" xfId="0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4" fontId="0" fillId="0" borderId="3" xfId="0" applyNumberFormat="1" applyFont="1" applyBorder="1" applyAlignment="1">
      <alignment horizontal="center"/>
    </xf>
    <xf numFmtId="2" fontId="0" fillId="6" borderId="18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4" fillId="7" borderId="0" xfId="0" applyFont="1" applyFill="1"/>
    <xf numFmtId="164" fontId="0" fillId="7" borderId="1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4" fillId="0" borderId="0" xfId="0" applyFont="1" applyFill="1"/>
    <xf numFmtId="2" fontId="6" fillId="0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3" xfId="0" applyFont="1" applyFill="1" applyBorder="1"/>
    <xf numFmtId="2" fontId="6" fillId="0" borderId="1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5" xfId="0" applyFont="1" applyFill="1" applyBorder="1" applyAlignment="1">
      <alignment vertical="center"/>
    </xf>
    <xf numFmtId="2" fontId="0" fillId="6" borderId="12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6" fillId="6" borderId="13" xfId="0" applyNumberFormat="1" applyFont="1" applyFill="1" applyBorder="1" applyAlignment="1">
      <alignment horizontal="center" vertical="center"/>
    </xf>
    <xf numFmtId="2" fontId="6" fillId="6" borderId="14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6" borderId="1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6" borderId="12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6" fillId="3" borderId="0" xfId="0" applyFont="1" applyFill="1"/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4" borderId="19" xfId="0" applyNumberFormat="1" applyFont="1" applyFill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0" fontId="0" fillId="0" borderId="0" xfId="0" applyFill="1"/>
    <xf numFmtId="2" fontId="0" fillId="0" borderId="18" xfId="0" applyNumberFormat="1" applyFill="1" applyBorder="1"/>
    <xf numFmtId="164" fontId="4" fillId="0" borderId="18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164" fontId="0" fillId="0" borderId="18" xfId="0" applyNumberFormat="1" applyFill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0" fontId="6" fillId="0" borderId="3" xfId="0" applyFont="1" applyBorder="1" applyAlignment="1">
      <alignment vertical="center"/>
    </xf>
    <xf numFmtId="2" fontId="4" fillId="0" borderId="18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vertical="center"/>
    </xf>
    <xf numFmtId="0" fontId="4" fillId="0" borderId="3" xfId="0" applyFont="1" applyBorder="1"/>
    <xf numFmtId="0" fontId="4" fillId="0" borderId="3" xfId="0" applyFont="1" applyFill="1" applyBorder="1"/>
    <xf numFmtId="0" fontId="6" fillId="0" borderId="3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2" fontId="4" fillId="0" borderId="18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4" fillId="0" borderId="13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2" xfId="0" applyFont="1" applyBorder="1"/>
    <xf numFmtId="0" fontId="6" fillId="0" borderId="1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4" fillId="0" borderId="13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6" borderId="18" xfId="0" applyFill="1" applyBorder="1"/>
    <xf numFmtId="1" fontId="6" fillId="6" borderId="18" xfId="0" applyNumberFormat="1" applyFont="1" applyFill="1" applyBorder="1" applyAlignment="1">
      <alignment horizontal="center" vertical="center"/>
    </xf>
    <xf numFmtId="1" fontId="6" fillId="0" borderId="18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6" borderId="18" xfId="0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9" fontId="0" fillId="6" borderId="18" xfId="2" applyFont="1" applyFill="1" applyBorder="1"/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8" borderId="0" xfId="0" applyNumberFormat="1" applyFill="1"/>
    <xf numFmtId="0" fontId="0" fillId="11" borderId="0" xfId="0" applyFill="1"/>
    <xf numFmtId="164" fontId="0" fillId="6" borderId="18" xfId="0" applyNumberFormat="1" applyFill="1" applyBorder="1"/>
    <xf numFmtId="0" fontId="0" fillId="6" borderId="12" xfId="0" applyFill="1" applyBorder="1"/>
    <xf numFmtId="164" fontId="2" fillId="0" borderId="0" xfId="0" applyNumberFormat="1" applyFont="1"/>
    <xf numFmtId="164" fontId="2" fillId="6" borderId="18" xfId="0" applyNumberFormat="1" applyFont="1" applyFill="1" applyBorder="1"/>
    <xf numFmtId="0" fontId="2" fillId="6" borderId="18" xfId="0" applyFont="1" applyFill="1" applyBorder="1"/>
    <xf numFmtId="0" fontId="0" fillId="0" borderId="18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0" fillId="0" borderId="18" xfId="2" applyNumberFormat="1" applyFont="1" applyFill="1" applyBorder="1"/>
    <xf numFmtId="0" fontId="0" fillId="6" borderId="18" xfId="2" applyNumberFormat="1" applyFont="1" applyFill="1" applyBorder="1"/>
    <xf numFmtId="9" fontId="0" fillId="12" borderId="18" xfId="2" applyFont="1" applyFill="1" applyBorder="1"/>
    <xf numFmtId="9" fontId="0" fillId="11" borderId="18" xfId="2" applyFont="1" applyFill="1" applyBorder="1"/>
    <xf numFmtId="0" fontId="2" fillId="0" borderId="0" xfId="0" applyFont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2" fontId="0" fillId="6" borderId="18" xfId="0" applyNumberFormat="1" applyFill="1" applyBorder="1"/>
    <xf numFmtId="0" fontId="4" fillId="0" borderId="3" xfId="0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0" fillId="11" borderId="3" xfId="0" applyFill="1" applyBorder="1"/>
    <xf numFmtId="0" fontId="0" fillId="6" borderId="13" xfId="0" applyFill="1" applyBorder="1" applyAlignment="1">
      <alignment horizontal="center"/>
    </xf>
    <xf numFmtId="0" fontId="0" fillId="6" borderId="13" xfId="0" applyFill="1" applyBorder="1"/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/>
    </xf>
    <xf numFmtId="164" fontId="4" fillId="6" borderId="1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6" borderId="12" xfId="0" applyFill="1" applyBorder="1" applyAlignment="1">
      <alignment horizontal="center"/>
    </xf>
    <xf numFmtId="9" fontId="0" fillId="12" borderId="12" xfId="2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2" fillId="0" borderId="1" xfId="0" applyNumberFormat="1" applyFont="1" applyFill="1" applyBorder="1"/>
    <xf numFmtId="0" fontId="2" fillId="0" borderId="1" xfId="0" applyFont="1" applyFill="1" applyBorder="1"/>
    <xf numFmtId="0" fontId="13" fillId="6" borderId="18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18" xfId="0" applyFont="1" applyFill="1" applyBorder="1"/>
    <xf numFmtId="0" fontId="15" fillId="6" borderId="18" xfId="0" applyFont="1" applyFill="1" applyBorder="1"/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2" fontId="15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1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9" fontId="15" fillId="6" borderId="18" xfId="2" applyFont="1" applyFill="1" applyBorder="1"/>
    <xf numFmtId="0" fontId="15" fillId="9" borderId="0" xfId="0" applyFont="1" applyFill="1"/>
    <xf numFmtId="0" fontId="15" fillId="0" borderId="0" xfId="0" applyFont="1" applyFill="1"/>
    <xf numFmtId="2" fontId="15" fillId="6" borderId="18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164" fontId="15" fillId="0" borderId="1" xfId="0" applyNumberFormat="1" applyFont="1" applyBorder="1" applyAlignment="1">
      <alignment horizontal="center" vertical="center"/>
    </xf>
    <xf numFmtId="0" fontId="15" fillId="11" borderId="0" xfId="0" applyFont="1" applyFill="1"/>
    <xf numFmtId="0" fontId="17" fillId="0" borderId="0" xfId="0" applyFont="1"/>
    <xf numFmtId="0" fontId="18" fillId="0" borderId="0" xfId="0" applyFont="1" applyFill="1" applyBorder="1" applyAlignment="1">
      <alignment vertical="center"/>
    </xf>
    <xf numFmtId="0" fontId="19" fillId="0" borderId="3" xfId="0" applyFont="1" applyFill="1" applyBorder="1"/>
    <xf numFmtId="2" fontId="19" fillId="0" borderId="10" xfId="0" applyNumberFormat="1" applyFont="1" applyFill="1" applyBorder="1" applyAlignment="1">
      <alignment horizontal="center" vertical="center"/>
    </xf>
    <xf numFmtId="9" fontId="15" fillId="12" borderId="18" xfId="2" applyFont="1" applyFill="1" applyBorder="1"/>
    <xf numFmtId="0" fontId="19" fillId="0" borderId="0" xfId="0" applyFont="1" applyFill="1"/>
    <xf numFmtId="2" fontId="19" fillId="0" borderId="1" xfId="0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vertical="center"/>
    </xf>
    <xf numFmtId="2" fontId="19" fillId="0" borderId="7" xfId="0" applyNumberFormat="1" applyFont="1" applyFill="1" applyBorder="1" applyAlignment="1">
      <alignment horizontal="center" vertical="center"/>
    </xf>
    <xf numFmtId="2" fontId="15" fillId="6" borderId="18" xfId="0" applyNumberFormat="1" applyFont="1" applyFill="1" applyBorder="1"/>
    <xf numFmtId="0" fontId="19" fillId="0" borderId="0" xfId="0" applyFont="1" applyFill="1" applyBorder="1" applyAlignment="1">
      <alignment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5" fillId="0" borderId="3" xfId="0" applyFont="1" applyBorder="1"/>
    <xf numFmtId="0" fontId="15" fillId="0" borderId="18" xfId="2" applyNumberFormat="1" applyFont="1" applyFill="1" applyBorder="1"/>
    <xf numFmtId="2" fontId="15" fillId="0" borderId="1" xfId="0" applyNumberFormat="1" applyFont="1" applyFill="1" applyBorder="1" applyAlignment="1">
      <alignment horizontal="center" vertical="center"/>
    </xf>
    <xf numFmtId="0" fontId="15" fillId="8" borderId="0" xfId="0" applyFont="1" applyFill="1"/>
    <xf numFmtId="2" fontId="15" fillId="0" borderId="1" xfId="0" applyNumberFormat="1" applyFont="1" applyBorder="1" applyAlignment="1">
      <alignment horizontal="center" vertical="center"/>
    </xf>
    <xf numFmtId="0" fontId="15" fillId="0" borderId="0" xfId="0" applyFont="1" applyFill="1" applyBorder="1"/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2" fontId="14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6" borderId="18" xfId="2" applyNumberFormat="1" applyFont="1" applyFill="1" applyBorder="1"/>
    <xf numFmtId="9" fontId="15" fillId="11" borderId="18" xfId="2" applyFont="1" applyFill="1" applyBorder="1"/>
    <xf numFmtId="2" fontId="14" fillId="0" borderId="3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2" fontId="17" fillId="0" borderId="1" xfId="0" applyNumberFormat="1" applyFont="1" applyBorder="1" applyAlignment="1">
      <alignment horizontal="center" vertical="center"/>
    </xf>
    <xf numFmtId="2" fontId="19" fillId="0" borderId="3" xfId="0" applyNumberFormat="1" applyFont="1" applyFill="1" applyBorder="1" applyAlignment="1">
      <alignment horizontal="center" vertical="center"/>
    </xf>
    <xf numFmtId="0" fontId="19" fillId="0" borderId="0" xfId="0" applyFont="1"/>
    <xf numFmtId="2" fontId="19" fillId="0" borderId="5" xfId="0" applyNumberFormat="1" applyFont="1" applyFill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5" fillId="10" borderId="0" xfId="0" applyFont="1" applyFill="1"/>
    <xf numFmtId="2" fontId="19" fillId="0" borderId="10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2" fontId="17" fillId="0" borderId="21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4" fillId="0" borderId="2" xfId="0" applyFont="1" applyBorder="1"/>
    <xf numFmtId="0" fontId="15" fillId="0" borderId="2" xfId="0" applyFont="1" applyBorder="1" applyAlignment="1">
      <alignment vertical="center"/>
    </xf>
    <xf numFmtId="2" fontId="15" fillId="0" borderId="21" xfId="0" applyNumberFormat="1" applyFont="1" applyBorder="1" applyAlignment="1">
      <alignment horizontal="center" vertical="center"/>
    </xf>
    <xf numFmtId="0" fontId="15" fillId="0" borderId="0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4" fillId="0" borderId="3" xfId="0" applyFont="1" applyBorder="1"/>
    <xf numFmtId="0" fontId="14" fillId="0" borderId="3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0" xfId="0" applyFont="1" applyBorder="1"/>
    <xf numFmtId="0" fontId="17" fillId="0" borderId="0" xfId="0" applyFont="1" applyBorder="1"/>
    <xf numFmtId="0" fontId="17" fillId="0" borderId="0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3" xfId="0" applyFont="1" applyFill="1" applyBorder="1" applyAlignment="1">
      <alignment horizontal="center" vertical="center"/>
    </xf>
    <xf numFmtId="0" fontId="15" fillId="11" borderId="3" xfId="0" applyFont="1" applyFill="1" applyBorder="1"/>
    <xf numFmtId="0" fontId="15" fillId="6" borderId="13" xfId="0" applyFont="1" applyFill="1" applyBorder="1" applyAlignment="1">
      <alignment horizontal="center"/>
    </xf>
    <xf numFmtId="0" fontId="15" fillId="6" borderId="13" xfId="0" applyFont="1" applyFill="1" applyBorder="1"/>
    <xf numFmtId="0" fontId="17" fillId="0" borderId="2" xfId="0" applyFont="1" applyBorder="1"/>
    <xf numFmtId="0" fontId="17" fillId="0" borderId="2" xfId="0" applyFont="1" applyFill="1" applyBorder="1" applyAlignment="1">
      <alignment horizontal="center" vertical="center"/>
    </xf>
    <xf numFmtId="0" fontId="15" fillId="11" borderId="2" xfId="0" applyFont="1" applyFill="1" applyBorder="1"/>
    <xf numFmtId="0" fontId="15" fillId="6" borderId="12" xfId="0" applyFont="1" applyFill="1" applyBorder="1" applyAlignment="1">
      <alignment horizontal="center"/>
    </xf>
    <xf numFmtId="9" fontId="15" fillId="12" borderId="12" xfId="2" applyFont="1" applyFill="1" applyBorder="1"/>
    <xf numFmtId="0" fontId="15" fillId="6" borderId="12" xfId="0" applyFont="1" applyFill="1" applyBorder="1"/>
    <xf numFmtId="0" fontId="15" fillId="0" borderId="2" xfId="0" applyFont="1" applyBorder="1"/>
    <xf numFmtId="164" fontId="15" fillId="0" borderId="0" xfId="0" applyNumberFormat="1" applyFont="1"/>
    <xf numFmtId="164" fontId="15" fillId="8" borderId="0" xfId="0" applyNumberFormat="1" applyFont="1" applyFill="1"/>
    <xf numFmtId="164" fontId="15" fillId="6" borderId="18" xfId="0" applyNumberFormat="1" applyFont="1" applyFill="1" applyBorder="1"/>
    <xf numFmtId="2" fontId="15" fillId="0" borderId="3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/>
    </xf>
    <xf numFmtId="2" fontId="14" fillId="0" borderId="3" xfId="0" applyNumberFormat="1" applyFont="1" applyBorder="1" applyAlignment="1">
      <alignment horizontal="center"/>
    </xf>
    <xf numFmtId="2" fontId="15" fillId="0" borderId="15" xfId="0" applyNumberFormat="1" applyFont="1" applyFill="1" applyBorder="1" applyAlignment="1">
      <alignment horizontal="center"/>
    </xf>
    <xf numFmtId="2" fontId="15" fillId="6" borderId="8" xfId="0" applyNumberFormat="1" applyFont="1" applyFill="1" applyBorder="1" applyAlignment="1">
      <alignment horizontal="center"/>
    </xf>
    <xf numFmtId="0" fontId="19" fillId="3" borderId="0" xfId="0" applyFont="1" applyFill="1"/>
    <xf numFmtId="2" fontId="14" fillId="0" borderId="0" xfId="0" applyNumberFormat="1" applyFont="1" applyAlignment="1">
      <alignment horizontal="center"/>
    </xf>
    <xf numFmtId="2" fontId="15" fillId="0" borderId="17" xfId="0" applyNumberFormat="1" applyFont="1" applyFill="1" applyBorder="1" applyAlignment="1">
      <alignment horizontal="center"/>
    </xf>
    <xf numFmtId="2" fontId="15" fillId="6" borderId="12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vertical="center"/>
    </xf>
    <xf numFmtId="2" fontId="14" fillId="0" borderId="5" xfId="0" applyNumberFormat="1" applyFont="1" applyBorder="1" applyAlignment="1">
      <alignment horizontal="center"/>
    </xf>
    <xf numFmtId="2" fontId="14" fillId="0" borderId="16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164" fontId="14" fillId="0" borderId="0" xfId="0" applyNumberFormat="1" applyFont="1"/>
    <xf numFmtId="164" fontId="14" fillId="6" borderId="18" xfId="0" applyNumberFormat="1" applyFont="1" applyFill="1" applyBorder="1"/>
    <xf numFmtId="164" fontId="14" fillId="0" borderId="1" xfId="0" applyNumberFormat="1" applyFont="1" applyFill="1" applyBorder="1"/>
    <xf numFmtId="0" fontId="14" fillId="6" borderId="18" xfId="0" applyFont="1" applyFill="1" applyBorder="1"/>
    <xf numFmtId="0" fontId="14" fillId="0" borderId="1" xfId="0" applyFont="1" applyFill="1" applyBorder="1"/>
    <xf numFmtId="2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9" fontId="0" fillId="6" borderId="12" xfId="2" applyFont="1" applyFill="1" applyBorder="1"/>
    <xf numFmtId="0" fontId="0" fillId="8" borderId="2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91"/>
  <sheetViews>
    <sheetView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M148" sqref="M148"/>
    </sheetView>
  </sheetViews>
  <sheetFormatPr defaultColWidth="9.140625" defaultRowHeight="15.75" customHeight="1" x14ac:dyDescent="0.25"/>
  <cols>
    <col min="1" max="1" width="21" style="71" bestFit="1" customWidth="1"/>
    <col min="2" max="2" width="11.85546875" style="69" customWidth="1"/>
    <col min="3" max="3" width="19" style="69" bestFit="1" customWidth="1"/>
    <col min="4" max="4" width="9.85546875" style="6" bestFit="1" customWidth="1"/>
    <col min="5" max="5" width="7.140625" style="69" hidden="1" customWidth="1"/>
    <col min="6" max="6" width="9.85546875" style="69" hidden="1" customWidth="1"/>
    <col min="7" max="7" width="9" style="69" hidden="1" customWidth="1"/>
    <col min="8" max="8" width="9.85546875" style="69" hidden="1" customWidth="1"/>
    <col min="9" max="9" width="11.5703125" style="119" customWidth="1"/>
    <col min="10" max="10" width="12.85546875" style="67" customWidth="1"/>
    <col min="11" max="11" width="14.5703125" style="119" customWidth="1"/>
    <col min="12" max="12" width="16.85546875" style="279" customWidth="1"/>
    <col min="13" max="13" width="18.85546875" style="6" customWidth="1"/>
    <col min="14" max="14" width="51.85546875" style="69" customWidth="1"/>
    <col min="15" max="15" width="19.85546875" style="69" bestFit="1" customWidth="1"/>
    <col min="16" max="19" width="9.140625" style="69"/>
    <col min="20" max="20" width="18.5703125" style="69" customWidth="1"/>
    <col min="21" max="27" width="9.140625" style="69"/>
    <col min="28" max="28" width="9.140625" style="69" customWidth="1"/>
    <col min="29" max="16384" width="9.140625" style="69"/>
  </cols>
  <sheetData>
    <row r="1" spans="1:40" ht="15.75" customHeight="1" x14ac:dyDescent="0.25">
      <c r="D1" s="63"/>
      <c r="E1" s="462" t="s">
        <v>81</v>
      </c>
      <c r="F1" s="462"/>
      <c r="G1" s="462" t="s">
        <v>78</v>
      </c>
      <c r="H1" s="462"/>
      <c r="I1" s="110">
        <v>2013</v>
      </c>
      <c r="J1" s="90">
        <v>2014</v>
      </c>
      <c r="K1" s="122"/>
      <c r="L1" s="279">
        <v>2015</v>
      </c>
      <c r="M1" s="6">
        <v>2015</v>
      </c>
    </row>
    <row r="2" spans="1:40" ht="15.75" customHeight="1" x14ac:dyDescent="0.25">
      <c r="A2" s="71" t="s">
        <v>0</v>
      </c>
      <c r="B2" s="463" t="s">
        <v>1</v>
      </c>
      <c r="C2" s="463"/>
      <c r="D2" s="77" t="s">
        <v>82</v>
      </c>
      <c r="E2" s="61" t="s">
        <v>83</v>
      </c>
      <c r="F2" s="68" t="s">
        <v>9</v>
      </c>
      <c r="G2" s="61" t="s">
        <v>83</v>
      </c>
      <c r="H2" s="68" t="s">
        <v>9</v>
      </c>
      <c r="I2" s="110" t="s">
        <v>108</v>
      </c>
      <c r="J2" s="90" t="s">
        <v>108</v>
      </c>
      <c r="K2" s="110" t="s">
        <v>113</v>
      </c>
      <c r="L2" s="278" t="s">
        <v>126</v>
      </c>
      <c r="M2" s="2" t="s">
        <v>127</v>
      </c>
      <c r="O2" s="71"/>
      <c r="T2" s="71"/>
    </row>
    <row r="3" spans="1:40" ht="15.75" customHeight="1" x14ac:dyDescent="0.25">
      <c r="A3" s="3" t="s">
        <v>2</v>
      </c>
      <c r="B3" s="4"/>
      <c r="C3" s="4"/>
      <c r="D3" s="62"/>
      <c r="E3" s="30"/>
      <c r="F3" s="5"/>
      <c r="G3" s="61"/>
      <c r="H3" s="68"/>
      <c r="I3" s="110"/>
      <c r="J3" s="78"/>
      <c r="K3" s="110"/>
      <c r="P3" s="76"/>
      <c r="Q3" s="76"/>
      <c r="R3" s="76"/>
      <c r="T3" s="8"/>
      <c r="U3" s="459"/>
      <c r="V3" s="460"/>
      <c r="W3" s="459"/>
      <c r="X3" s="460"/>
      <c r="Y3" s="459"/>
      <c r="Z3" s="460"/>
      <c r="AA3" s="459"/>
      <c r="AB3" s="460"/>
      <c r="AC3" s="459"/>
      <c r="AD3" s="460"/>
      <c r="AE3" s="459"/>
      <c r="AF3" s="461"/>
      <c r="AG3" s="461"/>
      <c r="AH3" s="461"/>
      <c r="AI3" s="459"/>
      <c r="AJ3" s="460"/>
      <c r="AK3" s="459"/>
      <c r="AL3" s="460"/>
    </row>
    <row r="4" spans="1:40" ht="15.75" customHeight="1" x14ac:dyDescent="0.25">
      <c r="A4" s="1"/>
      <c r="B4" s="9" t="s">
        <v>3</v>
      </c>
      <c r="C4" s="9" t="s">
        <v>10</v>
      </c>
      <c r="D4" s="91">
        <v>0.75</v>
      </c>
      <c r="E4" s="31">
        <v>2.2799999999999998</v>
      </c>
      <c r="F4" s="32">
        <v>4.51</v>
      </c>
      <c r="G4" s="33">
        <v>5</v>
      </c>
      <c r="H4" s="103">
        <v>4.2699999999999996</v>
      </c>
      <c r="I4" s="126">
        <v>1.57</v>
      </c>
      <c r="J4" s="95">
        <v>2.63</v>
      </c>
      <c r="K4" s="126">
        <f>I4-J4</f>
        <v>-1.0599999999999998</v>
      </c>
      <c r="L4" s="279">
        <v>2.5</v>
      </c>
      <c r="M4" s="281">
        <f>L4/D4</f>
        <v>3.3333333333333335</v>
      </c>
      <c r="N4" s="69" t="s">
        <v>137</v>
      </c>
      <c r="O4" s="71"/>
      <c r="T4" s="8"/>
      <c r="U4" s="88"/>
      <c r="V4" s="89"/>
      <c r="W4" s="88"/>
      <c r="X4" s="89"/>
      <c r="Y4" s="88"/>
      <c r="Z4" s="89"/>
      <c r="AA4" s="88"/>
      <c r="AB4" s="89"/>
      <c r="AC4" s="88"/>
      <c r="AD4" s="89"/>
      <c r="AE4" s="88"/>
      <c r="AF4" s="89"/>
      <c r="AG4" s="88"/>
      <c r="AH4" s="89"/>
      <c r="AI4" s="88"/>
      <c r="AJ4" s="89"/>
      <c r="AK4" s="88"/>
      <c r="AL4" s="89"/>
    </row>
    <row r="5" spans="1:40" ht="15.75" customHeight="1" x14ac:dyDescent="0.25">
      <c r="A5" s="1"/>
      <c r="B5" s="9" t="s">
        <v>3</v>
      </c>
      <c r="C5" s="9" t="s">
        <v>11</v>
      </c>
      <c r="D5" s="62">
        <v>1.4</v>
      </c>
      <c r="E5" s="31">
        <v>7.46</v>
      </c>
      <c r="F5" s="32">
        <f t="shared" ref="F5:F12" si="0">E5*$D5</f>
        <v>10.443999999999999</v>
      </c>
      <c r="G5" s="33">
        <f t="shared" ref="G5:G13" si="1">H5/D5</f>
        <v>7.1428571428571432</v>
      </c>
      <c r="H5" s="103">
        <v>10</v>
      </c>
      <c r="I5" s="126">
        <v>8</v>
      </c>
      <c r="J5" s="95">
        <v>3.67</v>
      </c>
      <c r="K5" s="126">
        <f t="shared" ref="K5:K18" si="2">I5-J5</f>
        <v>4.33</v>
      </c>
      <c r="L5" s="279">
        <v>8.5</v>
      </c>
      <c r="M5" s="281">
        <f t="shared" ref="M5:M67" si="3">L5/D5</f>
        <v>6.0714285714285721</v>
      </c>
      <c r="P5" s="7"/>
      <c r="Q5" s="7"/>
      <c r="R5" s="7"/>
      <c r="T5" s="124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</row>
    <row r="6" spans="1:40" ht="15.75" customHeight="1" x14ac:dyDescent="0.25">
      <c r="B6" s="9" t="s">
        <v>3</v>
      </c>
      <c r="C6" s="9" t="s">
        <v>12</v>
      </c>
      <c r="D6" s="62">
        <v>0.72</v>
      </c>
      <c r="E6" s="31">
        <v>11.46</v>
      </c>
      <c r="F6" s="32">
        <f t="shared" si="0"/>
        <v>8.2512000000000008</v>
      </c>
      <c r="G6" s="33">
        <f t="shared" si="1"/>
        <v>8.7916666666666679</v>
      </c>
      <c r="H6" s="103">
        <v>6.33</v>
      </c>
      <c r="I6" s="126">
        <v>4.84</v>
      </c>
      <c r="J6" s="95">
        <v>13.19</v>
      </c>
      <c r="K6" s="126">
        <f t="shared" si="2"/>
        <v>-8.35</v>
      </c>
      <c r="L6" s="279">
        <v>5</v>
      </c>
      <c r="M6" s="281">
        <f t="shared" si="3"/>
        <v>6.9444444444444446</v>
      </c>
      <c r="P6" s="7"/>
      <c r="Q6" s="7"/>
      <c r="R6" s="7"/>
      <c r="T6" s="124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N6" s="11"/>
    </row>
    <row r="7" spans="1:40" ht="15.75" customHeight="1" x14ac:dyDescent="0.25">
      <c r="B7" s="9" t="s">
        <v>3</v>
      </c>
      <c r="C7" s="9" t="s">
        <v>14</v>
      </c>
      <c r="D7" s="62">
        <v>2.39</v>
      </c>
      <c r="E7" s="31">
        <v>6.76</v>
      </c>
      <c r="F7" s="32">
        <f t="shared" si="0"/>
        <v>16.156400000000001</v>
      </c>
      <c r="G7" s="33">
        <f t="shared" si="1"/>
        <v>4.6276150627615058</v>
      </c>
      <c r="H7" s="103">
        <v>11.06</v>
      </c>
      <c r="I7" s="126">
        <v>15.51</v>
      </c>
      <c r="J7" s="95">
        <v>15.96</v>
      </c>
      <c r="K7" s="126">
        <f t="shared" si="2"/>
        <v>-0.45000000000000107</v>
      </c>
      <c r="L7" s="279">
        <v>12</v>
      </c>
      <c r="M7" s="281">
        <f t="shared" si="3"/>
        <v>5.02092050209205</v>
      </c>
      <c r="P7" s="7"/>
      <c r="Q7" s="7"/>
      <c r="R7" s="7"/>
      <c r="T7" s="124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</row>
    <row r="8" spans="1:40" ht="15.75" customHeight="1" x14ac:dyDescent="0.25">
      <c r="B8" s="9" t="s">
        <v>3</v>
      </c>
      <c r="C8" s="9" t="s">
        <v>16</v>
      </c>
      <c r="D8" s="62">
        <v>2.35</v>
      </c>
      <c r="E8" s="31">
        <v>4.41</v>
      </c>
      <c r="F8" s="32">
        <f t="shared" si="0"/>
        <v>10.3635</v>
      </c>
      <c r="G8" s="33">
        <f t="shared" si="1"/>
        <v>4.7234042553191484</v>
      </c>
      <c r="H8" s="103">
        <v>11.1</v>
      </c>
      <c r="I8" s="126">
        <v>13.53</v>
      </c>
      <c r="J8" s="95">
        <v>14.05</v>
      </c>
      <c r="K8" s="126">
        <f t="shared" si="2"/>
        <v>-0.52000000000000135</v>
      </c>
      <c r="L8" s="279">
        <v>14</v>
      </c>
      <c r="M8" s="281">
        <f t="shared" si="3"/>
        <v>5.957446808510638</v>
      </c>
      <c r="P8" s="7"/>
      <c r="Q8" s="7"/>
      <c r="R8" s="7"/>
      <c r="T8" s="124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</row>
    <row r="9" spans="1:40" ht="15.75" customHeight="1" x14ac:dyDescent="0.25">
      <c r="B9" s="9" t="s">
        <v>3</v>
      </c>
      <c r="C9" s="9" t="s">
        <v>18</v>
      </c>
      <c r="D9" s="62">
        <v>1.8</v>
      </c>
      <c r="E9" s="31">
        <v>4.42</v>
      </c>
      <c r="F9" s="32">
        <f t="shared" si="0"/>
        <v>7.9560000000000004</v>
      </c>
      <c r="G9" s="33">
        <f t="shared" si="1"/>
        <v>4.6499999999999995</v>
      </c>
      <c r="H9" s="103">
        <v>8.3699999999999992</v>
      </c>
      <c r="I9" s="126">
        <v>11.45</v>
      </c>
      <c r="J9" s="95">
        <v>12.12</v>
      </c>
      <c r="K9" s="126">
        <f t="shared" si="2"/>
        <v>-0.66999999999999993</v>
      </c>
      <c r="L9" s="279">
        <v>10</v>
      </c>
      <c r="M9" s="281">
        <f t="shared" si="3"/>
        <v>5.5555555555555554</v>
      </c>
      <c r="P9" s="7"/>
      <c r="Q9" s="7"/>
      <c r="R9" s="7"/>
      <c r="T9" s="124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</row>
    <row r="10" spans="1:40" ht="15.75" customHeight="1" x14ac:dyDescent="0.25">
      <c r="B10" s="9" t="s">
        <v>3</v>
      </c>
      <c r="C10" s="9" t="s">
        <v>20</v>
      </c>
      <c r="D10" s="62">
        <v>1.92</v>
      </c>
      <c r="E10" s="31">
        <v>4.45</v>
      </c>
      <c r="F10" s="32">
        <f t="shared" si="0"/>
        <v>8.5440000000000005</v>
      </c>
      <c r="G10" s="33">
        <f t="shared" si="1"/>
        <v>5.25</v>
      </c>
      <c r="H10" s="103">
        <v>10.08</v>
      </c>
      <c r="I10" s="126">
        <v>10.74</v>
      </c>
      <c r="J10" s="95">
        <v>13.61</v>
      </c>
      <c r="K10" s="126">
        <f t="shared" si="2"/>
        <v>-2.8699999999999992</v>
      </c>
      <c r="L10" s="279">
        <v>11</v>
      </c>
      <c r="M10" s="281">
        <f t="shared" si="3"/>
        <v>5.729166666666667</v>
      </c>
      <c r="P10" s="7"/>
      <c r="Q10" s="7"/>
      <c r="R10" s="7"/>
      <c r="T10" s="124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</row>
    <row r="11" spans="1:40" ht="15.75" customHeight="1" x14ac:dyDescent="0.25">
      <c r="B11" s="9" t="s">
        <v>3</v>
      </c>
      <c r="C11" s="9" t="s">
        <v>22</v>
      </c>
      <c r="D11" s="62">
        <v>1.43</v>
      </c>
      <c r="E11" s="31">
        <v>3.51</v>
      </c>
      <c r="F11" s="32">
        <f t="shared" si="0"/>
        <v>5.0192999999999994</v>
      </c>
      <c r="G11" s="33">
        <f t="shared" si="1"/>
        <v>5.5174825174825175</v>
      </c>
      <c r="H11" s="103">
        <v>7.89</v>
      </c>
      <c r="I11" s="126">
        <v>9.11</v>
      </c>
      <c r="J11" s="95">
        <v>9.8000000000000007</v>
      </c>
      <c r="K11" s="126">
        <f t="shared" si="2"/>
        <v>-0.69000000000000128</v>
      </c>
      <c r="L11" s="279">
        <v>8</v>
      </c>
      <c r="M11" s="281">
        <f t="shared" si="3"/>
        <v>5.594405594405595</v>
      </c>
      <c r="P11" s="7"/>
      <c r="Q11" s="7"/>
      <c r="R11" s="7"/>
      <c r="T11" s="124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</row>
    <row r="12" spans="1:40" ht="15.75" customHeight="1" x14ac:dyDescent="0.25">
      <c r="B12" s="9" t="s">
        <v>3</v>
      </c>
      <c r="C12" s="9" t="s">
        <v>24</v>
      </c>
      <c r="D12" s="62">
        <v>1.03</v>
      </c>
      <c r="E12" s="31">
        <v>6.36</v>
      </c>
      <c r="F12" s="32">
        <f t="shared" si="0"/>
        <v>6.5508000000000006</v>
      </c>
      <c r="G12" s="33">
        <f t="shared" si="1"/>
        <v>3.1844660194174756</v>
      </c>
      <c r="H12" s="103">
        <v>3.28</v>
      </c>
      <c r="I12" s="126">
        <v>5</v>
      </c>
      <c r="J12" s="95">
        <v>3.91</v>
      </c>
      <c r="K12" s="126">
        <f t="shared" si="2"/>
        <v>1.0899999999999999</v>
      </c>
      <c r="L12" s="279">
        <v>5</v>
      </c>
      <c r="M12" s="281">
        <f t="shared" si="3"/>
        <v>4.8543689320388346</v>
      </c>
      <c r="P12" s="7"/>
      <c r="Q12" s="7"/>
      <c r="R12" s="7"/>
      <c r="T12" s="124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</row>
    <row r="13" spans="1:40" ht="15.75" customHeight="1" x14ac:dyDescent="0.25">
      <c r="B13" s="35" t="s">
        <v>84</v>
      </c>
      <c r="C13" s="9" t="s">
        <v>85</v>
      </c>
      <c r="D13" s="62">
        <v>0.85</v>
      </c>
      <c r="E13" s="31"/>
      <c r="F13" s="32"/>
      <c r="G13" s="34">
        <f t="shared" si="1"/>
        <v>0</v>
      </c>
      <c r="H13" s="34">
        <v>0</v>
      </c>
      <c r="I13" s="112">
        <v>0</v>
      </c>
      <c r="J13" s="95">
        <v>2.0299999999999998</v>
      </c>
      <c r="K13" s="126">
        <f t="shared" si="2"/>
        <v>-2.0299999999999998</v>
      </c>
      <c r="L13" s="279">
        <v>3</v>
      </c>
      <c r="M13" s="281">
        <f t="shared" si="3"/>
        <v>3.5294117647058822</v>
      </c>
      <c r="P13" s="7"/>
      <c r="Q13" s="7"/>
      <c r="R13" s="7"/>
      <c r="T13" s="124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</row>
    <row r="14" spans="1:40" ht="15.75" customHeight="1" x14ac:dyDescent="0.25">
      <c r="B14" s="35" t="s">
        <v>7</v>
      </c>
      <c r="C14" s="72" t="s">
        <v>110</v>
      </c>
      <c r="D14" s="127">
        <v>2</v>
      </c>
      <c r="E14" s="31"/>
      <c r="F14" s="32"/>
      <c r="G14" s="31"/>
      <c r="H14" s="103"/>
      <c r="I14" s="112">
        <v>0</v>
      </c>
      <c r="J14" s="95">
        <v>10.56</v>
      </c>
      <c r="K14" s="126">
        <f t="shared" si="2"/>
        <v>-10.56</v>
      </c>
      <c r="L14" s="279">
        <v>10</v>
      </c>
      <c r="M14" s="281">
        <f t="shared" si="3"/>
        <v>5</v>
      </c>
      <c r="P14" s="7"/>
      <c r="Q14" s="7"/>
      <c r="R14" s="7"/>
      <c r="T14" s="124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</row>
    <row r="15" spans="1:40" ht="15.75" customHeight="1" x14ac:dyDescent="0.25">
      <c r="B15" s="35" t="s">
        <v>7</v>
      </c>
      <c r="C15" s="72" t="s">
        <v>111</v>
      </c>
      <c r="D15" s="127">
        <v>1.5</v>
      </c>
      <c r="E15" s="31"/>
      <c r="F15" s="32"/>
      <c r="G15" s="31"/>
      <c r="H15" s="103"/>
      <c r="I15" s="112">
        <v>0</v>
      </c>
      <c r="J15" s="95">
        <v>7.54</v>
      </c>
      <c r="K15" s="126">
        <f t="shared" si="2"/>
        <v>-7.54</v>
      </c>
      <c r="L15" s="279">
        <v>7.5</v>
      </c>
      <c r="M15" s="281">
        <f t="shared" si="3"/>
        <v>5</v>
      </c>
      <c r="O15" s="13"/>
      <c r="P15" s="27"/>
      <c r="Q15" s="28"/>
      <c r="R15" s="26"/>
      <c r="T15" s="35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</row>
    <row r="16" spans="1:40" ht="15.75" customHeight="1" x14ac:dyDescent="0.25">
      <c r="B16" s="35" t="s">
        <v>7</v>
      </c>
      <c r="C16" s="72" t="s">
        <v>100</v>
      </c>
      <c r="D16" s="127">
        <v>1.25</v>
      </c>
      <c r="E16" s="31"/>
      <c r="F16" s="32"/>
      <c r="G16" s="31"/>
      <c r="H16" s="103"/>
      <c r="I16" s="112">
        <v>0</v>
      </c>
      <c r="J16" s="95">
        <v>5.22</v>
      </c>
      <c r="K16" s="126">
        <f t="shared" si="2"/>
        <v>-5.22</v>
      </c>
      <c r="L16" s="279">
        <v>5</v>
      </c>
      <c r="M16" s="281">
        <f t="shared" si="3"/>
        <v>4</v>
      </c>
      <c r="O16" s="43"/>
      <c r="P16" s="77"/>
      <c r="Q16" s="73"/>
      <c r="R16" s="75"/>
      <c r="T16" s="35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</row>
    <row r="17" spans="1:38" ht="15.75" customHeight="1" x14ac:dyDescent="0.25">
      <c r="B17" s="35" t="s">
        <v>7</v>
      </c>
      <c r="C17" s="94" t="s">
        <v>87</v>
      </c>
      <c r="D17" s="127">
        <v>10.5</v>
      </c>
      <c r="E17" s="31"/>
      <c r="F17" s="32"/>
      <c r="G17" s="31"/>
      <c r="H17" s="104"/>
      <c r="I17" s="113">
        <v>0</v>
      </c>
      <c r="J17" s="97">
        <v>56.35</v>
      </c>
      <c r="K17" s="126">
        <f t="shared" si="2"/>
        <v>-56.35</v>
      </c>
      <c r="L17" s="279">
        <v>56.35</v>
      </c>
      <c r="M17" s="281">
        <f t="shared" si="3"/>
        <v>5.3666666666666671</v>
      </c>
      <c r="P17" s="6"/>
      <c r="Q17" s="6"/>
      <c r="R17" s="74"/>
      <c r="T17" s="79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</row>
    <row r="18" spans="1:38" ht="15.75" customHeight="1" x14ac:dyDescent="0.25">
      <c r="B18" s="137" t="s">
        <v>7</v>
      </c>
      <c r="C18" s="138" t="s">
        <v>114</v>
      </c>
      <c r="D18" s="139">
        <v>19.21</v>
      </c>
      <c r="E18" s="31"/>
      <c r="F18" s="32"/>
      <c r="G18" s="31"/>
      <c r="H18" s="104"/>
      <c r="I18" s="113">
        <v>101.3</v>
      </c>
      <c r="J18" s="97">
        <v>0</v>
      </c>
      <c r="K18" s="126">
        <f t="shared" si="2"/>
        <v>101.3</v>
      </c>
      <c r="L18" s="279">
        <v>0</v>
      </c>
      <c r="M18" s="281">
        <f t="shared" si="3"/>
        <v>0</v>
      </c>
      <c r="P18" s="6"/>
      <c r="Q18" s="6"/>
      <c r="R18" s="74"/>
      <c r="T18" s="79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</row>
    <row r="19" spans="1:38" ht="15.75" customHeight="1" x14ac:dyDescent="0.25">
      <c r="B19" s="12"/>
      <c r="C19" s="151" t="s">
        <v>115</v>
      </c>
      <c r="D19" s="152">
        <f>SUM(D4:D12)</f>
        <v>13.79</v>
      </c>
      <c r="E19" s="172"/>
      <c r="F19" s="173"/>
      <c r="G19" s="172"/>
      <c r="H19" s="174"/>
      <c r="I19" s="175">
        <f>SUM(I4:I12)</f>
        <v>79.75</v>
      </c>
      <c r="J19" s="176">
        <f>SUM(J4:J12)</f>
        <v>88.939999999999984</v>
      </c>
      <c r="K19" s="175">
        <f>I19-J19</f>
        <v>-9.1899999999999835</v>
      </c>
      <c r="L19" s="279">
        <f>SUM(L4:L12)</f>
        <v>76</v>
      </c>
      <c r="M19" s="281">
        <f t="shared" si="3"/>
        <v>5.5112400290065269</v>
      </c>
      <c r="O19" s="71"/>
      <c r="P19" s="6"/>
      <c r="Q19" s="6"/>
      <c r="R19" s="74"/>
      <c r="T19" s="124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</row>
    <row r="20" spans="1:38" ht="15.75" customHeight="1" x14ac:dyDescent="0.25">
      <c r="B20" s="12"/>
      <c r="C20" s="92" t="s">
        <v>119</v>
      </c>
      <c r="D20" s="148">
        <v>0.85</v>
      </c>
      <c r="E20" s="166"/>
      <c r="F20" s="173"/>
      <c r="G20" s="166"/>
      <c r="H20" s="174"/>
      <c r="I20" s="177">
        <v>0</v>
      </c>
      <c r="J20" s="149">
        <v>2.0299999999999998</v>
      </c>
      <c r="K20" s="177">
        <f>I20-J20</f>
        <v>-2.0299999999999998</v>
      </c>
      <c r="L20" s="279">
        <v>3</v>
      </c>
      <c r="M20" s="281">
        <f t="shared" si="3"/>
        <v>3.5294117647058822</v>
      </c>
      <c r="P20" s="7"/>
      <c r="Q20" s="7"/>
      <c r="R20" s="7"/>
      <c r="T20" s="124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</row>
    <row r="21" spans="1:38" ht="15.75" customHeight="1" thickBot="1" x14ac:dyDescent="0.3">
      <c r="C21" s="150" t="s">
        <v>117</v>
      </c>
      <c r="D21" s="178">
        <f>SUM(D14:D17)</f>
        <v>15.25</v>
      </c>
      <c r="E21" s="179"/>
      <c r="F21" s="180"/>
      <c r="G21" s="179"/>
      <c r="H21" s="181"/>
      <c r="I21" s="182">
        <v>101.3</v>
      </c>
      <c r="J21" s="183">
        <f>SUM(J14:J17)</f>
        <v>79.67</v>
      </c>
      <c r="K21" s="182">
        <f>I21-J21</f>
        <v>21.629999999999995</v>
      </c>
      <c r="L21" s="279">
        <f>SUM(L14:L17)</f>
        <v>78.849999999999994</v>
      </c>
      <c r="M21" s="281">
        <f t="shared" si="3"/>
        <v>5.1704918032786882</v>
      </c>
      <c r="P21" s="7"/>
      <c r="Q21" s="7"/>
      <c r="R21" s="7"/>
      <c r="T21" s="124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</row>
    <row r="22" spans="1:38" ht="15.75" customHeight="1" thickTop="1" x14ac:dyDescent="0.25">
      <c r="C22" s="146" t="s">
        <v>118</v>
      </c>
      <c r="D22" s="149">
        <f>SUM(D4:D17)</f>
        <v>29.89</v>
      </c>
      <c r="E22" s="149"/>
      <c r="F22" s="149"/>
      <c r="G22" s="149"/>
      <c r="H22" s="149"/>
      <c r="I22" s="177">
        <f>SUM(I4:I12,I18)</f>
        <v>181.05</v>
      </c>
      <c r="J22" s="149">
        <f>SUM(J19:J21)</f>
        <v>170.64</v>
      </c>
      <c r="K22" s="177">
        <f>SUM(K19:K21)</f>
        <v>10.410000000000013</v>
      </c>
      <c r="L22" s="279">
        <f>SUM(L19:L21)</f>
        <v>157.85</v>
      </c>
      <c r="M22" s="281">
        <f t="shared" si="3"/>
        <v>5.2810304449648706</v>
      </c>
      <c r="P22" s="7"/>
      <c r="Q22" s="7"/>
      <c r="R22" s="7"/>
      <c r="T22" s="124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</row>
    <row r="23" spans="1:38" s="15" customFormat="1" ht="15.75" customHeight="1" x14ac:dyDescent="0.25">
      <c r="A23" s="3" t="s">
        <v>13</v>
      </c>
      <c r="D23" s="3"/>
      <c r="E23" s="105"/>
      <c r="F23" s="105"/>
      <c r="G23" s="105"/>
      <c r="H23" s="105"/>
      <c r="I23" s="99"/>
      <c r="J23" s="83"/>
      <c r="K23" s="118"/>
      <c r="L23" s="279"/>
      <c r="M23" s="281"/>
      <c r="P23" s="125"/>
      <c r="Q23" s="125"/>
      <c r="R23" s="125"/>
      <c r="T23" s="124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</row>
    <row r="24" spans="1:38" ht="15.75" customHeight="1" x14ac:dyDescent="0.25">
      <c r="B24" s="9" t="s">
        <v>3</v>
      </c>
      <c r="C24" s="9" t="s">
        <v>29</v>
      </c>
      <c r="D24" s="93">
        <v>4.32</v>
      </c>
      <c r="E24" s="135">
        <f>F24/D24</f>
        <v>5.9490740740740735</v>
      </c>
      <c r="F24" s="189">
        <v>25.7</v>
      </c>
      <c r="G24" s="135">
        <f>H24/D24</f>
        <v>9.129629629629628</v>
      </c>
      <c r="H24" s="190">
        <v>39.44</v>
      </c>
      <c r="I24" s="126">
        <v>23.12</v>
      </c>
      <c r="J24" s="97">
        <v>36.31</v>
      </c>
      <c r="K24" s="126">
        <f>I24-J24</f>
        <v>-13.190000000000001</v>
      </c>
      <c r="L24" s="279">
        <v>30</v>
      </c>
      <c r="M24" s="281">
        <f t="shared" si="3"/>
        <v>6.9444444444444438</v>
      </c>
      <c r="N24" s="69" t="s">
        <v>128</v>
      </c>
      <c r="P24" s="7"/>
      <c r="Q24" s="7"/>
      <c r="R24" s="7"/>
      <c r="T24" s="124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</row>
    <row r="25" spans="1:38" ht="15.75" customHeight="1" x14ac:dyDescent="0.25">
      <c r="B25" s="9" t="s">
        <v>3</v>
      </c>
      <c r="C25" s="9" t="s">
        <v>31</v>
      </c>
      <c r="D25" s="93">
        <v>1.92</v>
      </c>
      <c r="E25" s="135">
        <f>F25/D25</f>
        <v>6.354166666666667</v>
      </c>
      <c r="F25" s="189">
        <v>12.2</v>
      </c>
      <c r="G25" s="135">
        <f>H25/D25</f>
        <v>8.984375</v>
      </c>
      <c r="H25" s="190">
        <v>17.25</v>
      </c>
      <c r="I25" s="126">
        <v>8.64</v>
      </c>
      <c r="J25" s="97">
        <v>17.260000000000002</v>
      </c>
      <c r="K25" s="126">
        <f t="shared" ref="K25:K28" si="4">I25-J25</f>
        <v>-8.620000000000001</v>
      </c>
      <c r="L25" s="279">
        <v>13.5</v>
      </c>
      <c r="M25" s="281">
        <f t="shared" si="3"/>
        <v>7.03125</v>
      </c>
      <c r="P25" s="7"/>
      <c r="Q25" s="7"/>
      <c r="R25" s="7"/>
      <c r="T25" s="124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</row>
    <row r="26" spans="1:38" ht="15.75" customHeight="1" x14ac:dyDescent="0.25">
      <c r="B26" s="9" t="s">
        <v>86</v>
      </c>
      <c r="C26" s="9" t="s">
        <v>32</v>
      </c>
      <c r="D26" s="39">
        <v>3.29</v>
      </c>
      <c r="E26" s="135">
        <f>F26/D26</f>
        <v>5.9270516717325226</v>
      </c>
      <c r="F26" s="189">
        <v>19.5</v>
      </c>
      <c r="G26" s="135">
        <f>H26/D26</f>
        <v>12.398176291793312</v>
      </c>
      <c r="H26" s="190">
        <v>40.79</v>
      </c>
      <c r="I26" s="126">
        <v>22.68</v>
      </c>
      <c r="J26" s="95">
        <v>38.07</v>
      </c>
      <c r="K26" s="126">
        <f t="shared" si="4"/>
        <v>-15.39</v>
      </c>
      <c r="L26" s="279">
        <v>25</v>
      </c>
      <c r="M26" s="281">
        <f t="shared" si="3"/>
        <v>7.598784194528875</v>
      </c>
      <c r="P26" s="7"/>
      <c r="Q26" s="7"/>
      <c r="R26" s="7"/>
      <c r="T26" s="124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</row>
    <row r="27" spans="1:38" ht="15.75" customHeight="1" x14ac:dyDescent="0.25">
      <c r="B27" s="9" t="s">
        <v>84</v>
      </c>
      <c r="C27" s="9" t="s">
        <v>88</v>
      </c>
      <c r="D27" s="39">
        <v>4.63</v>
      </c>
      <c r="E27" s="135"/>
      <c r="F27" s="189"/>
      <c r="G27" s="221">
        <v>0</v>
      </c>
      <c r="H27" s="221">
        <f t="shared" ref="H27" si="5">G27*$D27</f>
        <v>0</v>
      </c>
      <c r="I27" s="128">
        <v>0</v>
      </c>
      <c r="J27" s="95">
        <v>13.82</v>
      </c>
      <c r="K27" s="126">
        <f t="shared" si="4"/>
        <v>-13.82</v>
      </c>
      <c r="L27" s="279">
        <v>18</v>
      </c>
      <c r="M27" s="281">
        <f t="shared" si="3"/>
        <v>3.8876889848812097</v>
      </c>
      <c r="P27" s="7"/>
      <c r="Q27" s="7"/>
      <c r="R27" s="7"/>
      <c r="T27" s="79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</row>
    <row r="28" spans="1:38" ht="15.75" customHeight="1" x14ac:dyDescent="0.25">
      <c r="B28" s="12"/>
      <c r="C28" s="151" t="s">
        <v>115</v>
      </c>
      <c r="D28" s="159">
        <f>SUM(D24:D25)</f>
        <v>6.24</v>
      </c>
      <c r="E28" s="159"/>
      <c r="F28" s="160"/>
      <c r="G28" s="159"/>
      <c r="H28" s="160"/>
      <c r="I28" s="161">
        <f>SUM(I24:I25)</f>
        <v>31.76</v>
      </c>
      <c r="J28" s="162">
        <f>SUM(J24:J25)</f>
        <v>53.570000000000007</v>
      </c>
      <c r="K28" s="161">
        <f t="shared" si="4"/>
        <v>-21.810000000000006</v>
      </c>
      <c r="L28" s="279">
        <f>SUM(L24:L25)</f>
        <v>43.5</v>
      </c>
      <c r="M28" s="281">
        <f t="shared" si="3"/>
        <v>6.9711538461538458</v>
      </c>
      <c r="O28" s="13"/>
      <c r="P28" s="27"/>
      <c r="Q28" s="28"/>
      <c r="R28" s="26"/>
      <c r="T28" s="79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</row>
    <row r="29" spans="1:38" ht="15.75" customHeight="1" x14ac:dyDescent="0.25">
      <c r="B29" s="12"/>
      <c r="C29" s="71" t="s">
        <v>120</v>
      </c>
      <c r="D29" s="134">
        <f>SUM(D26:D27)</f>
        <v>7.92</v>
      </c>
      <c r="E29" s="134"/>
      <c r="F29" s="164"/>
      <c r="G29" s="134"/>
      <c r="H29" s="164"/>
      <c r="I29" s="165">
        <f>SUM(I26)</f>
        <v>22.68</v>
      </c>
      <c r="J29" s="166">
        <f>SUM(J26)</f>
        <v>38.07</v>
      </c>
      <c r="K29" s="171">
        <f>I29-J29</f>
        <v>-15.39</v>
      </c>
      <c r="L29" s="279">
        <f>SUM(L26)</f>
        <v>25</v>
      </c>
      <c r="M29" s="281">
        <f t="shared" si="3"/>
        <v>3.1565656565656566</v>
      </c>
      <c r="P29" s="6"/>
      <c r="Q29" s="6"/>
      <c r="R29" s="74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</row>
    <row r="30" spans="1:38" ht="15.75" customHeight="1" thickBot="1" x14ac:dyDescent="0.3">
      <c r="C30" s="156" t="s">
        <v>117</v>
      </c>
      <c r="D30" s="167">
        <v>0</v>
      </c>
      <c r="E30" s="167"/>
      <c r="F30" s="168"/>
      <c r="G30" s="167"/>
      <c r="H30" s="168"/>
      <c r="I30" s="169">
        <v>0</v>
      </c>
      <c r="J30" s="170">
        <v>13.82</v>
      </c>
      <c r="K30" s="169">
        <f t="shared" ref="K30" si="6">I30-J30</f>
        <v>-13.82</v>
      </c>
      <c r="L30" s="279">
        <v>13.82</v>
      </c>
      <c r="M30" s="281"/>
      <c r="O30" s="13"/>
      <c r="P30" s="27"/>
      <c r="Q30" s="27"/>
      <c r="R30" s="29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</row>
    <row r="31" spans="1:38" ht="15.75" customHeight="1" thickTop="1" x14ac:dyDescent="0.25">
      <c r="C31" s="79" t="s">
        <v>118</v>
      </c>
      <c r="D31" s="134">
        <f>SUM(D28:D29)</f>
        <v>14.16</v>
      </c>
      <c r="E31" s="133"/>
      <c r="F31" s="133"/>
      <c r="G31" s="133"/>
      <c r="H31" s="133"/>
      <c r="I31" s="171">
        <f>SUM(I28:I29)</f>
        <v>54.44</v>
      </c>
      <c r="J31" s="158">
        <f>SUM(J28:J30)</f>
        <v>105.46000000000001</v>
      </c>
      <c r="K31" s="171">
        <f>I31-J31</f>
        <v>-51.02000000000001</v>
      </c>
      <c r="L31" s="279">
        <f>SUM(L28:L30)</f>
        <v>82.32</v>
      </c>
      <c r="M31" s="281">
        <f t="shared" si="3"/>
        <v>5.8135593220338979</v>
      </c>
      <c r="U31" s="11"/>
    </row>
    <row r="32" spans="1:38" s="15" customFormat="1" ht="15.75" customHeight="1" x14ac:dyDescent="0.25">
      <c r="A32" s="3" t="s">
        <v>15</v>
      </c>
      <c r="C32" s="3"/>
      <c r="D32" s="37"/>
      <c r="E32" s="105"/>
      <c r="F32" s="16"/>
      <c r="G32" s="105"/>
      <c r="H32" s="105"/>
      <c r="I32" s="99"/>
      <c r="J32" s="83"/>
      <c r="K32" s="118"/>
      <c r="L32" s="279"/>
      <c r="M32" s="281"/>
    </row>
    <row r="33" spans="1:14" ht="15.75" customHeight="1" x14ac:dyDescent="0.25">
      <c r="B33" s="9" t="s">
        <v>3</v>
      </c>
      <c r="C33" s="9" t="s">
        <v>36</v>
      </c>
      <c r="D33" s="39">
        <v>4.04</v>
      </c>
      <c r="E33" s="135">
        <f>F33/D33</f>
        <v>5.2722772277227721</v>
      </c>
      <c r="F33" s="189">
        <v>21.3</v>
      </c>
      <c r="G33" s="135">
        <f>H33/D33</f>
        <v>5.6534653465346532</v>
      </c>
      <c r="H33" s="190">
        <v>22.84</v>
      </c>
      <c r="I33" s="126">
        <v>23.62</v>
      </c>
      <c r="J33" s="95">
        <v>20.239999999999998</v>
      </c>
      <c r="K33" s="126">
        <f>I33-J33</f>
        <v>3.3800000000000026</v>
      </c>
      <c r="L33" s="279">
        <v>20</v>
      </c>
      <c r="M33" s="281">
        <f t="shared" si="3"/>
        <v>4.9504950495049505</v>
      </c>
      <c r="N33" s="69" t="s">
        <v>129</v>
      </c>
    </row>
    <row r="34" spans="1:14" ht="15.75" customHeight="1" x14ac:dyDescent="0.25">
      <c r="B34" s="9" t="s">
        <v>86</v>
      </c>
      <c r="C34" s="9" t="s">
        <v>37</v>
      </c>
      <c r="D34" s="39">
        <v>5.04</v>
      </c>
      <c r="E34" s="135">
        <f>F34/D34</f>
        <v>5.2063492063492056</v>
      </c>
      <c r="F34" s="189">
        <v>26.24</v>
      </c>
      <c r="G34" s="135">
        <f t="shared" ref="G34:G35" si="7">H34/D34</f>
        <v>7.5634920634920633</v>
      </c>
      <c r="H34" s="190">
        <v>38.119999999999997</v>
      </c>
      <c r="I34" s="126">
        <v>27.94</v>
      </c>
      <c r="J34" s="95">
        <v>29.95</v>
      </c>
      <c r="K34" s="126">
        <f t="shared" ref="K34:K39" si="8">I34-J34</f>
        <v>-2.009999999999998</v>
      </c>
      <c r="L34" s="279">
        <v>25</v>
      </c>
      <c r="M34" s="281">
        <f t="shared" si="3"/>
        <v>4.9603174603174605</v>
      </c>
    </row>
    <row r="35" spans="1:14" ht="15.75" customHeight="1" x14ac:dyDescent="0.25">
      <c r="B35" s="9" t="s">
        <v>6</v>
      </c>
      <c r="C35" s="9" t="s">
        <v>38</v>
      </c>
      <c r="D35" s="39">
        <v>1.65</v>
      </c>
      <c r="E35" s="135">
        <f>F35/D35</f>
        <v>8.0121212121212135</v>
      </c>
      <c r="F35" s="189">
        <v>13.22</v>
      </c>
      <c r="G35" s="135">
        <f t="shared" si="7"/>
        <v>8.2060606060606052</v>
      </c>
      <c r="H35" s="190">
        <v>13.54</v>
      </c>
      <c r="I35" s="126">
        <v>14.07</v>
      </c>
      <c r="J35" s="95">
        <v>12.07</v>
      </c>
      <c r="K35" s="126">
        <f t="shared" si="8"/>
        <v>2</v>
      </c>
      <c r="L35" s="279">
        <v>10</v>
      </c>
      <c r="M35" s="281">
        <f t="shared" si="3"/>
        <v>6.0606060606060606</v>
      </c>
    </row>
    <row r="36" spans="1:14" ht="15.75" customHeight="1" x14ac:dyDescent="0.25">
      <c r="B36" s="12"/>
      <c r="C36" s="151" t="s">
        <v>115</v>
      </c>
      <c r="D36" s="163">
        <f>SUM(D33,D35)</f>
        <v>5.6899999999999995</v>
      </c>
      <c r="E36" s="163"/>
      <c r="F36" s="163"/>
      <c r="G36" s="163"/>
      <c r="H36" s="163"/>
      <c r="I36" s="161">
        <f>SUM(I33,I35)</f>
        <v>37.69</v>
      </c>
      <c r="J36" s="222">
        <f>SUM(J33,J35)</f>
        <v>32.31</v>
      </c>
      <c r="K36" s="161">
        <f t="shared" si="8"/>
        <v>5.3799999999999955</v>
      </c>
      <c r="L36" s="279">
        <f>SUM(L33,L35)</f>
        <v>30</v>
      </c>
      <c r="M36" s="281">
        <f t="shared" si="3"/>
        <v>5.272407732864675</v>
      </c>
    </row>
    <row r="37" spans="1:14" ht="15.75" customHeight="1" x14ac:dyDescent="0.25">
      <c r="B37" s="12"/>
      <c r="C37" s="71" t="s">
        <v>119</v>
      </c>
      <c r="D37" s="158">
        <v>5.04</v>
      </c>
      <c r="E37" s="158"/>
      <c r="F37" s="213"/>
      <c r="G37" s="158"/>
      <c r="H37" s="213"/>
      <c r="I37" s="165">
        <v>27.94</v>
      </c>
      <c r="J37" s="149">
        <v>29.95</v>
      </c>
      <c r="K37" s="171">
        <f t="shared" si="8"/>
        <v>-2.009999999999998</v>
      </c>
      <c r="L37" s="279">
        <v>25</v>
      </c>
      <c r="M37" s="281">
        <f t="shared" si="3"/>
        <v>4.9603174603174605</v>
      </c>
    </row>
    <row r="38" spans="1:14" ht="15.75" customHeight="1" thickBot="1" x14ac:dyDescent="0.3">
      <c r="C38" s="156" t="s">
        <v>117</v>
      </c>
      <c r="D38" s="170" t="s">
        <v>109</v>
      </c>
      <c r="E38" s="170"/>
      <c r="F38" s="170"/>
      <c r="G38" s="170"/>
      <c r="H38" s="170"/>
      <c r="I38" s="169">
        <v>0</v>
      </c>
      <c r="J38" s="170">
        <v>0</v>
      </c>
      <c r="K38" s="169">
        <f t="shared" si="8"/>
        <v>0</v>
      </c>
      <c r="L38" s="279">
        <v>0</v>
      </c>
      <c r="M38" s="281"/>
    </row>
    <row r="39" spans="1:14" ht="15.75" customHeight="1" thickTop="1" x14ac:dyDescent="0.25">
      <c r="C39" s="79" t="s">
        <v>118</v>
      </c>
      <c r="D39" s="134">
        <f>SUM(D36,D37)</f>
        <v>10.73</v>
      </c>
      <c r="E39" s="133"/>
      <c r="F39" s="133"/>
      <c r="G39" s="133"/>
      <c r="H39" s="133"/>
      <c r="I39" s="171">
        <f>SUM(I36:I37)</f>
        <v>65.63</v>
      </c>
      <c r="J39" s="158">
        <f>SUM(J36:J37)</f>
        <v>62.260000000000005</v>
      </c>
      <c r="K39" s="171">
        <f t="shared" si="8"/>
        <v>3.3699999999999903</v>
      </c>
      <c r="L39" s="279">
        <f>SUM(L36:L37)</f>
        <v>55</v>
      </c>
      <c r="M39" s="281">
        <f t="shared" si="3"/>
        <v>5.1258154706430563</v>
      </c>
    </row>
    <row r="40" spans="1:14" s="15" customFormat="1" ht="15.75" customHeight="1" x14ac:dyDescent="0.25">
      <c r="A40" s="3" t="s">
        <v>17</v>
      </c>
      <c r="C40" s="3"/>
      <c r="D40" s="37"/>
      <c r="E40" s="105"/>
      <c r="F40" s="16"/>
      <c r="G40" s="105"/>
      <c r="H40" s="105"/>
      <c r="I40" s="99"/>
      <c r="J40" s="83"/>
      <c r="K40" s="118"/>
      <c r="L40" s="279"/>
      <c r="M40" s="281"/>
    </row>
    <row r="41" spans="1:14" ht="15.75" customHeight="1" x14ac:dyDescent="0.25">
      <c r="B41" s="9" t="s">
        <v>3</v>
      </c>
      <c r="C41" s="9" t="s">
        <v>39</v>
      </c>
      <c r="D41" s="62">
        <v>1.89</v>
      </c>
      <c r="E41" s="33">
        <f t="shared" ref="E41:E47" si="9">F41/D41</f>
        <v>3.8571428571428572</v>
      </c>
      <c r="F41" s="32">
        <v>7.29</v>
      </c>
      <c r="G41" s="33">
        <f>H41/D41</f>
        <v>3.412698412698413</v>
      </c>
      <c r="H41" s="103">
        <v>6.45</v>
      </c>
      <c r="I41" s="126">
        <v>8.3699999999999992</v>
      </c>
      <c r="J41" s="95">
        <v>9.23</v>
      </c>
      <c r="K41" s="126">
        <f>I41-J41</f>
        <v>-0.86000000000000121</v>
      </c>
      <c r="L41" s="279">
        <v>9</v>
      </c>
      <c r="M41" s="281">
        <f t="shared" si="3"/>
        <v>4.7619047619047619</v>
      </c>
      <c r="N41" s="69" t="s">
        <v>130</v>
      </c>
    </row>
    <row r="42" spans="1:14" ht="15.75" customHeight="1" x14ac:dyDescent="0.25">
      <c r="B42" s="9" t="s">
        <v>86</v>
      </c>
      <c r="C42" s="9" t="s">
        <v>31</v>
      </c>
      <c r="D42" s="62">
        <v>0.57999999999999996</v>
      </c>
      <c r="E42" s="33">
        <f t="shared" si="9"/>
        <v>1.1379310344827587</v>
      </c>
      <c r="F42" s="32">
        <v>0.66</v>
      </c>
      <c r="G42" s="33">
        <f t="shared" ref="G42:G47" si="10">H42/D42</f>
        <v>5.6551724137931032</v>
      </c>
      <c r="H42" s="103">
        <v>3.28</v>
      </c>
      <c r="I42" s="126">
        <v>3.04</v>
      </c>
      <c r="J42" s="95">
        <v>2.68</v>
      </c>
      <c r="K42" s="126">
        <f t="shared" ref="K42:K57" si="11">I42-J42</f>
        <v>0.35999999999999988</v>
      </c>
      <c r="L42" s="279">
        <v>3</v>
      </c>
      <c r="M42" s="281">
        <f t="shared" si="3"/>
        <v>5.1724137931034484</v>
      </c>
    </row>
    <row r="43" spans="1:14" ht="15.75" customHeight="1" x14ac:dyDescent="0.25">
      <c r="B43" s="72" t="s">
        <v>4</v>
      </c>
      <c r="C43" s="9" t="s">
        <v>40</v>
      </c>
      <c r="D43" s="62">
        <v>9.11</v>
      </c>
      <c r="E43" s="33">
        <f t="shared" si="9"/>
        <v>1.7069154774972559</v>
      </c>
      <c r="F43" s="32">
        <v>15.55</v>
      </c>
      <c r="G43" s="33">
        <f t="shared" si="10"/>
        <v>1.96377607025247</v>
      </c>
      <c r="H43" s="103">
        <v>17.89</v>
      </c>
      <c r="I43" s="126">
        <v>21.02</v>
      </c>
      <c r="J43" s="95">
        <v>31.83</v>
      </c>
      <c r="K43" s="126">
        <f t="shared" si="11"/>
        <v>-10.809999999999999</v>
      </c>
      <c r="L43" s="279">
        <v>25</v>
      </c>
      <c r="M43" s="281">
        <f t="shared" si="3"/>
        <v>2.7442371020856204</v>
      </c>
    </row>
    <row r="44" spans="1:14" ht="15.75" customHeight="1" x14ac:dyDescent="0.25">
      <c r="B44" s="9" t="s">
        <v>89</v>
      </c>
      <c r="C44" s="9" t="s">
        <v>90</v>
      </c>
      <c r="D44" s="62">
        <v>7.34</v>
      </c>
      <c r="E44" s="33">
        <f t="shared" si="9"/>
        <v>4.4468664850136239</v>
      </c>
      <c r="F44" s="32">
        <v>32.64</v>
      </c>
      <c r="G44" s="33">
        <f t="shared" si="10"/>
        <v>5.5871934604904627</v>
      </c>
      <c r="H44" s="103">
        <v>41.01</v>
      </c>
      <c r="I44" s="126">
        <v>51.91</v>
      </c>
      <c r="J44" s="95">
        <v>41.95</v>
      </c>
      <c r="K44" s="126">
        <f t="shared" si="11"/>
        <v>9.9599999999999937</v>
      </c>
      <c r="L44" s="279">
        <v>37.5</v>
      </c>
      <c r="M44" s="281">
        <f t="shared" si="3"/>
        <v>5.1089918256130789</v>
      </c>
    </row>
    <row r="45" spans="1:14" ht="15.75" customHeight="1" x14ac:dyDescent="0.25">
      <c r="A45" s="1"/>
      <c r="B45" s="18" t="s">
        <v>7</v>
      </c>
      <c r="C45" s="18" t="s">
        <v>41</v>
      </c>
      <c r="D45" s="129">
        <v>2</v>
      </c>
      <c r="E45" s="40">
        <f t="shared" si="9"/>
        <v>4.12</v>
      </c>
      <c r="F45" s="41">
        <v>8.24</v>
      </c>
      <c r="G45" s="40">
        <f t="shared" si="10"/>
        <v>2.93</v>
      </c>
      <c r="H45" s="107">
        <v>5.86</v>
      </c>
      <c r="I45" s="140">
        <v>5.38</v>
      </c>
      <c r="J45" s="97">
        <v>7.8</v>
      </c>
      <c r="K45" s="126">
        <f t="shared" si="11"/>
        <v>-2.42</v>
      </c>
      <c r="L45" s="279">
        <v>0</v>
      </c>
      <c r="M45" s="281">
        <f t="shared" si="3"/>
        <v>0</v>
      </c>
    </row>
    <row r="46" spans="1:14" ht="15.75" customHeight="1" x14ac:dyDescent="0.25">
      <c r="B46" s="18" t="s">
        <v>7</v>
      </c>
      <c r="C46" s="18" t="s">
        <v>42</v>
      </c>
      <c r="D46" s="129">
        <v>2</v>
      </c>
      <c r="E46" s="40">
        <f t="shared" si="9"/>
        <v>2.92</v>
      </c>
      <c r="F46" s="41">
        <v>5.84</v>
      </c>
      <c r="G46" s="40">
        <f t="shared" si="10"/>
        <v>2.9449999999999998</v>
      </c>
      <c r="H46" s="107">
        <v>5.89</v>
      </c>
      <c r="I46" s="140">
        <v>2.4</v>
      </c>
      <c r="J46" s="97">
        <v>8.4</v>
      </c>
      <c r="K46" s="126">
        <f t="shared" si="11"/>
        <v>-6</v>
      </c>
      <c r="L46" s="279">
        <v>8</v>
      </c>
      <c r="M46" s="281">
        <f t="shared" si="3"/>
        <v>4</v>
      </c>
    </row>
    <row r="47" spans="1:14" ht="15.75" customHeight="1" x14ac:dyDescent="0.25">
      <c r="B47" s="18" t="s">
        <v>7</v>
      </c>
      <c r="C47" s="18" t="s">
        <v>43</v>
      </c>
      <c r="D47" s="129">
        <v>4</v>
      </c>
      <c r="E47" s="40">
        <f t="shared" si="9"/>
        <v>1.69</v>
      </c>
      <c r="F47" s="41">
        <v>6.76</v>
      </c>
      <c r="G47" s="40">
        <f t="shared" si="10"/>
        <v>2.73</v>
      </c>
      <c r="H47" s="107">
        <v>10.92</v>
      </c>
      <c r="I47" s="140">
        <v>24.55</v>
      </c>
      <c r="J47" s="97">
        <v>16.86</v>
      </c>
      <c r="K47" s="126">
        <f t="shared" si="11"/>
        <v>7.6900000000000013</v>
      </c>
      <c r="L47" s="279">
        <v>16</v>
      </c>
      <c r="M47" s="281">
        <f t="shared" si="3"/>
        <v>4</v>
      </c>
    </row>
    <row r="48" spans="1:14" ht="15.75" customHeight="1" x14ac:dyDescent="0.25">
      <c r="B48" s="18" t="s">
        <v>7</v>
      </c>
      <c r="C48" s="18" t="s">
        <v>91</v>
      </c>
      <c r="D48" s="129">
        <v>4.25</v>
      </c>
      <c r="E48" s="40"/>
      <c r="F48" s="41"/>
      <c r="G48" s="40"/>
      <c r="H48" s="107"/>
      <c r="I48" s="140">
        <v>14.49</v>
      </c>
      <c r="J48" s="97">
        <v>17.53</v>
      </c>
      <c r="K48" s="126">
        <f t="shared" si="11"/>
        <v>-3.0400000000000009</v>
      </c>
      <c r="L48" s="279">
        <v>15</v>
      </c>
      <c r="M48" s="281">
        <f t="shared" si="3"/>
        <v>3.5294117647058822</v>
      </c>
    </row>
    <row r="49" spans="1:14" ht="15.75" customHeight="1" x14ac:dyDescent="0.25">
      <c r="B49" s="18" t="s">
        <v>7</v>
      </c>
      <c r="C49" s="72" t="s">
        <v>99</v>
      </c>
      <c r="D49" s="129">
        <v>3</v>
      </c>
      <c r="E49" s="40"/>
      <c r="F49" s="41"/>
      <c r="G49" s="40"/>
      <c r="H49" s="107"/>
      <c r="I49" s="113">
        <v>0</v>
      </c>
      <c r="J49" s="95">
        <v>16.14</v>
      </c>
      <c r="K49" s="126">
        <f t="shared" si="11"/>
        <v>-16.14</v>
      </c>
      <c r="L49" s="279">
        <v>0</v>
      </c>
      <c r="M49" s="281">
        <f t="shared" si="3"/>
        <v>0</v>
      </c>
    </row>
    <row r="50" spans="1:14" ht="15.75" customHeight="1" x14ac:dyDescent="0.25">
      <c r="B50" s="18" t="s">
        <v>7</v>
      </c>
      <c r="C50" s="72" t="s">
        <v>100</v>
      </c>
      <c r="D50" s="129">
        <v>6.5</v>
      </c>
      <c r="E50" s="40"/>
      <c r="F50" s="41"/>
      <c r="G50" s="40"/>
      <c r="H50" s="107"/>
      <c r="I50" s="113">
        <v>0</v>
      </c>
      <c r="J50" s="95">
        <v>15.06</v>
      </c>
      <c r="K50" s="126">
        <f t="shared" si="11"/>
        <v>-15.06</v>
      </c>
      <c r="L50" s="279">
        <v>15</v>
      </c>
      <c r="M50" s="281">
        <f t="shared" si="3"/>
        <v>2.3076923076923075</v>
      </c>
    </row>
    <row r="51" spans="1:14" ht="15.75" customHeight="1" x14ac:dyDescent="0.25">
      <c r="B51" s="18" t="s">
        <v>7</v>
      </c>
      <c r="C51" s="72" t="s">
        <v>102</v>
      </c>
      <c r="D51" s="129">
        <v>4</v>
      </c>
      <c r="E51" s="40"/>
      <c r="F51" s="41"/>
      <c r="G51" s="40"/>
      <c r="H51" s="107"/>
      <c r="I51" s="113">
        <v>0</v>
      </c>
      <c r="J51" s="95">
        <v>10.48</v>
      </c>
      <c r="K51" s="126">
        <f t="shared" si="11"/>
        <v>-10.48</v>
      </c>
      <c r="L51" s="279">
        <v>0</v>
      </c>
      <c r="M51" s="281">
        <f t="shared" si="3"/>
        <v>0</v>
      </c>
    </row>
    <row r="52" spans="1:14" ht="15.75" customHeight="1" x14ac:dyDescent="0.25">
      <c r="B52" s="18" t="s">
        <v>7</v>
      </c>
      <c r="C52" s="72" t="s">
        <v>101</v>
      </c>
      <c r="D52" s="129">
        <v>0.3</v>
      </c>
      <c r="E52" s="40"/>
      <c r="F52" s="41"/>
      <c r="G52" s="40"/>
      <c r="H52" s="107"/>
      <c r="I52" s="113">
        <v>0</v>
      </c>
      <c r="J52" s="95">
        <v>1.39</v>
      </c>
      <c r="K52" s="126">
        <f t="shared" si="11"/>
        <v>-1.39</v>
      </c>
      <c r="L52" s="279">
        <v>0</v>
      </c>
      <c r="M52" s="281">
        <f t="shared" si="3"/>
        <v>0</v>
      </c>
    </row>
    <row r="53" spans="1:14" ht="15.75" customHeight="1" x14ac:dyDescent="0.25">
      <c r="B53" s="143" t="s">
        <v>7</v>
      </c>
      <c r="C53" s="137" t="s">
        <v>114</v>
      </c>
      <c r="D53" s="144">
        <v>19.62</v>
      </c>
      <c r="E53" s="40"/>
      <c r="F53" s="107"/>
      <c r="G53" s="40"/>
      <c r="H53" s="107"/>
      <c r="I53" s="113">
        <v>55.72</v>
      </c>
      <c r="J53" s="142">
        <v>0</v>
      </c>
      <c r="K53" s="126">
        <f t="shared" si="11"/>
        <v>55.72</v>
      </c>
      <c r="L53" s="279">
        <v>0</v>
      </c>
      <c r="M53" s="281">
        <f t="shared" si="3"/>
        <v>0</v>
      </c>
    </row>
    <row r="54" spans="1:14" ht="15.75" customHeight="1" x14ac:dyDescent="0.25">
      <c r="A54" s="69"/>
      <c r="B54" s="12"/>
      <c r="C54" s="151" t="s">
        <v>115</v>
      </c>
      <c r="D54" s="176">
        <f>SUM(D41+D43)</f>
        <v>11</v>
      </c>
      <c r="E54" s="176"/>
      <c r="F54" s="176"/>
      <c r="G54" s="176"/>
      <c r="H54" s="176"/>
      <c r="I54" s="187">
        <f>SUM(I41,I43)</f>
        <v>29.39</v>
      </c>
      <c r="J54" s="176">
        <f>SUM(J41,J43)</f>
        <v>41.06</v>
      </c>
      <c r="K54" s="161">
        <f t="shared" si="11"/>
        <v>-11.670000000000002</v>
      </c>
      <c r="L54" s="279">
        <f>SUM(L41,L43)</f>
        <v>34</v>
      </c>
      <c r="M54" s="281">
        <f t="shared" si="3"/>
        <v>3.0909090909090908</v>
      </c>
    </row>
    <row r="55" spans="1:14" ht="15.75" customHeight="1" x14ac:dyDescent="0.25">
      <c r="B55" s="12"/>
      <c r="C55" s="145" t="s">
        <v>119</v>
      </c>
      <c r="D55" s="149">
        <f>SUM(D42,D44)</f>
        <v>7.92</v>
      </c>
      <c r="E55" s="149"/>
      <c r="F55" s="149"/>
      <c r="G55" s="149"/>
      <c r="H55" s="149"/>
      <c r="I55" s="165">
        <f>SUM(I42,I44)</f>
        <v>54.949999999999996</v>
      </c>
      <c r="J55" s="149">
        <f>SUM(J42,J44)</f>
        <v>44.63</v>
      </c>
      <c r="K55" s="171">
        <f t="shared" si="11"/>
        <v>10.319999999999993</v>
      </c>
      <c r="L55" s="279">
        <f>SUM(L42,L44)</f>
        <v>40.5</v>
      </c>
      <c r="M55" s="281">
        <f t="shared" si="3"/>
        <v>5.1136363636363633</v>
      </c>
    </row>
    <row r="56" spans="1:14" ht="15.75" customHeight="1" thickBot="1" x14ac:dyDescent="0.3">
      <c r="C56" s="150" t="s">
        <v>117</v>
      </c>
      <c r="D56" s="183">
        <f>SUM(D45:D52)</f>
        <v>26.05</v>
      </c>
      <c r="E56" s="183"/>
      <c r="F56" s="183"/>
      <c r="G56" s="183"/>
      <c r="H56" s="183"/>
      <c r="I56" s="188">
        <f>SUM(I45:I48,I53)</f>
        <v>102.53999999999999</v>
      </c>
      <c r="J56" s="183">
        <f>SUM(J45:J52)</f>
        <v>93.660000000000011</v>
      </c>
      <c r="K56" s="169">
        <f t="shared" si="11"/>
        <v>8.8799999999999812</v>
      </c>
      <c r="L56" s="279">
        <f>SUM(L45:L52)</f>
        <v>54</v>
      </c>
      <c r="M56" s="281">
        <f t="shared" si="3"/>
        <v>2.0729366602687138</v>
      </c>
    </row>
    <row r="57" spans="1:14" ht="15.75" customHeight="1" thickTop="1" x14ac:dyDescent="0.25">
      <c r="C57" s="146" t="s">
        <v>9</v>
      </c>
      <c r="D57" s="186">
        <f>SUM(D54:D56)</f>
        <v>44.97</v>
      </c>
      <c r="E57" s="185"/>
      <c r="F57" s="185"/>
      <c r="G57" s="185"/>
      <c r="H57" s="185"/>
      <c r="I57" s="165">
        <f>SUM(I54:I56)</f>
        <v>186.88</v>
      </c>
      <c r="J57" s="149">
        <f>SUM(J54:J56)</f>
        <v>179.35000000000002</v>
      </c>
      <c r="K57" s="171">
        <f t="shared" si="11"/>
        <v>7.5299999999999727</v>
      </c>
      <c r="L57" s="279">
        <f>SUM(L54:L56)</f>
        <v>128.5</v>
      </c>
      <c r="M57" s="281">
        <f t="shared" si="3"/>
        <v>2.8574605292417168</v>
      </c>
    </row>
    <row r="58" spans="1:14" s="15" customFormat="1" ht="15.75" customHeight="1" x14ac:dyDescent="0.25">
      <c r="A58" s="3" t="s">
        <v>19</v>
      </c>
      <c r="C58" s="3"/>
      <c r="D58" s="37"/>
      <c r="E58" s="105"/>
      <c r="F58" s="16"/>
      <c r="G58" s="105"/>
      <c r="H58" s="105"/>
      <c r="I58" s="99"/>
      <c r="J58" s="83"/>
      <c r="K58" s="116"/>
      <c r="L58" s="279"/>
      <c r="M58" s="281"/>
    </row>
    <row r="59" spans="1:14" ht="15.75" customHeight="1" x14ac:dyDescent="0.25">
      <c r="B59" s="9" t="s">
        <v>3</v>
      </c>
      <c r="C59" s="9" t="s">
        <v>37</v>
      </c>
      <c r="D59" s="39">
        <v>4.43</v>
      </c>
      <c r="E59" s="135">
        <f>F59/D59</f>
        <v>1.3431151241534991</v>
      </c>
      <c r="F59" s="189">
        <v>5.95</v>
      </c>
      <c r="G59" s="135">
        <f>H59/D59</f>
        <v>3.7200902934537248</v>
      </c>
      <c r="H59" s="190">
        <v>16.48</v>
      </c>
      <c r="I59" s="126">
        <v>7.02</v>
      </c>
      <c r="J59" s="95">
        <v>12.88</v>
      </c>
      <c r="K59" s="171">
        <f>I59-J59</f>
        <v>-5.8600000000000012</v>
      </c>
      <c r="L59" s="279">
        <v>10</v>
      </c>
      <c r="M59" s="281">
        <f t="shared" si="3"/>
        <v>2.2573363431151243</v>
      </c>
    </row>
    <row r="60" spans="1:14" s="15" customFormat="1" ht="15.75" customHeight="1" x14ac:dyDescent="0.25">
      <c r="A60" s="3" t="s">
        <v>21</v>
      </c>
      <c r="C60" s="3"/>
      <c r="D60" s="37"/>
      <c r="E60" s="105"/>
      <c r="F60" s="16"/>
      <c r="G60" s="105"/>
      <c r="H60" s="105"/>
      <c r="I60" s="99"/>
      <c r="J60" s="83"/>
      <c r="K60" s="118"/>
      <c r="L60" s="279"/>
      <c r="M60" s="281"/>
    </row>
    <row r="61" spans="1:14" ht="15.75" customHeight="1" x14ac:dyDescent="0.25">
      <c r="B61" s="9" t="s">
        <v>3</v>
      </c>
      <c r="C61" s="9" t="s">
        <v>44</v>
      </c>
      <c r="D61" s="39">
        <v>3.55</v>
      </c>
      <c r="E61" s="135">
        <f>F61/D61</f>
        <v>2.4281690140845069</v>
      </c>
      <c r="F61" s="189">
        <v>8.6199999999999992</v>
      </c>
      <c r="G61" s="135">
        <f>H61/D61</f>
        <v>5.7098591549295774</v>
      </c>
      <c r="H61" s="190">
        <v>20.27</v>
      </c>
      <c r="I61" s="126">
        <v>13.77</v>
      </c>
      <c r="J61" s="95">
        <v>22</v>
      </c>
      <c r="K61" s="126">
        <f>I61-J61</f>
        <v>-8.23</v>
      </c>
      <c r="L61" s="279">
        <v>20</v>
      </c>
      <c r="M61" s="281">
        <f t="shared" si="3"/>
        <v>5.6338028169014089</v>
      </c>
      <c r="N61" s="69" t="s">
        <v>131</v>
      </c>
    </row>
    <row r="62" spans="1:14" ht="15.75" customHeight="1" x14ac:dyDescent="0.25">
      <c r="B62" s="9" t="s">
        <v>86</v>
      </c>
      <c r="C62" s="9" t="s">
        <v>45</v>
      </c>
      <c r="D62" s="39">
        <v>1.9</v>
      </c>
      <c r="E62" s="135">
        <f>F62/D62</f>
        <v>2.1578947368421053</v>
      </c>
      <c r="F62" s="189">
        <v>4.0999999999999996</v>
      </c>
      <c r="G62" s="135">
        <f>H62/D62</f>
        <v>4.121052631578948</v>
      </c>
      <c r="H62" s="190">
        <v>7.83</v>
      </c>
      <c r="I62" s="126">
        <v>7.47</v>
      </c>
      <c r="J62" s="95">
        <v>8.77</v>
      </c>
      <c r="K62" s="126">
        <f t="shared" ref="K62:K67" si="12">I62-J62</f>
        <v>-1.2999999999999998</v>
      </c>
      <c r="L62" s="279">
        <v>8</v>
      </c>
      <c r="M62" s="281">
        <f t="shared" si="3"/>
        <v>4.2105263157894735</v>
      </c>
    </row>
    <row r="63" spans="1:14" ht="15.75" customHeight="1" x14ac:dyDescent="0.25">
      <c r="B63" s="18" t="s">
        <v>7</v>
      </c>
      <c r="C63" s="18" t="s">
        <v>92</v>
      </c>
      <c r="D63" s="129">
        <v>7</v>
      </c>
      <c r="E63" s="141"/>
      <c r="F63" s="192">
        <v>30.08</v>
      </c>
      <c r="G63" s="141"/>
      <c r="H63" s="193">
        <v>40.35</v>
      </c>
      <c r="I63" s="140">
        <v>40.96</v>
      </c>
      <c r="J63" s="97">
        <v>34.729999999999997</v>
      </c>
      <c r="K63" s="126">
        <f t="shared" si="12"/>
        <v>6.230000000000004</v>
      </c>
      <c r="L63" s="279">
        <v>35</v>
      </c>
      <c r="M63" s="281">
        <f t="shared" si="3"/>
        <v>5</v>
      </c>
    </row>
    <row r="64" spans="1:14" ht="15.75" customHeight="1" x14ac:dyDescent="0.25">
      <c r="B64" s="12"/>
      <c r="C64" s="151" t="s">
        <v>115</v>
      </c>
      <c r="D64" s="198">
        <v>3.55</v>
      </c>
      <c r="E64" s="176"/>
      <c r="F64" s="176"/>
      <c r="G64" s="176"/>
      <c r="H64" s="176"/>
      <c r="I64" s="187">
        <v>13.77</v>
      </c>
      <c r="J64" s="176">
        <v>22</v>
      </c>
      <c r="K64" s="161">
        <f t="shared" si="12"/>
        <v>-8.23</v>
      </c>
      <c r="L64" s="279">
        <v>22</v>
      </c>
      <c r="M64" s="281">
        <f t="shared" si="3"/>
        <v>6.1971830985915499</v>
      </c>
    </row>
    <row r="65" spans="1:14" ht="15.75" customHeight="1" x14ac:dyDescent="0.25">
      <c r="B65" s="12"/>
      <c r="C65" s="71" t="s">
        <v>119</v>
      </c>
      <c r="D65" s="199">
        <v>1.9</v>
      </c>
      <c r="E65" s="149"/>
      <c r="F65" s="149"/>
      <c r="G65" s="149"/>
      <c r="H65" s="149"/>
      <c r="I65" s="165">
        <v>7.47</v>
      </c>
      <c r="J65" s="149">
        <v>8.77</v>
      </c>
      <c r="K65" s="171">
        <f t="shared" si="12"/>
        <v>-1.2999999999999998</v>
      </c>
      <c r="L65" s="279">
        <v>8.77</v>
      </c>
      <c r="M65" s="281">
        <f t="shared" si="3"/>
        <v>4.6157894736842104</v>
      </c>
    </row>
    <row r="66" spans="1:14" ht="15.75" customHeight="1" thickBot="1" x14ac:dyDescent="0.3">
      <c r="C66" s="156" t="s">
        <v>117</v>
      </c>
      <c r="D66" s="200">
        <v>7</v>
      </c>
      <c r="E66" s="183"/>
      <c r="F66" s="183"/>
      <c r="G66" s="183"/>
      <c r="H66" s="183"/>
      <c r="I66" s="188">
        <v>40.96</v>
      </c>
      <c r="J66" s="183">
        <v>34.729999999999997</v>
      </c>
      <c r="K66" s="169">
        <f t="shared" si="12"/>
        <v>6.230000000000004</v>
      </c>
      <c r="L66" s="279">
        <v>34.729999999999997</v>
      </c>
      <c r="M66" s="281">
        <f t="shared" si="3"/>
        <v>4.9614285714285709</v>
      </c>
    </row>
    <row r="67" spans="1:14" ht="15.75" customHeight="1" thickTop="1" x14ac:dyDescent="0.25">
      <c r="B67" s="9"/>
      <c r="C67" s="79" t="s">
        <v>118</v>
      </c>
      <c r="D67" s="186">
        <f>SUM(D64:D66)</f>
        <v>12.45</v>
      </c>
      <c r="E67" s="186">
        <f t="shared" ref="E67:J67" si="13">SUM(E64:E66)</f>
        <v>0</v>
      </c>
      <c r="F67" s="186">
        <f t="shared" si="13"/>
        <v>0</v>
      </c>
      <c r="G67" s="186">
        <f t="shared" si="13"/>
        <v>0</v>
      </c>
      <c r="H67" s="186">
        <f t="shared" si="13"/>
        <v>0</v>
      </c>
      <c r="I67" s="186">
        <f t="shared" si="13"/>
        <v>62.2</v>
      </c>
      <c r="J67" s="186">
        <f t="shared" si="13"/>
        <v>65.5</v>
      </c>
      <c r="K67" s="171">
        <f t="shared" si="12"/>
        <v>-3.2999999999999972</v>
      </c>
      <c r="L67" s="279">
        <f t="shared" ref="L67" si="14">SUM(L64:L66)</f>
        <v>65.5</v>
      </c>
      <c r="M67" s="281">
        <f t="shared" si="3"/>
        <v>5.2610441767068279</v>
      </c>
    </row>
    <row r="68" spans="1:14" s="15" customFormat="1" ht="15.75" customHeight="1" x14ac:dyDescent="0.25">
      <c r="A68" s="3" t="s">
        <v>23</v>
      </c>
      <c r="D68" s="42"/>
      <c r="E68" s="105"/>
      <c r="F68" s="16"/>
      <c r="G68" s="105"/>
      <c r="H68" s="105"/>
      <c r="I68" s="99"/>
      <c r="J68" s="83"/>
      <c r="K68" s="118"/>
      <c r="L68" s="279"/>
      <c r="M68" s="281"/>
    </row>
    <row r="69" spans="1:14" ht="15.75" customHeight="1" x14ac:dyDescent="0.25">
      <c r="B69" s="18" t="s">
        <v>7</v>
      </c>
      <c r="C69" s="18" t="s">
        <v>42</v>
      </c>
      <c r="D69" s="129">
        <v>6</v>
      </c>
      <c r="E69" s="141"/>
      <c r="F69" s="192">
        <v>28.04</v>
      </c>
      <c r="G69" s="141"/>
      <c r="H69" s="193">
        <v>23.04</v>
      </c>
      <c r="I69" s="140">
        <v>16.170000000000002</v>
      </c>
      <c r="J69" s="97">
        <v>27.14</v>
      </c>
      <c r="K69" s="126">
        <f>I69-J69</f>
        <v>-10.969999999999999</v>
      </c>
      <c r="L69" s="279">
        <v>24</v>
      </c>
      <c r="M69" s="281">
        <f t="shared" ref="M69:M132" si="15">L69/D69</f>
        <v>4</v>
      </c>
      <c r="N69" s="69" t="s">
        <v>132</v>
      </c>
    </row>
    <row r="70" spans="1:14" ht="15.75" customHeight="1" x14ac:dyDescent="0.25">
      <c r="B70" s="18" t="s">
        <v>7</v>
      </c>
      <c r="C70" s="18" t="s">
        <v>46</v>
      </c>
      <c r="D70" s="129">
        <v>3.8</v>
      </c>
      <c r="E70" s="141"/>
      <c r="F70" s="192">
        <v>13.71</v>
      </c>
      <c r="G70" s="141"/>
      <c r="H70" s="193">
        <v>17.29</v>
      </c>
      <c r="I70" s="140">
        <v>11.46</v>
      </c>
      <c r="J70" s="97">
        <v>16.02</v>
      </c>
      <c r="K70" s="126">
        <f t="shared" ref="K70:K78" si="16">I70-J70</f>
        <v>-4.5599999999999987</v>
      </c>
      <c r="L70" s="279">
        <v>15</v>
      </c>
      <c r="M70" s="281">
        <f t="shared" si="15"/>
        <v>3.9473684210526319</v>
      </c>
    </row>
    <row r="71" spans="1:14" ht="15.75" customHeight="1" x14ac:dyDescent="0.25">
      <c r="B71" s="18" t="s">
        <v>7</v>
      </c>
      <c r="C71" s="18" t="s">
        <v>47</v>
      </c>
      <c r="D71" s="129">
        <v>2.5</v>
      </c>
      <c r="E71" s="141"/>
      <c r="F71" s="192"/>
      <c r="G71" s="141"/>
      <c r="H71" s="193"/>
      <c r="I71" s="140">
        <v>8.6</v>
      </c>
      <c r="J71" s="97">
        <v>11.9</v>
      </c>
      <c r="K71" s="126">
        <f t="shared" si="16"/>
        <v>-3.3000000000000007</v>
      </c>
      <c r="L71" s="279">
        <v>10</v>
      </c>
      <c r="M71" s="281">
        <f t="shared" si="15"/>
        <v>4</v>
      </c>
    </row>
    <row r="72" spans="1:14" ht="15.75" customHeight="1" x14ac:dyDescent="0.25">
      <c r="B72" s="18" t="s">
        <v>7</v>
      </c>
      <c r="C72" s="18" t="s">
        <v>91</v>
      </c>
      <c r="D72" s="129">
        <v>1</v>
      </c>
      <c r="E72" s="141"/>
      <c r="F72" s="192"/>
      <c r="G72" s="141"/>
      <c r="H72" s="193"/>
      <c r="I72" s="140">
        <v>4.2300000000000004</v>
      </c>
      <c r="J72" s="97">
        <v>7.49</v>
      </c>
      <c r="K72" s="126">
        <f t="shared" si="16"/>
        <v>-3.26</v>
      </c>
      <c r="L72" s="279">
        <v>5</v>
      </c>
      <c r="M72" s="281">
        <f t="shared" si="15"/>
        <v>5</v>
      </c>
    </row>
    <row r="73" spans="1:14" ht="15.75" customHeight="1" x14ac:dyDescent="0.25">
      <c r="B73" s="18" t="s">
        <v>7</v>
      </c>
      <c r="C73" s="18" t="s">
        <v>102</v>
      </c>
      <c r="D73" s="129">
        <v>4</v>
      </c>
      <c r="E73" s="141"/>
      <c r="F73" s="192"/>
      <c r="G73" s="141"/>
      <c r="H73" s="193"/>
      <c r="I73" s="140">
        <v>0</v>
      </c>
      <c r="J73" s="97">
        <v>12.6</v>
      </c>
      <c r="K73" s="126">
        <f t="shared" si="16"/>
        <v>-12.6</v>
      </c>
      <c r="L73" s="279">
        <v>0</v>
      </c>
      <c r="M73" s="281">
        <f t="shared" si="15"/>
        <v>0</v>
      </c>
    </row>
    <row r="74" spans="1:14" ht="15.75" customHeight="1" x14ac:dyDescent="0.25">
      <c r="B74" s="18" t="s">
        <v>7</v>
      </c>
      <c r="C74" s="201" t="s">
        <v>79</v>
      </c>
      <c r="D74" s="202">
        <v>5</v>
      </c>
      <c r="E74" s="203"/>
      <c r="F74" s="204"/>
      <c r="G74" s="203"/>
      <c r="H74" s="205"/>
      <c r="I74" s="206">
        <v>30.25</v>
      </c>
      <c r="J74" s="207">
        <v>30.74</v>
      </c>
      <c r="K74" s="126">
        <f t="shared" si="16"/>
        <v>-0.48999999999999844</v>
      </c>
      <c r="L74" s="279">
        <v>25</v>
      </c>
      <c r="M74" s="281">
        <f t="shared" si="15"/>
        <v>5</v>
      </c>
    </row>
    <row r="75" spans="1:14" ht="15.75" customHeight="1" x14ac:dyDescent="0.25">
      <c r="B75" s="12"/>
      <c r="C75" s="209" t="s">
        <v>115</v>
      </c>
      <c r="D75" s="149" t="s">
        <v>109</v>
      </c>
      <c r="E75" s="149"/>
      <c r="F75" s="149"/>
      <c r="G75" s="149"/>
      <c r="H75" s="149"/>
      <c r="I75" s="165">
        <v>0</v>
      </c>
      <c r="J75" s="149">
        <v>0</v>
      </c>
      <c r="K75" s="161">
        <f t="shared" si="16"/>
        <v>0</v>
      </c>
      <c r="L75" s="279">
        <v>0</v>
      </c>
      <c r="M75" s="281"/>
    </row>
    <row r="76" spans="1:14" ht="15.75" customHeight="1" x14ac:dyDescent="0.25">
      <c r="B76" s="12"/>
      <c r="C76" s="210" t="s">
        <v>120</v>
      </c>
      <c r="D76" s="149" t="s">
        <v>109</v>
      </c>
      <c r="E76" s="149"/>
      <c r="F76" s="149"/>
      <c r="G76" s="149"/>
      <c r="H76" s="149"/>
      <c r="I76" s="165">
        <v>0</v>
      </c>
      <c r="J76" s="149">
        <v>0</v>
      </c>
      <c r="K76" s="171">
        <f t="shared" si="16"/>
        <v>0</v>
      </c>
      <c r="L76" s="279">
        <v>0</v>
      </c>
      <c r="M76" s="281"/>
    </row>
    <row r="77" spans="1:14" ht="15.75" customHeight="1" thickBot="1" x14ac:dyDescent="0.3">
      <c r="C77" s="211" t="s">
        <v>117</v>
      </c>
      <c r="D77" s="183">
        <f>SUM(D69:D74)</f>
        <v>22.3</v>
      </c>
      <c r="E77" s="183"/>
      <c r="F77" s="183"/>
      <c r="G77" s="183"/>
      <c r="H77" s="183"/>
      <c r="I77" s="188">
        <f>SUM(I69:I72,I74)</f>
        <v>70.710000000000008</v>
      </c>
      <c r="J77" s="183">
        <f>SUM(J69:J74)</f>
        <v>105.88999999999999</v>
      </c>
      <c r="K77" s="169">
        <f t="shared" si="16"/>
        <v>-35.179999999999978</v>
      </c>
      <c r="L77" s="279">
        <f>SUM(L69:L76)</f>
        <v>79</v>
      </c>
      <c r="M77" s="281">
        <f t="shared" si="15"/>
        <v>3.5426008968609866</v>
      </c>
    </row>
    <row r="78" spans="1:14" ht="15.75" customHeight="1" thickTop="1" x14ac:dyDescent="0.25">
      <c r="C78" s="212" t="s">
        <v>118</v>
      </c>
      <c r="D78" s="186">
        <v>28.79</v>
      </c>
      <c r="E78" s="186"/>
      <c r="F78" s="186"/>
      <c r="G78" s="186"/>
      <c r="H78" s="186"/>
      <c r="I78" s="165">
        <v>70.709999999999994</v>
      </c>
      <c r="J78" s="149">
        <v>105.9</v>
      </c>
      <c r="K78" s="171">
        <f t="shared" si="16"/>
        <v>-35.190000000000012</v>
      </c>
      <c r="L78" s="279">
        <f>SUM(L69:L76)</f>
        <v>79</v>
      </c>
      <c r="M78" s="281">
        <f t="shared" si="15"/>
        <v>2.7440083362278571</v>
      </c>
    </row>
    <row r="79" spans="1:14" s="15" customFormat="1" ht="15.75" customHeight="1" x14ac:dyDescent="0.25">
      <c r="A79" s="3" t="s">
        <v>48</v>
      </c>
      <c r="C79" s="3"/>
      <c r="D79" s="37"/>
      <c r="E79" s="105"/>
      <c r="F79" s="16"/>
      <c r="G79" s="105"/>
      <c r="H79" s="105"/>
      <c r="I79" s="99"/>
      <c r="J79" s="83"/>
      <c r="K79" s="118"/>
      <c r="L79" s="279"/>
      <c r="M79" s="281"/>
    </row>
    <row r="80" spans="1:14" ht="15.75" customHeight="1" x14ac:dyDescent="0.25">
      <c r="B80" s="9" t="s">
        <v>3</v>
      </c>
      <c r="C80" s="9" t="s">
        <v>49</v>
      </c>
      <c r="D80" s="39">
        <v>5.07</v>
      </c>
      <c r="E80" s="135">
        <f>F80/D80</f>
        <v>3.8737672583826428</v>
      </c>
      <c r="F80" s="189">
        <v>19.64</v>
      </c>
      <c r="G80" s="135">
        <f t="shared" ref="G80:G87" si="17">H80/D80</f>
        <v>4.2899408284023668</v>
      </c>
      <c r="H80" s="190">
        <v>21.75</v>
      </c>
      <c r="I80" s="126">
        <v>21.98</v>
      </c>
      <c r="J80" s="95">
        <v>16.75</v>
      </c>
      <c r="K80" s="126">
        <f>I80-J80</f>
        <v>5.23</v>
      </c>
      <c r="L80" s="279">
        <v>20</v>
      </c>
      <c r="M80" s="281">
        <f t="shared" si="15"/>
        <v>3.944773175542406</v>
      </c>
      <c r="N80" s="69" t="s">
        <v>133</v>
      </c>
    </row>
    <row r="81" spans="1:13" ht="15.75" customHeight="1" x14ac:dyDescent="0.25">
      <c r="B81" s="9" t="s">
        <v>86</v>
      </c>
      <c r="C81" s="9" t="s">
        <v>50</v>
      </c>
      <c r="D81" s="39">
        <v>1.23</v>
      </c>
      <c r="E81" s="135">
        <f t="shared" ref="E81:E87" si="18">F81/D81</f>
        <v>6.6016260162601617</v>
      </c>
      <c r="F81" s="189">
        <v>8.1199999999999992</v>
      </c>
      <c r="G81" s="135">
        <f t="shared" si="17"/>
        <v>3.0081300813008132</v>
      </c>
      <c r="H81" s="190">
        <v>3.7</v>
      </c>
      <c r="I81" s="126">
        <v>6.64</v>
      </c>
      <c r="J81" s="95">
        <v>5.35</v>
      </c>
      <c r="K81" s="126">
        <f t="shared" ref="K81:K92" si="19">I81-J81</f>
        <v>1.29</v>
      </c>
      <c r="L81" s="279">
        <v>5</v>
      </c>
      <c r="M81" s="281">
        <f t="shared" si="15"/>
        <v>4.0650406504065044</v>
      </c>
    </row>
    <row r="82" spans="1:13" ht="15.75" customHeight="1" x14ac:dyDescent="0.25">
      <c r="B82" s="9" t="s">
        <v>86</v>
      </c>
      <c r="C82" s="9" t="s">
        <v>51</v>
      </c>
      <c r="D82" s="39">
        <v>1.58</v>
      </c>
      <c r="E82" s="135">
        <f t="shared" si="18"/>
        <v>4.6139240506329111</v>
      </c>
      <c r="F82" s="189">
        <v>7.29</v>
      </c>
      <c r="G82" s="135">
        <f t="shared" si="17"/>
        <v>5.3670886075949369</v>
      </c>
      <c r="H82" s="190">
        <v>8.48</v>
      </c>
      <c r="I82" s="126">
        <v>7.57</v>
      </c>
      <c r="J82" s="95">
        <v>4.91</v>
      </c>
      <c r="K82" s="126">
        <f t="shared" si="19"/>
        <v>2.66</v>
      </c>
      <c r="L82" s="279">
        <v>5</v>
      </c>
      <c r="M82" s="281">
        <f t="shared" si="15"/>
        <v>3.1645569620253164</v>
      </c>
    </row>
    <row r="83" spans="1:13" ht="15.75" customHeight="1" x14ac:dyDescent="0.25">
      <c r="B83" s="9" t="s">
        <v>86</v>
      </c>
      <c r="C83" s="9" t="s">
        <v>11</v>
      </c>
      <c r="D83" s="39">
        <v>0.21</v>
      </c>
      <c r="E83" s="135">
        <f t="shared" si="18"/>
        <v>7.4761904761904772</v>
      </c>
      <c r="F83" s="189">
        <v>1.57</v>
      </c>
      <c r="G83" s="135">
        <f t="shared" si="17"/>
        <v>7.6190476190476195</v>
      </c>
      <c r="H83" s="190">
        <v>1.6</v>
      </c>
      <c r="I83" s="126">
        <v>1.69</v>
      </c>
      <c r="J83" s="95">
        <v>0.92</v>
      </c>
      <c r="K83" s="126">
        <f t="shared" si="19"/>
        <v>0.76999999999999991</v>
      </c>
      <c r="L83" s="279">
        <v>1</v>
      </c>
      <c r="M83" s="281">
        <f t="shared" si="15"/>
        <v>4.7619047619047619</v>
      </c>
    </row>
    <row r="84" spans="1:13" ht="15.75" customHeight="1" x14ac:dyDescent="0.25">
      <c r="A84" s="1"/>
      <c r="B84" s="9" t="s">
        <v>86</v>
      </c>
      <c r="C84" s="9" t="s">
        <v>52</v>
      </c>
      <c r="D84" s="39">
        <v>0.68</v>
      </c>
      <c r="E84" s="135">
        <f t="shared" si="18"/>
        <v>7.4117647058823524</v>
      </c>
      <c r="F84" s="189">
        <v>5.04</v>
      </c>
      <c r="G84" s="135">
        <f t="shared" si="17"/>
        <v>8.602941176470587</v>
      </c>
      <c r="H84" s="190">
        <v>5.85</v>
      </c>
      <c r="I84" s="126">
        <v>2.8</v>
      </c>
      <c r="J84" s="95">
        <v>0.75</v>
      </c>
      <c r="K84" s="126">
        <f t="shared" si="19"/>
        <v>2.0499999999999998</v>
      </c>
      <c r="L84" s="279">
        <v>2</v>
      </c>
      <c r="M84" s="281">
        <f t="shared" si="15"/>
        <v>2.9411764705882351</v>
      </c>
    </row>
    <row r="85" spans="1:13" ht="15.75" customHeight="1" x14ac:dyDescent="0.25">
      <c r="B85" s="9" t="s">
        <v>86</v>
      </c>
      <c r="C85" s="9" t="s">
        <v>53</v>
      </c>
      <c r="D85" s="39">
        <v>0.74</v>
      </c>
      <c r="E85" s="135">
        <f t="shared" si="18"/>
        <v>5.6486486486486482</v>
      </c>
      <c r="F85" s="189">
        <v>4.18</v>
      </c>
      <c r="G85" s="135">
        <f t="shared" si="17"/>
        <v>10.756756756756756</v>
      </c>
      <c r="H85" s="190">
        <v>7.96</v>
      </c>
      <c r="I85" s="126">
        <v>4.0599999999999996</v>
      </c>
      <c r="J85" s="95">
        <v>6.08</v>
      </c>
      <c r="K85" s="126">
        <f t="shared" si="19"/>
        <v>-2.0200000000000005</v>
      </c>
      <c r="L85" s="279">
        <v>5</v>
      </c>
      <c r="M85" s="281">
        <f t="shared" si="15"/>
        <v>6.756756756756757</v>
      </c>
    </row>
    <row r="86" spans="1:13" ht="15.75" customHeight="1" x14ac:dyDescent="0.25">
      <c r="B86" s="9" t="s">
        <v>86</v>
      </c>
      <c r="C86" s="9" t="s">
        <v>54</v>
      </c>
      <c r="D86" s="39">
        <v>1.1299999999999999</v>
      </c>
      <c r="E86" s="135">
        <f t="shared" si="18"/>
        <v>4.6283185840707972</v>
      </c>
      <c r="F86" s="189">
        <v>5.23</v>
      </c>
      <c r="G86" s="135">
        <f t="shared" si="17"/>
        <v>4.9823008849557526</v>
      </c>
      <c r="H86" s="190">
        <v>5.63</v>
      </c>
      <c r="I86" s="126">
        <v>6.08</v>
      </c>
      <c r="J86" s="142">
        <v>4.6900000000000004</v>
      </c>
      <c r="K86" s="126">
        <f t="shared" si="19"/>
        <v>1.3899999999999997</v>
      </c>
      <c r="L86" s="279">
        <v>5</v>
      </c>
      <c r="M86" s="281">
        <f t="shared" si="15"/>
        <v>4.4247787610619476</v>
      </c>
    </row>
    <row r="87" spans="1:13" ht="15.75" customHeight="1" x14ac:dyDescent="0.25">
      <c r="B87" s="9" t="s">
        <v>89</v>
      </c>
      <c r="C87" s="9" t="s">
        <v>55</v>
      </c>
      <c r="D87" s="39">
        <v>6.15</v>
      </c>
      <c r="E87" s="135">
        <f t="shared" si="18"/>
        <v>6.3203252032520316</v>
      </c>
      <c r="F87" s="189">
        <v>38.869999999999997</v>
      </c>
      <c r="G87" s="135">
        <f t="shared" si="17"/>
        <v>5.9235772357723571</v>
      </c>
      <c r="H87" s="190">
        <v>36.43</v>
      </c>
      <c r="I87" s="126">
        <v>28.64</v>
      </c>
      <c r="J87" s="95">
        <v>18.73</v>
      </c>
      <c r="K87" s="126">
        <f t="shared" si="19"/>
        <v>9.91</v>
      </c>
      <c r="L87" s="279">
        <v>25</v>
      </c>
      <c r="M87" s="281">
        <f t="shared" si="15"/>
        <v>4.0650406504065035</v>
      </c>
    </row>
    <row r="88" spans="1:13" ht="15.75" customHeight="1" x14ac:dyDescent="0.25">
      <c r="B88" s="72" t="s">
        <v>80</v>
      </c>
      <c r="C88" s="72" t="s">
        <v>5</v>
      </c>
      <c r="D88" s="219" t="s">
        <v>109</v>
      </c>
      <c r="E88" s="135"/>
      <c r="F88" s="189"/>
      <c r="G88" s="135"/>
      <c r="H88" s="190"/>
      <c r="I88" s="126">
        <v>5.67</v>
      </c>
      <c r="J88" s="95">
        <v>16.98</v>
      </c>
      <c r="K88" s="126">
        <f t="shared" si="19"/>
        <v>-11.31</v>
      </c>
      <c r="M88" s="281"/>
    </row>
    <row r="89" spans="1:13" ht="15.75" customHeight="1" x14ac:dyDescent="0.25">
      <c r="B89" s="12"/>
      <c r="C89" s="151" t="s">
        <v>115</v>
      </c>
      <c r="D89" s="176">
        <v>5.07</v>
      </c>
      <c r="E89" s="176"/>
      <c r="F89" s="176"/>
      <c r="G89" s="176"/>
      <c r="H89" s="176"/>
      <c r="I89" s="187">
        <v>21.98</v>
      </c>
      <c r="J89" s="176">
        <v>16.75</v>
      </c>
      <c r="K89" s="161">
        <f t="shared" si="19"/>
        <v>5.23</v>
      </c>
      <c r="L89" s="279">
        <v>16.75</v>
      </c>
      <c r="M89" s="281">
        <f t="shared" si="15"/>
        <v>3.3037475345167651</v>
      </c>
    </row>
    <row r="90" spans="1:13" ht="15.75" customHeight="1" x14ac:dyDescent="0.25">
      <c r="B90" s="12"/>
      <c r="C90" s="71" t="s">
        <v>119</v>
      </c>
      <c r="D90" s="149">
        <f>SUM(D81:D87)</f>
        <v>11.72</v>
      </c>
      <c r="E90" s="149"/>
      <c r="F90" s="149"/>
      <c r="G90" s="149"/>
      <c r="H90" s="149"/>
      <c r="I90" s="165">
        <f>SUM(I81:I85,I87:I88)</f>
        <v>57.07</v>
      </c>
      <c r="J90" s="149">
        <f>SUM(J81:J85,J87:J88)</f>
        <v>53.72</v>
      </c>
      <c r="K90" s="171">
        <f t="shared" si="19"/>
        <v>3.3500000000000014</v>
      </c>
      <c r="L90" s="279">
        <f>SUM(L81:L85,L87:L88)</f>
        <v>43</v>
      </c>
      <c r="M90" s="281">
        <f t="shared" si="15"/>
        <v>3.668941979522184</v>
      </c>
    </row>
    <row r="91" spans="1:13" ht="15.75" customHeight="1" thickBot="1" x14ac:dyDescent="0.3">
      <c r="C91" s="156" t="s">
        <v>117</v>
      </c>
      <c r="D91" s="183" t="s">
        <v>109</v>
      </c>
      <c r="E91" s="183"/>
      <c r="F91" s="183"/>
      <c r="G91" s="183"/>
      <c r="H91" s="183"/>
      <c r="I91" s="188">
        <v>0</v>
      </c>
      <c r="J91" s="183">
        <v>0</v>
      </c>
      <c r="K91" s="169">
        <v>0</v>
      </c>
      <c r="L91" s="279">
        <v>0</v>
      </c>
      <c r="M91" s="281"/>
    </row>
    <row r="92" spans="1:13" ht="15.75" customHeight="1" thickTop="1" x14ac:dyDescent="0.25">
      <c r="C92" s="79" t="s">
        <v>118</v>
      </c>
      <c r="D92" s="186">
        <f>SUM(D89,D90)</f>
        <v>16.79</v>
      </c>
      <c r="E92" s="186"/>
      <c r="F92" s="186"/>
      <c r="G92" s="186"/>
      <c r="H92" s="186"/>
      <c r="I92" s="165">
        <f>SUM(I89,I90)</f>
        <v>79.05</v>
      </c>
      <c r="J92" s="149">
        <f>SUM(J89,J90)</f>
        <v>70.47</v>
      </c>
      <c r="K92" s="171">
        <f t="shared" si="19"/>
        <v>8.5799999999999983</v>
      </c>
      <c r="L92" s="279">
        <f>SUM(L89,L90)</f>
        <v>59.75</v>
      </c>
      <c r="M92" s="281">
        <f t="shared" si="15"/>
        <v>3.5586658725431808</v>
      </c>
    </row>
    <row r="93" spans="1:13" s="15" customFormat="1" ht="15.75" customHeight="1" x14ac:dyDescent="0.25">
      <c r="A93" s="3" t="s">
        <v>25</v>
      </c>
      <c r="C93" s="3"/>
      <c r="D93" s="37"/>
      <c r="E93" s="105"/>
      <c r="F93" s="16"/>
      <c r="G93" s="105"/>
      <c r="H93" s="105"/>
      <c r="I93" s="99"/>
      <c r="J93" s="83"/>
      <c r="K93" s="116"/>
      <c r="L93" s="279"/>
      <c r="M93" s="281"/>
    </row>
    <row r="94" spans="1:13" s="25" customFormat="1" ht="15.75" customHeight="1" x14ac:dyDescent="0.25">
      <c r="A94" s="44"/>
      <c r="B94" s="123" t="s">
        <v>3</v>
      </c>
      <c r="C94" s="123" t="s">
        <v>56</v>
      </c>
      <c r="D94" s="214">
        <v>1.49</v>
      </c>
      <c r="E94" s="215">
        <f>F94/D94</f>
        <v>2.6577181208053693</v>
      </c>
      <c r="F94" s="216">
        <v>3.96</v>
      </c>
      <c r="G94" s="215">
        <f>H94/D94</f>
        <v>4.6577181208053693</v>
      </c>
      <c r="H94" s="217">
        <v>6.94</v>
      </c>
      <c r="I94" s="218">
        <v>6.36</v>
      </c>
      <c r="J94" s="207">
        <v>8.1</v>
      </c>
      <c r="K94" s="230">
        <f>I94-J94</f>
        <v>-1.7399999999999993</v>
      </c>
      <c r="L94" s="279">
        <v>7</v>
      </c>
      <c r="M94" s="281">
        <f t="shared" si="15"/>
        <v>4.6979865771812079</v>
      </c>
    </row>
    <row r="95" spans="1:13" ht="15.75" customHeight="1" x14ac:dyDescent="0.25">
      <c r="A95" s="1" t="s">
        <v>93</v>
      </c>
      <c r="B95" s="8"/>
      <c r="C95" s="1"/>
      <c r="D95" s="87"/>
      <c r="E95" s="38"/>
      <c r="F95" s="17"/>
      <c r="G95" s="38"/>
      <c r="H95" s="38"/>
      <c r="I95" s="114"/>
      <c r="J95" s="65"/>
      <c r="K95" s="115"/>
      <c r="M95" s="281"/>
    </row>
    <row r="96" spans="1:13" ht="15.75" customHeight="1" x14ac:dyDescent="0.25">
      <c r="B96" s="72" t="s">
        <v>7</v>
      </c>
      <c r="C96" s="72" t="s">
        <v>99</v>
      </c>
      <c r="D96" s="36">
        <v>1</v>
      </c>
      <c r="E96" s="33">
        <f>F96/D96</f>
        <v>3.96</v>
      </c>
      <c r="F96" s="32">
        <v>3.96</v>
      </c>
      <c r="G96" s="33">
        <f>H96/D96</f>
        <v>6.94</v>
      </c>
      <c r="H96" s="103">
        <v>6.94</v>
      </c>
      <c r="I96" s="112">
        <v>0</v>
      </c>
      <c r="J96" s="95">
        <v>4.84</v>
      </c>
      <c r="K96" s="115">
        <f>I96-J96</f>
        <v>-4.84</v>
      </c>
      <c r="M96" s="281"/>
    </row>
    <row r="97" spans="1:13" s="15" customFormat="1" ht="15.75" customHeight="1" x14ac:dyDescent="0.25">
      <c r="A97" s="13" t="s">
        <v>103</v>
      </c>
      <c r="C97" s="81"/>
      <c r="D97" s="82"/>
      <c r="E97" s="83"/>
      <c r="F97" s="84"/>
      <c r="G97" s="83"/>
      <c r="H97" s="84"/>
      <c r="I97" s="116"/>
      <c r="J97" s="84"/>
      <c r="K97" s="116"/>
      <c r="L97" s="279"/>
      <c r="M97" s="281"/>
    </row>
    <row r="98" spans="1:13" ht="15.75" customHeight="1" x14ac:dyDescent="0.25">
      <c r="A98" s="43"/>
      <c r="B98" s="94" t="s">
        <v>7</v>
      </c>
      <c r="C98" s="130" t="s">
        <v>122</v>
      </c>
      <c r="D98" s="131">
        <v>1</v>
      </c>
      <c r="E98" s="66"/>
      <c r="F98" s="132"/>
      <c r="G98" s="66"/>
      <c r="H98" s="132"/>
      <c r="I98" s="113">
        <v>0</v>
      </c>
      <c r="J98" s="97">
        <v>5.52</v>
      </c>
      <c r="K98" s="115">
        <f>I98-J98</f>
        <v>-5.52</v>
      </c>
      <c r="L98" s="279">
        <v>5</v>
      </c>
      <c r="M98" s="281">
        <f t="shared" si="15"/>
        <v>5</v>
      </c>
    </row>
    <row r="99" spans="1:13" s="15" customFormat="1" ht="15.75" customHeight="1" x14ac:dyDescent="0.25">
      <c r="A99" s="13" t="s">
        <v>27</v>
      </c>
      <c r="C99" s="3"/>
      <c r="D99" s="37"/>
      <c r="E99" s="105"/>
      <c r="F99" s="16"/>
      <c r="G99" s="105"/>
      <c r="H99" s="105"/>
      <c r="I99" s="99"/>
      <c r="J99" s="83"/>
      <c r="K99" s="118"/>
      <c r="L99" s="279"/>
      <c r="M99" s="281"/>
    </row>
    <row r="100" spans="1:13" ht="15.75" customHeight="1" x14ac:dyDescent="0.25">
      <c r="B100" s="9" t="s">
        <v>3</v>
      </c>
      <c r="C100" s="9" t="s">
        <v>57</v>
      </c>
      <c r="D100" s="39">
        <v>7.0000000000000007E-2</v>
      </c>
      <c r="E100" s="135">
        <f>F100/D100</f>
        <v>4.7142857142857144</v>
      </c>
      <c r="F100" s="189">
        <v>0.33</v>
      </c>
      <c r="G100" s="135">
        <f>H100/D100</f>
        <v>3.2857142857142856</v>
      </c>
      <c r="H100" s="190">
        <v>0.23</v>
      </c>
      <c r="I100" s="126">
        <v>0.32</v>
      </c>
      <c r="J100" s="95">
        <v>0.25</v>
      </c>
      <c r="K100" s="126">
        <f>I100-J100</f>
        <v>7.0000000000000007E-2</v>
      </c>
      <c r="L100" s="279">
        <v>0.25</v>
      </c>
      <c r="M100" s="281">
        <f t="shared" si="15"/>
        <v>3.5714285714285712</v>
      </c>
    </row>
    <row r="101" spans="1:13" ht="15.75" customHeight="1" x14ac:dyDescent="0.25">
      <c r="A101" s="1"/>
      <c r="B101" s="9"/>
      <c r="C101" s="9" t="s">
        <v>58</v>
      </c>
      <c r="D101" s="39">
        <v>2.36</v>
      </c>
      <c r="E101" s="135">
        <f>F101/D101</f>
        <v>3.4745762711864407</v>
      </c>
      <c r="F101" s="189">
        <v>8.1999999999999993</v>
      </c>
      <c r="G101" s="135">
        <f>H101/D101</f>
        <v>3.4745762711864407</v>
      </c>
      <c r="H101" s="190">
        <v>8.1999999999999993</v>
      </c>
      <c r="I101" s="126">
        <v>10.74</v>
      </c>
      <c r="J101" s="95">
        <v>9.5399999999999991</v>
      </c>
      <c r="K101" s="126">
        <f t="shared" ref="K101:K108" si="20">I101-J101</f>
        <v>1.2000000000000011</v>
      </c>
      <c r="L101" s="279">
        <v>9</v>
      </c>
      <c r="M101" s="281">
        <f t="shared" si="15"/>
        <v>3.8135593220338984</v>
      </c>
    </row>
    <row r="102" spans="1:13" ht="15.75" customHeight="1" x14ac:dyDescent="0.25">
      <c r="B102" s="9"/>
      <c r="C102" s="9" t="s">
        <v>59</v>
      </c>
      <c r="D102" s="39">
        <v>1.17</v>
      </c>
      <c r="E102" s="135">
        <f>F102/D102</f>
        <v>3.4786324786324792</v>
      </c>
      <c r="F102" s="189">
        <v>4.07</v>
      </c>
      <c r="G102" s="135">
        <f>H102/D102</f>
        <v>4.8461538461538467</v>
      </c>
      <c r="H102" s="190">
        <v>5.67</v>
      </c>
      <c r="I102" s="126">
        <v>5.42</v>
      </c>
      <c r="J102" s="95">
        <v>4.26</v>
      </c>
      <c r="K102" s="126">
        <f t="shared" si="20"/>
        <v>1.1600000000000001</v>
      </c>
      <c r="L102" s="279">
        <v>4.5</v>
      </c>
      <c r="M102" s="281">
        <f t="shared" si="15"/>
        <v>3.8461538461538463</v>
      </c>
    </row>
    <row r="103" spans="1:13" ht="15.75" customHeight="1" x14ac:dyDescent="0.25">
      <c r="B103" s="9"/>
      <c r="C103" s="9" t="s">
        <v>60</v>
      </c>
      <c r="D103" s="39">
        <v>0.95</v>
      </c>
      <c r="E103" s="135">
        <f>F103/D103</f>
        <v>4.6315789473684212</v>
      </c>
      <c r="F103" s="189">
        <v>4.4000000000000004</v>
      </c>
      <c r="G103" s="135">
        <f>H103/D103</f>
        <v>4.7473684210526317</v>
      </c>
      <c r="H103" s="190">
        <v>4.51</v>
      </c>
      <c r="I103" s="126">
        <v>5.52</v>
      </c>
      <c r="J103" s="95">
        <v>3.13</v>
      </c>
      <c r="K103" s="126">
        <f t="shared" si="20"/>
        <v>2.3899999999999997</v>
      </c>
      <c r="L103" s="279">
        <v>3.5</v>
      </c>
      <c r="M103" s="281">
        <f t="shared" si="15"/>
        <v>3.6842105263157898</v>
      </c>
    </row>
    <row r="104" spans="1:13" ht="15.75" customHeight="1" x14ac:dyDescent="0.25">
      <c r="B104" s="18" t="s">
        <v>7</v>
      </c>
      <c r="C104" s="18" t="s">
        <v>122</v>
      </c>
      <c r="D104" s="129">
        <v>12.06</v>
      </c>
      <c r="E104" s="141"/>
      <c r="F104" s="192"/>
      <c r="G104" s="141"/>
      <c r="H104" s="193"/>
      <c r="I104" s="140">
        <v>0</v>
      </c>
      <c r="J104" s="97">
        <v>17.004999999999999</v>
      </c>
      <c r="K104" s="126">
        <f t="shared" si="20"/>
        <v>-17.004999999999999</v>
      </c>
      <c r="L104" s="279">
        <v>15</v>
      </c>
      <c r="M104" s="281">
        <f t="shared" si="15"/>
        <v>1.2437810945273631</v>
      </c>
    </row>
    <row r="105" spans="1:13" ht="15.75" customHeight="1" x14ac:dyDescent="0.25">
      <c r="B105" s="12"/>
      <c r="C105" s="151" t="s">
        <v>115</v>
      </c>
      <c r="D105" s="176">
        <f>SUM(D100:D103)</f>
        <v>4.55</v>
      </c>
      <c r="E105" s="176"/>
      <c r="F105" s="176"/>
      <c r="G105" s="176"/>
      <c r="H105" s="176"/>
      <c r="I105" s="187">
        <f>SUM(I100:I103)</f>
        <v>22</v>
      </c>
      <c r="J105" s="176">
        <f>SUM(J100:J103)</f>
        <v>17.18</v>
      </c>
      <c r="K105" s="161">
        <f t="shared" si="20"/>
        <v>4.82</v>
      </c>
      <c r="L105" s="279">
        <f>SUM(L100:L103)</f>
        <v>17.25</v>
      </c>
      <c r="M105" s="281">
        <f t="shared" si="15"/>
        <v>3.7912087912087915</v>
      </c>
    </row>
    <row r="106" spans="1:13" ht="15.75" customHeight="1" x14ac:dyDescent="0.25">
      <c r="B106" s="12"/>
      <c r="C106" s="71" t="s">
        <v>120</v>
      </c>
      <c r="D106" s="149" t="s">
        <v>109</v>
      </c>
      <c r="E106" s="149"/>
      <c r="F106" s="149"/>
      <c r="G106" s="149"/>
      <c r="H106" s="149"/>
      <c r="I106" s="165">
        <v>0</v>
      </c>
      <c r="J106" s="149">
        <v>0</v>
      </c>
      <c r="K106" s="171">
        <f t="shared" si="20"/>
        <v>0</v>
      </c>
      <c r="L106" s="279">
        <v>0</v>
      </c>
      <c r="M106" s="281"/>
    </row>
    <row r="107" spans="1:13" ht="15.75" customHeight="1" thickBot="1" x14ac:dyDescent="0.3">
      <c r="C107" s="156" t="s">
        <v>117</v>
      </c>
      <c r="D107" s="183">
        <v>12.06</v>
      </c>
      <c r="E107" s="183"/>
      <c r="F107" s="183"/>
      <c r="G107" s="183"/>
      <c r="H107" s="183"/>
      <c r="I107" s="188">
        <v>0</v>
      </c>
      <c r="J107" s="183">
        <v>17.010000000000002</v>
      </c>
      <c r="K107" s="169">
        <f t="shared" si="20"/>
        <v>-17.010000000000002</v>
      </c>
      <c r="L107" s="279">
        <v>15</v>
      </c>
      <c r="M107" s="281">
        <f t="shared" si="15"/>
        <v>1.2437810945273631</v>
      </c>
    </row>
    <row r="108" spans="1:13" ht="15.75" customHeight="1" thickTop="1" x14ac:dyDescent="0.25">
      <c r="C108" s="79" t="s">
        <v>118</v>
      </c>
      <c r="D108" s="186">
        <f>SUM(D105,D107)</f>
        <v>16.61</v>
      </c>
      <c r="E108" s="186"/>
      <c r="F108" s="186"/>
      <c r="G108" s="186"/>
      <c r="H108" s="186"/>
      <c r="I108" s="165">
        <v>22</v>
      </c>
      <c r="J108" s="149">
        <f>SUM(J105,J107)</f>
        <v>34.19</v>
      </c>
      <c r="K108" s="171">
        <f t="shared" si="20"/>
        <v>-12.189999999999998</v>
      </c>
      <c r="L108" s="279">
        <f>SUM(L105,L107)</f>
        <v>32.25</v>
      </c>
      <c r="M108" s="281">
        <f t="shared" si="15"/>
        <v>1.9416014449127033</v>
      </c>
    </row>
    <row r="109" spans="1:13" s="15" customFormat="1" ht="15.75" customHeight="1" x14ac:dyDescent="0.25">
      <c r="A109" s="3" t="s">
        <v>28</v>
      </c>
      <c r="C109" s="3"/>
      <c r="D109" s="37"/>
      <c r="E109" s="105"/>
      <c r="F109" s="16"/>
      <c r="G109" s="105"/>
      <c r="H109" s="105"/>
      <c r="I109" s="99"/>
      <c r="J109" s="83"/>
      <c r="K109" s="118"/>
      <c r="L109" s="279"/>
      <c r="M109" s="281"/>
    </row>
    <row r="110" spans="1:13" ht="15.75" customHeight="1" x14ac:dyDescent="0.25">
      <c r="B110" s="9" t="s">
        <v>3</v>
      </c>
      <c r="C110" s="9" t="s">
        <v>53</v>
      </c>
      <c r="D110" s="39">
        <v>1.1000000000000001</v>
      </c>
      <c r="E110" s="135">
        <f>F110/D110</f>
        <v>4.8</v>
      </c>
      <c r="F110" s="189">
        <v>5.28</v>
      </c>
      <c r="G110" s="135">
        <f>H110/D110</f>
        <v>3.8272727272727267</v>
      </c>
      <c r="H110" s="190">
        <v>4.21</v>
      </c>
      <c r="I110" s="126">
        <v>4.45</v>
      </c>
      <c r="J110" s="95">
        <v>4.53</v>
      </c>
      <c r="K110" s="126">
        <f>I110-J110</f>
        <v>-8.0000000000000071E-2</v>
      </c>
      <c r="L110" s="279">
        <v>4.5</v>
      </c>
      <c r="M110" s="281">
        <f t="shared" si="15"/>
        <v>4.0909090909090908</v>
      </c>
    </row>
    <row r="111" spans="1:13" ht="15.75" customHeight="1" x14ac:dyDescent="0.25">
      <c r="B111" s="9" t="s">
        <v>3</v>
      </c>
      <c r="C111" s="9" t="s">
        <v>61</v>
      </c>
      <c r="D111" s="39">
        <v>0.83</v>
      </c>
      <c r="E111" s="135">
        <f>F111/D111</f>
        <v>4.7951807228915664</v>
      </c>
      <c r="F111" s="189">
        <v>3.98</v>
      </c>
      <c r="G111" s="135">
        <f>H111/D111</f>
        <v>4.9156626506024104</v>
      </c>
      <c r="H111" s="190">
        <v>4.08</v>
      </c>
      <c r="I111" s="126">
        <v>4.0599999999999996</v>
      </c>
      <c r="J111" s="95">
        <v>4.49</v>
      </c>
      <c r="K111" s="126">
        <f t="shared" ref="K111:K117" si="21">I111-J111</f>
        <v>-0.4300000000000006</v>
      </c>
      <c r="L111" s="279">
        <v>4.5</v>
      </c>
      <c r="M111" s="281">
        <f t="shared" si="15"/>
        <v>5.4216867469879517</v>
      </c>
    </row>
    <row r="112" spans="1:13" ht="15.75" customHeight="1" x14ac:dyDescent="0.25">
      <c r="B112" s="72" t="s">
        <v>86</v>
      </c>
      <c r="C112" s="9"/>
      <c r="D112" s="39">
        <v>0.05</v>
      </c>
      <c r="E112" s="135"/>
      <c r="F112" s="189"/>
      <c r="G112" s="135"/>
      <c r="H112" s="190"/>
      <c r="I112" s="128">
        <v>0.24</v>
      </c>
      <c r="J112" s="95">
        <v>0.23</v>
      </c>
      <c r="K112" s="126">
        <f t="shared" si="21"/>
        <v>9.9999999999999811E-3</v>
      </c>
      <c r="L112" s="279">
        <v>0.23</v>
      </c>
      <c r="M112" s="281">
        <f t="shared" si="15"/>
        <v>4.5999999999999996</v>
      </c>
    </row>
    <row r="113" spans="1:14" ht="15.75" customHeight="1" x14ac:dyDescent="0.25">
      <c r="B113" s="9" t="s">
        <v>6</v>
      </c>
      <c r="C113" s="9"/>
      <c r="D113" s="39">
        <v>13.45</v>
      </c>
      <c r="E113" s="135">
        <f>F113/D113</f>
        <v>5.9977695167286251</v>
      </c>
      <c r="F113" s="189">
        <v>80.67</v>
      </c>
      <c r="G113" s="135">
        <f>H113/D113</f>
        <v>3.5591078066914497</v>
      </c>
      <c r="H113" s="190">
        <v>47.87</v>
      </c>
      <c r="I113" s="126">
        <v>58.79</v>
      </c>
      <c r="J113" s="95">
        <v>61.53</v>
      </c>
      <c r="K113" s="126">
        <f t="shared" si="21"/>
        <v>-2.740000000000002</v>
      </c>
      <c r="L113" s="279">
        <v>60</v>
      </c>
      <c r="M113" s="281">
        <f t="shared" si="15"/>
        <v>4.4609665427509295</v>
      </c>
    </row>
    <row r="114" spans="1:14" ht="15.75" customHeight="1" x14ac:dyDescent="0.25">
      <c r="B114" s="12"/>
      <c r="C114" s="151" t="s">
        <v>115</v>
      </c>
      <c r="D114" s="176">
        <f>SUM(D110:D111,D113)</f>
        <v>15.379999999999999</v>
      </c>
      <c r="E114" s="176">
        <f t="shared" ref="E114:J114" si="22">SUM(E110:E111,E113)</f>
        <v>15.59295023962019</v>
      </c>
      <c r="F114" s="176">
        <f t="shared" si="22"/>
        <v>89.93</v>
      </c>
      <c r="G114" s="176">
        <f t="shared" si="22"/>
        <v>12.302043184566585</v>
      </c>
      <c r="H114" s="176">
        <f t="shared" si="22"/>
        <v>56.16</v>
      </c>
      <c r="I114" s="187">
        <f t="shared" si="22"/>
        <v>67.3</v>
      </c>
      <c r="J114" s="176">
        <f t="shared" si="22"/>
        <v>70.55</v>
      </c>
      <c r="K114" s="161">
        <f t="shared" si="21"/>
        <v>-3.25</v>
      </c>
      <c r="L114" s="279">
        <f t="shared" ref="L114" si="23">SUM(L110:L111,L113)</f>
        <v>69</v>
      </c>
      <c r="M114" s="281">
        <f t="shared" si="15"/>
        <v>4.4863459037711317</v>
      </c>
    </row>
    <row r="115" spans="1:14" ht="15.75" customHeight="1" x14ac:dyDescent="0.25">
      <c r="B115" s="12"/>
      <c r="C115" s="71" t="s">
        <v>119</v>
      </c>
      <c r="D115" s="149">
        <v>0.05</v>
      </c>
      <c r="E115" s="149"/>
      <c r="F115" s="149"/>
      <c r="G115" s="149"/>
      <c r="H115" s="149"/>
      <c r="I115" s="165">
        <v>0.24</v>
      </c>
      <c r="J115" s="149">
        <v>0.23</v>
      </c>
      <c r="K115" s="171">
        <f t="shared" si="21"/>
        <v>9.9999999999999811E-3</v>
      </c>
      <c r="L115" s="279">
        <v>0.23</v>
      </c>
      <c r="M115" s="281">
        <f t="shared" si="15"/>
        <v>4.5999999999999996</v>
      </c>
    </row>
    <row r="116" spans="1:14" ht="15.75" customHeight="1" thickBot="1" x14ac:dyDescent="0.3">
      <c r="C116" s="156" t="s">
        <v>117</v>
      </c>
      <c r="D116" s="183" t="s">
        <v>109</v>
      </c>
      <c r="E116" s="183"/>
      <c r="F116" s="183"/>
      <c r="G116" s="183"/>
      <c r="H116" s="183"/>
      <c r="I116" s="188">
        <v>0</v>
      </c>
      <c r="J116" s="183">
        <v>0</v>
      </c>
      <c r="K116" s="169">
        <f t="shared" si="21"/>
        <v>0</v>
      </c>
      <c r="L116" s="279">
        <v>0</v>
      </c>
      <c r="M116" s="281"/>
    </row>
    <row r="117" spans="1:14" ht="15.75" customHeight="1" thickTop="1" x14ac:dyDescent="0.25">
      <c r="C117" s="79" t="s">
        <v>118</v>
      </c>
      <c r="D117" s="186">
        <f>SUM(D114:D115)</f>
        <v>15.43</v>
      </c>
      <c r="E117" s="185">
        <f t="shared" ref="E117:J117" si="24">SUM(E114:E115)</f>
        <v>15.59295023962019</v>
      </c>
      <c r="F117" s="185">
        <f t="shared" si="24"/>
        <v>89.93</v>
      </c>
      <c r="G117" s="185">
        <f t="shared" si="24"/>
        <v>12.302043184566585</v>
      </c>
      <c r="H117" s="185">
        <f t="shared" si="24"/>
        <v>56.16</v>
      </c>
      <c r="I117" s="165">
        <f t="shared" si="24"/>
        <v>67.539999999999992</v>
      </c>
      <c r="J117" s="149">
        <f t="shared" si="24"/>
        <v>70.78</v>
      </c>
      <c r="K117" s="171">
        <f t="shared" si="21"/>
        <v>-3.2400000000000091</v>
      </c>
      <c r="L117" s="279">
        <f t="shared" ref="L117" si="25">SUM(L114:L115)</f>
        <v>69.23</v>
      </c>
      <c r="M117" s="281">
        <f t="shared" si="15"/>
        <v>4.4867141931302656</v>
      </c>
    </row>
    <row r="118" spans="1:14" s="15" customFormat="1" ht="15.75" customHeight="1" x14ac:dyDescent="0.25">
      <c r="A118" s="3" t="s">
        <v>62</v>
      </c>
      <c r="C118" s="3"/>
      <c r="D118" s="37"/>
      <c r="E118" s="105"/>
      <c r="F118" s="16"/>
      <c r="G118" s="105"/>
      <c r="H118" s="105"/>
      <c r="I118" s="99"/>
      <c r="J118" s="83"/>
      <c r="K118" s="118"/>
      <c r="L118" s="279"/>
      <c r="M118" s="281"/>
    </row>
    <row r="119" spans="1:14" ht="15.75" customHeight="1" x14ac:dyDescent="0.25">
      <c r="B119" s="18" t="s">
        <v>7</v>
      </c>
      <c r="C119" s="18" t="s">
        <v>46</v>
      </c>
      <c r="D119" s="129">
        <v>11.2</v>
      </c>
      <c r="E119" s="141"/>
      <c r="F119" s="192">
        <v>63.69</v>
      </c>
      <c r="G119" s="141"/>
      <c r="H119" s="193">
        <v>63.84</v>
      </c>
      <c r="I119" s="140">
        <v>59.91</v>
      </c>
      <c r="J119" s="97">
        <v>66.959999999999994</v>
      </c>
      <c r="K119" s="126">
        <f>I119-J119</f>
        <v>-7.0499999999999972</v>
      </c>
      <c r="L119" s="279">
        <v>60</v>
      </c>
      <c r="M119" s="281">
        <f t="shared" si="15"/>
        <v>5.3571428571428577</v>
      </c>
      <c r="N119" s="69" t="s">
        <v>134</v>
      </c>
    </row>
    <row r="120" spans="1:14" ht="15.75" customHeight="1" x14ac:dyDescent="0.25">
      <c r="B120" s="18" t="s">
        <v>7</v>
      </c>
      <c r="C120" s="72" t="s">
        <v>99</v>
      </c>
      <c r="D120" s="129">
        <v>7</v>
      </c>
      <c r="E120" s="141"/>
      <c r="F120" s="192"/>
      <c r="G120" s="141"/>
      <c r="H120" s="193"/>
      <c r="I120" s="140">
        <v>0</v>
      </c>
      <c r="J120" s="95">
        <v>48.88</v>
      </c>
      <c r="K120" s="126">
        <f t="shared" ref="K120:K124" si="26">I120-J120</f>
        <v>-48.88</v>
      </c>
      <c r="L120" s="279">
        <v>0</v>
      </c>
      <c r="M120" s="281">
        <f t="shared" si="15"/>
        <v>0</v>
      </c>
    </row>
    <row r="121" spans="1:14" ht="15.75" customHeight="1" x14ac:dyDescent="0.25">
      <c r="B121" s="12"/>
      <c r="C121" s="151" t="s">
        <v>115</v>
      </c>
      <c r="D121" s="195" t="s">
        <v>109</v>
      </c>
      <c r="E121" s="191"/>
      <c r="F121" s="191"/>
      <c r="G121" s="191"/>
      <c r="H121" s="191"/>
      <c r="I121" s="196">
        <v>0</v>
      </c>
      <c r="J121" s="195">
        <v>0</v>
      </c>
      <c r="K121" s="161">
        <f t="shared" si="26"/>
        <v>0</v>
      </c>
      <c r="L121" s="279">
        <v>0</v>
      </c>
      <c r="M121" s="281"/>
    </row>
    <row r="122" spans="1:14" ht="15.75" customHeight="1" x14ac:dyDescent="0.25">
      <c r="B122" s="12"/>
      <c r="C122" s="71" t="s">
        <v>120</v>
      </c>
      <c r="D122" s="142" t="s">
        <v>109</v>
      </c>
      <c r="E122" s="95"/>
      <c r="F122" s="197"/>
      <c r="G122" s="95"/>
      <c r="H122" s="197"/>
      <c r="I122" s="140">
        <v>0</v>
      </c>
      <c r="J122" s="97">
        <v>0</v>
      </c>
      <c r="K122" s="171">
        <f t="shared" si="26"/>
        <v>0</v>
      </c>
      <c r="L122" s="279">
        <v>0</v>
      </c>
      <c r="M122" s="281"/>
    </row>
    <row r="123" spans="1:14" ht="15.75" customHeight="1" thickBot="1" x14ac:dyDescent="0.3">
      <c r="C123" s="156" t="s">
        <v>117</v>
      </c>
      <c r="D123" s="194">
        <f>SUM(D119:D120)</f>
        <v>18.2</v>
      </c>
      <c r="E123" s="194"/>
      <c r="F123" s="170"/>
      <c r="G123" s="194"/>
      <c r="H123" s="170"/>
      <c r="I123" s="169">
        <v>59.91</v>
      </c>
      <c r="J123" s="170">
        <f>SUM(J119:J120)</f>
        <v>115.84</v>
      </c>
      <c r="K123" s="169">
        <f t="shared" si="26"/>
        <v>-55.930000000000007</v>
      </c>
      <c r="L123" s="279">
        <f>SUM(L119:L120)</f>
        <v>60</v>
      </c>
      <c r="M123" s="281">
        <f t="shared" si="15"/>
        <v>3.296703296703297</v>
      </c>
    </row>
    <row r="124" spans="1:14" ht="15.75" customHeight="1" thickTop="1" x14ac:dyDescent="0.25">
      <c r="C124" s="79" t="s">
        <v>118</v>
      </c>
      <c r="D124" s="134">
        <v>18.2</v>
      </c>
      <c r="E124" s="133"/>
      <c r="F124" s="133"/>
      <c r="G124" s="133"/>
      <c r="H124" s="133"/>
      <c r="I124" s="171">
        <v>59.91</v>
      </c>
      <c r="J124" s="158">
        <v>115.84</v>
      </c>
      <c r="K124" s="171">
        <f t="shared" si="26"/>
        <v>-55.930000000000007</v>
      </c>
      <c r="L124" s="279">
        <f>L123</f>
        <v>60</v>
      </c>
      <c r="M124" s="281">
        <f t="shared" si="15"/>
        <v>3.296703296703297</v>
      </c>
    </row>
    <row r="125" spans="1:14" s="15" customFormat="1" ht="15.75" customHeight="1" x14ac:dyDescent="0.25">
      <c r="A125" s="13" t="s">
        <v>30</v>
      </c>
      <c r="C125" s="3"/>
      <c r="D125" s="37"/>
      <c r="E125" s="105"/>
      <c r="F125" s="16"/>
      <c r="G125" s="105"/>
      <c r="H125" s="105"/>
      <c r="I125" s="99"/>
      <c r="J125" s="83"/>
      <c r="K125" s="118"/>
      <c r="L125" s="279"/>
      <c r="M125" s="281"/>
    </row>
    <row r="126" spans="1:14" ht="15.75" customHeight="1" x14ac:dyDescent="0.25">
      <c r="B126" s="9" t="s">
        <v>3</v>
      </c>
      <c r="C126" s="9" t="s">
        <v>57</v>
      </c>
      <c r="D126" s="39">
        <v>0.66</v>
      </c>
      <c r="E126" s="135">
        <f t="shared" ref="E126:E131" si="27">F126/D126</f>
        <v>3.6515151515151514</v>
      </c>
      <c r="F126" s="189">
        <v>2.41</v>
      </c>
      <c r="G126" s="135">
        <f t="shared" ref="G126:G131" si="28">H126/D126</f>
        <v>5.3484848484848477</v>
      </c>
      <c r="H126" s="190">
        <v>3.53</v>
      </c>
      <c r="I126" s="126">
        <v>3.36</v>
      </c>
      <c r="J126" s="95">
        <v>2.82</v>
      </c>
      <c r="K126" s="126">
        <f>I126-J126</f>
        <v>0.54</v>
      </c>
      <c r="L126" s="279">
        <v>2</v>
      </c>
      <c r="M126" s="281">
        <f t="shared" si="15"/>
        <v>3.0303030303030303</v>
      </c>
      <c r="N126" s="69" t="s">
        <v>135</v>
      </c>
    </row>
    <row r="127" spans="1:14" ht="15.75" customHeight="1" x14ac:dyDescent="0.25">
      <c r="A127" s="1"/>
      <c r="B127" s="9" t="s">
        <v>3</v>
      </c>
      <c r="C127" s="9" t="s">
        <v>51</v>
      </c>
      <c r="D127" s="39">
        <v>2.79</v>
      </c>
      <c r="E127" s="135">
        <f t="shared" si="27"/>
        <v>3.5197132616487457</v>
      </c>
      <c r="F127" s="189">
        <v>9.82</v>
      </c>
      <c r="G127" s="135">
        <f t="shared" si="28"/>
        <v>4.6810035842293907</v>
      </c>
      <c r="H127" s="190">
        <v>13.06</v>
      </c>
      <c r="I127" s="126">
        <v>13.42</v>
      </c>
      <c r="J127" s="95">
        <v>16.260000000000002</v>
      </c>
      <c r="K127" s="126">
        <f t="shared" ref="K127:K136" si="29">I127-J127</f>
        <v>-2.8400000000000016</v>
      </c>
      <c r="L127" s="279">
        <v>10</v>
      </c>
      <c r="M127" s="281">
        <f t="shared" si="15"/>
        <v>3.5842293906810037</v>
      </c>
    </row>
    <row r="128" spans="1:14" ht="15.75" customHeight="1" x14ac:dyDescent="0.25">
      <c r="B128" s="9" t="s">
        <v>3</v>
      </c>
      <c r="C128" s="9" t="s">
        <v>63</v>
      </c>
      <c r="D128" s="39">
        <v>2.7</v>
      </c>
      <c r="E128" s="135">
        <f t="shared" si="27"/>
        <v>2.4518518518518517</v>
      </c>
      <c r="F128" s="189">
        <v>6.62</v>
      </c>
      <c r="G128" s="135">
        <f t="shared" si="28"/>
        <v>3.903703703703703</v>
      </c>
      <c r="H128" s="190">
        <v>10.54</v>
      </c>
      <c r="I128" s="126">
        <v>10.86</v>
      </c>
      <c r="J128" s="95">
        <v>8.07</v>
      </c>
      <c r="K128" s="126">
        <f t="shared" si="29"/>
        <v>2.7899999999999991</v>
      </c>
      <c r="L128" s="279">
        <v>8</v>
      </c>
      <c r="M128" s="281">
        <f t="shared" si="15"/>
        <v>2.9629629629629628</v>
      </c>
    </row>
    <row r="129" spans="1:14" ht="15.75" customHeight="1" x14ac:dyDescent="0.25">
      <c r="B129" s="9" t="s">
        <v>3</v>
      </c>
      <c r="C129" s="9" t="s">
        <v>64</v>
      </c>
      <c r="D129" s="39">
        <v>0.85</v>
      </c>
      <c r="E129" s="135">
        <f t="shared" si="27"/>
        <v>3.5529411764705885</v>
      </c>
      <c r="F129" s="189">
        <v>3.02</v>
      </c>
      <c r="G129" s="135">
        <f t="shared" si="28"/>
        <v>6.8588235294117652</v>
      </c>
      <c r="H129" s="190">
        <v>5.83</v>
      </c>
      <c r="I129" s="126">
        <v>3.21</v>
      </c>
      <c r="J129" s="95">
        <v>1.4</v>
      </c>
      <c r="K129" s="126">
        <f t="shared" si="29"/>
        <v>1.81</v>
      </c>
      <c r="L129" s="279">
        <v>2</v>
      </c>
      <c r="M129" s="281">
        <f t="shared" si="15"/>
        <v>2.3529411764705883</v>
      </c>
    </row>
    <row r="130" spans="1:14" ht="15.75" customHeight="1" x14ac:dyDescent="0.25">
      <c r="B130" s="9" t="s">
        <v>3</v>
      </c>
      <c r="C130" s="9" t="s">
        <v>45</v>
      </c>
      <c r="D130" s="39">
        <v>0.78</v>
      </c>
      <c r="E130" s="135">
        <f t="shared" si="27"/>
        <v>3.8589743589743586</v>
      </c>
      <c r="F130" s="189">
        <v>3.01</v>
      </c>
      <c r="G130" s="135">
        <f t="shared" si="28"/>
        <v>2.7692307692307692</v>
      </c>
      <c r="H130" s="190">
        <v>2.16</v>
      </c>
      <c r="I130" s="126">
        <v>2.7</v>
      </c>
      <c r="J130" s="95">
        <v>1.67</v>
      </c>
      <c r="K130" s="126">
        <f t="shared" si="29"/>
        <v>1.0300000000000002</v>
      </c>
      <c r="L130" s="279">
        <v>1.67</v>
      </c>
      <c r="M130" s="281">
        <f t="shared" si="15"/>
        <v>2.141025641025641</v>
      </c>
    </row>
    <row r="131" spans="1:14" ht="15.75" customHeight="1" x14ac:dyDescent="0.25">
      <c r="A131" s="1"/>
      <c r="B131" s="9" t="s">
        <v>3</v>
      </c>
      <c r="C131" s="9" t="s">
        <v>65</v>
      </c>
      <c r="D131" s="39">
        <v>4.92</v>
      </c>
      <c r="E131" s="135">
        <f t="shared" si="27"/>
        <v>4.0040650406504064</v>
      </c>
      <c r="F131" s="189">
        <v>19.7</v>
      </c>
      <c r="G131" s="135">
        <f t="shared" si="28"/>
        <v>3.9146341463414638</v>
      </c>
      <c r="H131" s="190">
        <v>19.260000000000002</v>
      </c>
      <c r="I131" s="126">
        <v>19.28</v>
      </c>
      <c r="J131" s="95">
        <v>21.55</v>
      </c>
      <c r="K131" s="126">
        <f t="shared" si="29"/>
        <v>-2.2699999999999996</v>
      </c>
      <c r="L131" s="279">
        <v>18</v>
      </c>
      <c r="M131" s="281">
        <f t="shared" si="15"/>
        <v>3.6585365853658538</v>
      </c>
    </row>
    <row r="132" spans="1:14" ht="15.75" customHeight="1" x14ac:dyDescent="0.25">
      <c r="A132" s="1"/>
      <c r="B132" s="18" t="s">
        <v>7</v>
      </c>
      <c r="C132" s="18" t="s">
        <v>87</v>
      </c>
      <c r="D132" s="129">
        <v>6.41</v>
      </c>
      <c r="E132" s="141"/>
      <c r="F132" s="192"/>
      <c r="G132" s="141"/>
      <c r="H132" s="193"/>
      <c r="I132" s="140">
        <v>0</v>
      </c>
      <c r="J132" s="97">
        <v>23.13</v>
      </c>
      <c r="K132" s="126">
        <f t="shared" si="29"/>
        <v>-23.13</v>
      </c>
      <c r="L132" s="279">
        <v>23.13</v>
      </c>
      <c r="M132" s="281">
        <f t="shared" si="15"/>
        <v>3.6084243369734788</v>
      </c>
    </row>
    <row r="133" spans="1:14" ht="15.75" customHeight="1" x14ac:dyDescent="0.25">
      <c r="B133" s="12"/>
      <c r="C133" s="151" t="s">
        <v>115</v>
      </c>
      <c r="D133" s="176">
        <f>SUM(D126:D131)</f>
        <v>12.7</v>
      </c>
      <c r="E133" s="176">
        <f t="shared" ref="E133:H133" si="30">SUM(E126:E131)</f>
        <v>21.039060841111102</v>
      </c>
      <c r="F133" s="176">
        <f t="shared" si="30"/>
        <v>44.58</v>
      </c>
      <c r="G133" s="176">
        <f t="shared" si="30"/>
        <v>27.475880581401942</v>
      </c>
      <c r="H133" s="176">
        <f t="shared" si="30"/>
        <v>54.38000000000001</v>
      </c>
      <c r="I133" s="187">
        <f>SUM(I126:I131)</f>
        <v>52.830000000000005</v>
      </c>
      <c r="J133" s="176">
        <f>SUM(J126:J131)</f>
        <v>51.769999999999996</v>
      </c>
      <c r="K133" s="161">
        <f t="shared" si="29"/>
        <v>1.0600000000000094</v>
      </c>
      <c r="L133" s="279">
        <f>SUM(L126:L131)</f>
        <v>41.67</v>
      </c>
      <c r="M133" s="281">
        <f t="shared" ref="M133:M179" si="31">L133/D133</f>
        <v>3.2811023622047246</v>
      </c>
    </row>
    <row r="134" spans="1:14" ht="15.75" customHeight="1" x14ac:dyDescent="0.25">
      <c r="B134" s="12"/>
      <c r="C134" s="71" t="s">
        <v>121</v>
      </c>
      <c r="D134" s="149" t="s">
        <v>109</v>
      </c>
      <c r="E134" s="149"/>
      <c r="F134" s="149"/>
      <c r="G134" s="149"/>
      <c r="H134" s="149"/>
      <c r="I134" s="165">
        <v>0</v>
      </c>
      <c r="J134" s="149">
        <v>0</v>
      </c>
      <c r="K134" s="171">
        <f t="shared" si="29"/>
        <v>0</v>
      </c>
      <c r="L134" s="279">
        <v>0</v>
      </c>
      <c r="M134" s="281"/>
    </row>
    <row r="135" spans="1:14" ht="15.75" customHeight="1" thickBot="1" x14ac:dyDescent="0.3">
      <c r="C135" s="156" t="s">
        <v>117</v>
      </c>
      <c r="D135" s="183">
        <v>6.41</v>
      </c>
      <c r="E135" s="183"/>
      <c r="F135" s="183"/>
      <c r="G135" s="183"/>
      <c r="H135" s="183"/>
      <c r="I135" s="188">
        <v>0</v>
      </c>
      <c r="J135" s="183">
        <v>23.13</v>
      </c>
      <c r="K135" s="169">
        <f t="shared" si="29"/>
        <v>-23.13</v>
      </c>
      <c r="L135" s="279">
        <v>23.13</v>
      </c>
      <c r="M135" s="281">
        <f t="shared" si="31"/>
        <v>3.6084243369734788</v>
      </c>
    </row>
    <row r="136" spans="1:14" ht="15.75" customHeight="1" thickTop="1" x14ac:dyDescent="0.25">
      <c r="C136" s="79" t="s">
        <v>118</v>
      </c>
      <c r="D136" s="186">
        <f>SUM(D133,D135)</f>
        <v>19.11</v>
      </c>
      <c r="E136" s="186"/>
      <c r="F136" s="186"/>
      <c r="G136" s="186"/>
      <c r="H136" s="186"/>
      <c r="I136" s="165">
        <v>52.8</v>
      </c>
      <c r="J136" s="149">
        <f>SUM(J133,J135)</f>
        <v>74.899999999999991</v>
      </c>
      <c r="K136" s="171">
        <f t="shared" si="29"/>
        <v>-22.099999999999994</v>
      </c>
      <c r="L136" s="279">
        <f>SUM(L133,L135)</f>
        <v>64.8</v>
      </c>
      <c r="M136" s="281">
        <f t="shared" si="31"/>
        <v>3.390894819466248</v>
      </c>
    </row>
    <row r="137" spans="1:14" s="15" customFormat="1" ht="15.75" customHeight="1" x14ac:dyDescent="0.25">
      <c r="A137" s="3" t="s">
        <v>33</v>
      </c>
      <c r="D137" s="42"/>
      <c r="E137" s="105"/>
      <c r="F137" s="16"/>
      <c r="G137" s="105"/>
      <c r="H137" s="105"/>
      <c r="I137" s="99"/>
      <c r="J137" s="83"/>
      <c r="K137" s="118"/>
      <c r="L137" s="279"/>
      <c r="M137" s="281"/>
    </row>
    <row r="138" spans="1:14" ht="15.75" customHeight="1" x14ac:dyDescent="0.25">
      <c r="B138" s="72" t="s">
        <v>3</v>
      </c>
      <c r="C138" s="72" t="s">
        <v>52</v>
      </c>
      <c r="D138" s="39">
        <v>1.79</v>
      </c>
      <c r="E138" s="135"/>
      <c r="F138" s="189"/>
      <c r="G138" s="135"/>
      <c r="H138" s="190"/>
      <c r="I138" s="126">
        <v>5.91</v>
      </c>
      <c r="J138" s="95">
        <v>8.6199999999999992</v>
      </c>
      <c r="K138" s="126">
        <f>I138-J138</f>
        <v>-2.7099999999999991</v>
      </c>
      <c r="L138" s="279">
        <v>6</v>
      </c>
      <c r="M138" s="281">
        <f t="shared" si="31"/>
        <v>3.3519553072625698</v>
      </c>
      <c r="N138" s="69" t="s">
        <v>136</v>
      </c>
    </row>
    <row r="139" spans="1:14" ht="15.75" customHeight="1" x14ac:dyDescent="0.25">
      <c r="B139" s="72" t="s">
        <v>3</v>
      </c>
      <c r="C139" s="72" t="s">
        <v>32</v>
      </c>
      <c r="D139" s="39">
        <v>2.4700000000000002</v>
      </c>
      <c r="E139" s="135"/>
      <c r="F139" s="189"/>
      <c r="G139" s="135"/>
      <c r="H139" s="190"/>
      <c r="I139" s="126">
        <v>7.04</v>
      </c>
      <c r="J139" s="95">
        <v>11.47</v>
      </c>
      <c r="K139" s="126">
        <f t="shared" ref="K139:K165" si="32">I139-J139</f>
        <v>-4.4300000000000006</v>
      </c>
      <c r="L139" s="279">
        <v>8</v>
      </c>
      <c r="M139" s="281">
        <f t="shared" si="31"/>
        <v>3.2388663967611335</v>
      </c>
    </row>
    <row r="140" spans="1:14" ht="15.75" customHeight="1" x14ac:dyDescent="0.25">
      <c r="B140" s="9" t="s">
        <v>3</v>
      </c>
      <c r="C140" s="9" t="s">
        <v>54</v>
      </c>
      <c r="D140" s="39">
        <v>0.92</v>
      </c>
      <c r="E140" s="135">
        <f t="shared" ref="E140:E159" si="33">F140/D140</f>
        <v>4.0108695652173907</v>
      </c>
      <c r="F140" s="189">
        <v>3.69</v>
      </c>
      <c r="G140" s="135">
        <f t="shared" ref="G140:G159" si="34">H140/D140</f>
        <v>3.4239130434782608</v>
      </c>
      <c r="H140" s="190">
        <v>3.15</v>
      </c>
      <c r="I140" s="126">
        <v>2.96</v>
      </c>
      <c r="J140" s="95">
        <v>4.32</v>
      </c>
      <c r="K140" s="126">
        <f t="shared" si="32"/>
        <v>-1.3600000000000003</v>
      </c>
      <c r="L140" s="279">
        <v>3</v>
      </c>
      <c r="M140" s="281">
        <f t="shared" si="31"/>
        <v>3.2608695652173911</v>
      </c>
    </row>
    <row r="141" spans="1:14" ht="15.75" customHeight="1" x14ac:dyDescent="0.25">
      <c r="B141" s="9" t="s">
        <v>3</v>
      </c>
      <c r="C141" s="9" t="s">
        <v>66</v>
      </c>
      <c r="D141" s="39">
        <v>0.55000000000000004</v>
      </c>
      <c r="E141" s="135">
        <f t="shared" si="33"/>
        <v>2.5818181818181816</v>
      </c>
      <c r="F141" s="189">
        <v>1.42</v>
      </c>
      <c r="G141" s="135">
        <f t="shared" si="34"/>
        <v>2.8</v>
      </c>
      <c r="H141" s="190">
        <v>1.54</v>
      </c>
      <c r="I141" s="126">
        <v>1.84</v>
      </c>
      <c r="J141" s="95">
        <v>1.72</v>
      </c>
      <c r="K141" s="126">
        <f t="shared" si="32"/>
        <v>0.12000000000000011</v>
      </c>
      <c r="L141" s="279">
        <v>2</v>
      </c>
      <c r="M141" s="281">
        <f t="shared" si="31"/>
        <v>3.6363636363636362</v>
      </c>
    </row>
    <row r="142" spans="1:14" ht="15.75" customHeight="1" x14ac:dyDescent="0.25">
      <c r="A142" s="1"/>
      <c r="B142" s="9" t="s">
        <v>3</v>
      </c>
      <c r="C142" s="9" t="s">
        <v>67</v>
      </c>
      <c r="D142" s="39">
        <v>0.96</v>
      </c>
      <c r="E142" s="135">
        <f t="shared" si="33"/>
        <v>2.166666666666667</v>
      </c>
      <c r="F142" s="189">
        <v>2.08</v>
      </c>
      <c r="G142" s="135">
        <f t="shared" si="34"/>
        <v>2.5208333333333335</v>
      </c>
      <c r="H142" s="190">
        <v>2.42</v>
      </c>
      <c r="I142" s="126">
        <v>2.36</v>
      </c>
      <c r="J142" s="95">
        <v>2.88</v>
      </c>
      <c r="K142" s="126">
        <f t="shared" si="32"/>
        <v>-0.52</v>
      </c>
      <c r="L142" s="279">
        <v>2.5</v>
      </c>
      <c r="M142" s="281">
        <f t="shared" si="31"/>
        <v>2.604166666666667</v>
      </c>
    </row>
    <row r="143" spans="1:14" ht="15.75" customHeight="1" x14ac:dyDescent="0.25">
      <c r="B143" s="9" t="s">
        <v>3</v>
      </c>
      <c r="C143" s="9" t="s">
        <v>68</v>
      </c>
      <c r="D143" s="39">
        <v>0.56999999999999995</v>
      </c>
      <c r="E143" s="135">
        <f t="shared" si="33"/>
        <v>4.5964912280701764</v>
      </c>
      <c r="F143" s="189">
        <v>2.62</v>
      </c>
      <c r="G143" s="135">
        <f t="shared" si="34"/>
        <v>2.929824561403509</v>
      </c>
      <c r="H143" s="190">
        <v>1.67</v>
      </c>
      <c r="I143" s="126">
        <v>1.82</v>
      </c>
      <c r="J143" s="95">
        <v>2.1800000000000002</v>
      </c>
      <c r="K143" s="126">
        <f t="shared" si="32"/>
        <v>-0.3600000000000001</v>
      </c>
      <c r="L143" s="279">
        <v>2</v>
      </c>
      <c r="M143" s="281">
        <f t="shared" si="31"/>
        <v>3.5087719298245617</v>
      </c>
    </row>
    <row r="144" spans="1:14" ht="15.75" customHeight="1" x14ac:dyDescent="0.25">
      <c r="B144" s="9" t="s">
        <v>3</v>
      </c>
      <c r="C144" s="72" t="s">
        <v>69</v>
      </c>
      <c r="D144" s="39">
        <v>0.9</v>
      </c>
      <c r="E144" s="135">
        <f t="shared" si="33"/>
        <v>4.9444444444444446</v>
      </c>
      <c r="F144" s="189">
        <v>4.45</v>
      </c>
      <c r="G144" s="135">
        <f t="shared" si="34"/>
        <v>3.3444444444444441</v>
      </c>
      <c r="H144" s="190">
        <v>3.01</v>
      </c>
      <c r="I144" s="126">
        <v>3.33</v>
      </c>
      <c r="J144" s="95">
        <v>5.25</v>
      </c>
      <c r="K144" s="126">
        <f t="shared" si="32"/>
        <v>-1.92</v>
      </c>
      <c r="L144" s="279">
        <v>3.5</v>
      </c>
      <c r="M144" s="281">
        <f t="shared" si="31"/>
        <v>3.8888888888888888</v>
      </c>
    </row>
    <row r="145" spans="1:13" ht="15.75" customHeight="1" x14ac:dyDescent="0.25">
      <c r="B145" s="9" t="s">
        <v>3</v>
      </c>
      <c r="C145" s="9" t="s">
        <v>70</v>
      </c>
      <c r="D145" s="39">
        <v>2.68</v>
      </c>
      <c r="E145" s="135">
        <f t="shared" si="33"/>
        <v>2.9141791044776117</v>
      </c>
      <c r="F145" s="189">
        <v>7.81</v>
      </c>
      <c r="G145" s="135">
        <f t="shared" si="34"/>
        <v>3.4664179104477606</v>
      </c>
      <c r="H145" s="190">
        <v>9.2899999999999991</v>
      </c>
      <c r="I145" s="126">
        <v>8.52</v>
      </c>
      <c r="J145" s="95">
        <v>12</v>
      </c>
      <c r="K145" s="126">
        <f t="shared" si="32"/>
        <v>-3.4800000000000004</v>
      </c>
      <c r="L145" s="279">
        <v>10</v>
      </c>
      <c r="M145" s="281">
        <f t="shared" si="31"/>
        <v>3.7313432835820892</v>
      </c>
    </row>
    <row r="146" spans="1:13" ht="15.75" customHeight="1" x14ac:dyDescent="0.25">
      <c r="A146" s="1"/>
      <c r="B146" s="9" t="s">
        <v>3</v>
      </c>
      <c r="C146" s="9" t="s">
        <v>71</v>
      </c>
      <c r="D146" s="39">
        <v>0.53</v>
      </c>
      <c r="E146" s="135">
        <f t="shared" si="33"/>
        <v>4.5849056603773581</v>
      </c>
      <c r="F146" s="189">
        <v>2.4300000000000002</v>
      </c>
      <c r="G146" s="135">
        <f t="shared" si="34"/>
        <v>3.6037735849056602</v>
      </c>
      <c r="H146" s="190">
        <v>1.91</v>
      </c>
      <c r="I146" s="126">
        <v>2.74</v>
      </c>
      <c r="J146" s="95">
        <v>2.84</v>
      </c>
      <c r="K146" s="126">
        <f t="shared" si="32"/>
        <v>-9.9999999999999645E-2</v>
      </c>
      <c r="L146" s="279">
        <v>2.5</v>
      </c>
      <c r="M146" s="281">
        <f t="shared" si="31"/>
        <v>4.7169811320754711</v>
      </c>
    </row>
    <row r="147" spans="1:13" ht="15.75" customHeight="1" x14ac:dyDescent="0.25">
      <c r="B147" s="9" t="s">
        <v>3</v>
      </c>
      <c r="C147" s="9" t="s">
        <v>72</v>
      </c>
      <c r="D147" s="39">
        <v>1.25</v>
      </c>
      <c r="E147" s="135">
        <f t="shared" si="33"/>
        <v>4.2320000000000002</v>
      </c>
      <c r="F147" s="189">
        <v>5.29</v>
      </c>
      <c r="G147" s="135">
        <f t="shared" si="34"/>
        <v>4.1680000000000001</v>
      </c>
      <c r="H147" s="190">
        <v>5.21</v>
      </c>
      <c r="I147" s="126">
        <v>5.41</v>
      </c>
      <c r="J147" s="95">
        <v>6.22</v>
      </c>
      <c r="K147" s="126">
        <f t="shared" si="32"/>
        <v>-0.80999999999999961</v>
      </c>
      <c r="L147" s="279">
        <v>5</v>
      </c>
      <c r="M147" s="281">
        <f t="shared" si="31"/>
        <v>4</v>
      </c>
    </row>
    <row r="148" spans="1:13" ht="15.75" customHeight="1" x14ac:dyDescent="0.25">
      <c r="B148" s="9" t="s">
        <v>3</v>
      </c>
      <c r="C148" s="9" t="s">
        <v>73</v>
      </c>
      <c r="D148" s="39">
        <v>1.63</v>
      </c>
      <c r="E148" s="135">
        <f t="shared" si="33"/>
        <v>4.073619631901841</v>
      </c>
      <c r="F148" s="189">
        <v>6.64</v>
      </c>
      <c r="G148" s="135">
        <f t="shared" si="34"/>
        <v>4.3496932515337425</v>
      </c>
      <c r="H148" s="190">
        <v>7.09</v>
      </c>
      <c r="I148" s="126">
        <v>6.38</v>
      </c>
      <c r="J148" s="95">
        <v>8.42</v>
      </c>
      <c r="K148" s="126">
        <f t="shared" si="32"/>
        <v>-2.04</v>
      </c>
      <c r="L148" s="279">
        <v>6</v>
      </c>
      <c r="M148" s="281">
        <f t="shared" si="31"/>
        <v>3.6809815950920246</v>
      </c>
    </row>
    <row r="149" spans="1:13" ht="15.75" customHeight="1" x14ac:dyDescent="0.25">
      <c r="B149" s="9" t="s">
        <v>3</v>
      </c>
      <c r="C149" s="9" t="s">
        <v>74</v>
      </c>
      <c r="D149" s="39">
        <v>1.72</v>
      </c>
      <c r="E149" s="135">
        <f t="shared" si="33"/>
        <v>3.7965116279069768</v>
      </c>
      <c r="F149" s="189">
        <v>6.53</v>
      </c>
      <c r="G149" s="135">
        <f t="shared" si="34"/>
        <v>2.9127906976744184</v>
      </c>
      <c r="H149" s="190">
        <v>5.01</v>
      </c>
      <c r="I149" s="126">
        <v>5.4</v>
      </c>
      <c r="J149" s="95">
        <v>6.16</v>
      </c>
      <c r="K149" s="126">
        <f t="shared" si="32"/>
        <v>-0.75999999999999979</v>
      </c>
      <c r="L149" s="279">
        <v>6</v>
      </c>
      <c r="M149" s="281">
        <f t="shared" si="31"/>
        <v>3.4883720930232558</v>
      </c>
    </row>
    <row r="150" spans="1:13" ht="15.75" customHeight="1" x14ac:dyDescent="0.25">
      <c r="A150" s="1"/>
      <c r="B150" s="9" t="s">
        <v>3</v>
      </c>
      <c r="C150" s="9" t="s">
        <v>75</v>
      </c>
      <c r="D150" s="39">
        <v>1.57</v>
      </c>
      <c r="E150" s="135">
        <f t="shared" si="33"/>
        <v>3.3503184713375793</v>
      </c>
      <c r="F150" s="189">
        <v>5.26</v>
      </c>
      <c r="G150" s="135">
        <f t="shared" si="34"/>
        <v>2.6942675159235669</v>
      </c>
      <c r="H150" s="190">
        <v>4.2300000000000004</v>
      </c>
      <c r="I150" s="126">
        <v>3.86</v>
      </c>
      <c r="J150" s="95">
        <v>6.93</v>
      </c>
      <c r="K150" s="126">
        <f t="shared" si="32"/>
        <v>-3.07</v>
      </c>
      <c r="L150" s="279">
        <v>6</v>
      </c>
      <c r="M150" s="281">
        <f t="shared" si="31"/>
        <v>3.8216560509554141</v>
      </c>
    </row>
    <row r="151" spans="1:13" ht="15.75" customHeight="1" x14ac:dyDescent="0.25">
      <c r="B151" s="9" t="s">
        <v>3</v>
      </c>
      <c r="C151" s="9" t="s">
        <v>76</v>
      </c>
      <c r="D151" s="39">
        <v>1.01</v>
      </c>
      <c r="E151" s="135">
        <f t="shared" si="33"/>
        <v>4.7128712871287126</v>
      </c>
      <c r="F151" s="189">
        <v>4.76</v>
      </c>
      <c r="G151" s="135">
        <f t="shared" si="34"/>
        <v>4.1287128712871288</v>
      </c>
      <c r="H151" s="190">
        <v>4.17</v>
      </c>
      <c r="I151" s="126">
        <v>3.65</v>
      </c>
      <c r="J151" s="95">
        <v>6.29</v>
      </c>
      <c r="K151" s="126">
        <f t="shared" si="32"/>
        <v>-2.64</v>
      </c>
      <c r="L151" s="279">
        <v>4</v>
      </c>
      <c r="M151" s="281">
        <f t="shared" si="31"/>
        <v>3.9603960396039604</v>
      </c>
    </row>
    <row r="152" spans="1:13" ht="15.75" customHeight="1" x14ac:dyDescent="0.25">
      <c r="B152" s="9" t="s">
        <v>3</v>
      </c>
      <c r="C152" s="9" t="s">
        <v>77</v>
      </c>
      <c r="D152" s="39">
        <v>1.5</v>
      </c>
      <c r="E152" s="135">
        <f t="shared" si="33"/>
        <v>5.4466666666666663</v>
      </c>
      <c r="F152" s="189">
        <v>8.17</v>
      </c>
      <c r="G152" s="135">
        <f t="shared" si="34"/>
        <v>3.34</v>
      </c>
      <c r="H152" s="190">
        <v>5.01</v>
      </c>
      <c r="I152" s="126">
        <v>4.58</v>
      </c>
      <c r="J152" s="95">
        <v>8.81</v>
      </c>
      <c r="K152" s="126">
        <f t="shared" si="32"/>
        <v>-4.2300000000000004</v>
      </c>
      <c r="L152" s="279">
        <v>5</v>
      </c>
      <c r="M152" s="281">
        <f t="shared" si="31"/>
        <v>3.3333333333333335</v>
      </c>
    </row>
    <row r="153" spans="1:13" ht="15.75" customHeight="1" x14ac:dyDescent="0.25">
      <c r="B153" s="9" t="s">
        <v>86</v>
      </c>
      <c r="C153" s="9" t="s">
        <v>49</v>
      </c>
      <c r="D153" s="39">
        <v>2.71</v>
      </c>
      <c r="E153" s="135">
        <f t="shared" si="33"/>
        <v>3.2509225092250924</v>
      </c>
      <c r="F153" s="189">
        <v>8.81</v>
      </c>
      <c r="G153" s="135">
        <f t="shared" si="34"/>
        <v>2.9188191881918821</v>
      </c>
      <c r="H153" s="190">
        <v>7.91</v>
      </c>
      <c r="I153" s="126">
        <v>10.52</v>
      </c>
      <c r="J153" s="95">
        <v>10.26</v>
      </c>
      <c r="K153" s="126">
        <f t="shared" si="32"/>
        <v>0.25999999999999979</v>
      </c>
      <c r="L153" s="279">
        <v>10</v>
      </c>
      <c r="M153" s="281">
        <f t="shared" si="31"/>
        <v>3.6900369003690039</v>
      </c>
    </row>
    <row r="154" spans="1:13" ht="15.75" customHeight="1" x14ac:dyDescent="0.25">
      <c r="A154" s="1"/>
      <c r="B154" s="9" t="s">
        <v>86</v>
      </c>
      <c r="C154" s="9" t="s">
        <v>44</v>
      </c>
      <c r="D154" s="39">
        <v>1.04</v>
      </c>
      <c r="E154" s="135">
        <f t="shared" si="33"/>
        <v>5.4423076923076925</v>
      </c>
      <c r="F154" s="189">
        <v>5.66</v>
      </c>
      <c r="G154" s="135">
        <f t="shared" si="34"/>
        <v>3.125</v>
      </c>
      <c r="H154" s="190">
        <v>3.25</v>
      </c>
      <c r="I154" s="126">
        <v>2.92</v>
      </c>
      <c r="J154" s="95">
        <v>3.6</v>
      </c>
      <c r="K154" s="126">
        <f t="shared" si="32"/>
        <v>-0.68000000000000016</v>
      </c>
      <c r="L154" s="279">
        <v>3</v>
      </c>
      <c r="M154" s="281">
        <f t="shared" si="31"/>
        <v>2.8846153846153846</v>
      </c>
    </row>
    <row r="155" spans="1:13" ht="15.75" customHeight="1" x14ac:dyDescent="0.25">
      <c r="B155" s="9" t="s">
        <v>86</v>
      </c>
      <c r="C155" s="9" t="s">
        <v>12</v>
      </c>
      <c r="D155" s="39">
        <v>1.31</v>
      </c>
      <c r="E155" s="135">
        <f t="shared" si="33"/>
        <v>2.6946564885496183</v>
      </c>
      <c r="F155" s="189">
        <v>3.53</v>
      </c>
      <c r="G155" s="135">
        <f t="shared" si="34"/>
        <v>3.5496183206106871</v>
      </c>
      <c r="H155" s="190">
        <v>4.6500000000000004</v>
      </c>
      <c r="I155" s="126">
        <v>4.51</v>
      </c>
      <c r="J155" s="95">
        <v>6.61</v>
      </c>
      <c r="K155" s="126">
        <f t="shared" si="32"/>
        <v>-2.1000000000000005</v>
      </c>
      <c r="L155" s="279">
        <v>4.5</v>
      </c>
      <c r="M155" s="281">
        <f t="shared" si="31"/>
        <v>3.4351145038167936</v>
      </c>
    </row>
    <row r="156" spans="1:13" ht="15.75" customHeight="1" x14ac:dyDescent="0.25">
      <c r="B156" s="9" t="s">
        <v>86</v>
      </c>
      <c r="C156" s="9" t="s">
        <v>36</v>
      </c>
      <c r="D156" s="39">
        <v>1.22</v>
      </c>
      <c r="E156" s="135">
        <f t="shared" si="33"/>
        <v>3.4754098360655741</v>
      </c>
      <c r="F156" s="189">
        <v>4.24</v>
      </c>
      <c r="G156" s="135">
        <f t="shared" si="34"/>
        <v>4.1065573770491799</v>
      </c>
      <c r="H156" s="190">
        <v>5.01</v>
      </c>
      <c r="I156" s="126">
        <v>3.83</v>
      </c>
      <c r="J156" s="95">
        <v>1.38</v>
      </c>
      <c r="K156" s="126">
        <f t="shared" si="32"/>
        <v>2.4500000000000002</v>
      </c>
      <c r="L156" s="279">
        <v>3</v>
      </c>
      <c r="M156" s="281">
        <f t="shared" si="31"/>
        <v>2.459016393442623</v>
      </c>
    </row>
    <row r="157" spans="1:13" ht="15.75" customHeight="1" x14ac:dyDescent="0.25">
      <c r="B157" s="9" t="s">
        <v>86</v>
      </c>
      <c r="C157" s="9" t="s">
        <v>63</v>
      </c>
      <c r="D157" s="39">
        <v>0.45</v>
      </c>
      <c r="E157" s="135">
        <f t="shared" si="33"/>
        <v>7.0444444444444443</v>
      </c>
      <c r="F157" s="189">
        <v>3.17</v>
      </c>
      <c r="G157" s="135">
        <f t="shared" si="34"/>
        <v>4.2444444444444445</v>
      </c>
      <c r="H157" s="190">
        <v>1.91</v>
      </c>
      <c r="I157" s="126">
        <v>3.21</v>
      </c>
      <c r="J157" s="95">
        <v>1.1000000000000001</v>
      </c>
      <c r="K157" s="126">
        <f t="shared" si="32"/>
        <v>2.11</v>
      </c>
      <c r="L157" s="279">
        <v>2</v>
      </c>
      <c r="M157" s="281">
        <f t="shared" si="31"/>
        <v>4.4444444444444446</v>
      </c>
    </row>
    <row r="158" spans="1:13" ht="15.75" customHeight="1" x14ac:dyDescent="0.25">
      <c r="A158" s="1"/>
      <c r="B158" s="9" t="s">
        <v>86</v>
      </c>
      <c r="C158" s="9" t="s">
        <v>64</v>
      </c>
      <c r="D158" s="39">
        <v>0.32</v>
      </c>
      <c r="E158" s="135">
        <f t="shared" si="33"/>
        <v>1.09375</v>
      </c>
      <c r="F158" s="189">
        <v>0.35</v>
      </c>
      <c r="G158" s="135">
        <f t="shared" si="34"/>
        <v>3.7187499999999996</v>
      </c>
      <c r="H158" s="190">
        <v>1.19</v>
      </c>
      <c r="I158" s="126">
        <v>0.41</v>
      </c>
      <c r="J158" s="95">
        <v>3.22</v>
      </c>
      <c r="K158" s="126">
        <f t="shared" si="32"/>
        <v>-2.81</v>
      </c>
      <c r="L158" s="279">
        <v>1</v>
      </c>
      <c r="M158" s="281">
        <f t="shared" si="31"/>
        <v>3.125</v>
      </c>
    </row>
    <row r="159" spans="1:13" ht="15.75" customHeight="1" x14ac:dyDescent="0.25">
      <c r="B159" s="18" t="s">
        <v>7</v>
      </c>
      <c r="C159" s="18" t="s">
        <v>46</v>
      </c>
      <c r="D159" s="129">
        <v>5.0999999999999996</v>
      </c>
      <c r="E159" s="141">
        <f t="shared" si="33"/>
        <v>3.5627450980392164</v>
      </c>
      <c r="F159" s="192">
        <v>18.170000000000002</v>
      </c>
      <c r="G159" s="141">
        <f t="shared" si="34"/>
        <v>5.7313725490196079</v>
      </c>
      <c r="H159" s="193">
        <v>29.23</v>
      </c>
      <c r="I159" s="140">
        <v>15.46</v>
      </c>
      <c r="J159" s="97">
        <v>29.34</v>
      </c>
      <c r="K159" s="126">
        <f t="shared" si="32"/>
        <v>-13.879999999999999</v>
      </c>
      <c r="L159" s="279">
        <v>20</v>
      </c>
      <c r="M159" s="281">
        <f t="shared" si="31"/>
        <v>3.9215686274509807</v>
      </c>
    </row>
    <row r="160" spans="1:13" ht="15.75" customHeight="1" x14ac:dyDescent="0.25">
      <c r="B160" s="18" t="s">
        <v>7</v>
      </c>
      <c r="C160" s="18" t="s">
        <v>42</v>
      </c>
      <c r="D160" s="129">
        <v>4</v>
      </c>
      <c r="E160" s="141"/>
      <c r="F160" s="192">
        <v>12.81</v>
      </c>
      <c r="G160" s="141"/>
      <c r="H160" s="193">
        <v>11.41</v>
      </c>
      <c r="I160" s="140">
        <v>7.7</v>
      </c>
      <c r="J160" s="97">
        <v>18.02</v>
      </c>
      <c r="K160" s="126">
        <f t="shared" si="32"/>
        <v>-10.32</v>
      </c>
      <c r="L160" s="279">
        <v>12</v>
      </c>
      <c r="M160" s="281">
        <f t="shared" si="31"/>
        <v>3</v>
      </c>
    </row>
    <row r="161" spans="1:13" ht="15.75" customHeight="1" x14ac:dyDescent="0.25">
      <c r="B161" s="18" t="s">
        <v>7</v>
      </c>
      <c r="C161" s="18" t="s">
        <v>47</v>
      </c>
      <c r="D161" s="129">
        <v>4.5</v>
      </c>
      <c r="E161" s="141"/>
      <c r="F161" s="192"/>
      <c r="G161" s="141"/>
      <c r="H161" s="193"/>
      <c r="I161" s="140">
        <v>16.260000000000002</v>
      </c>
      <c r="J161" s="97">
        <v>23.8</v>
      </c>
      <c r="K161" s="126">
        <f t="shared" si="32"/>
        <v>-7.5399999999999991</v>
      </c>
      <c r="L161" s="279">
        <v>16</v>
      </c>
      <c r="M161" s="281">
        <f t="shared" si="31"/>
        <v>3.5555555555555554</v>
      </c>
    </row>
    <row r="162" spans="1:13" ht="15.75" customHeight="1" x14ac:dyDescent="0.25">
      <c r="B162" s="12"/>
      <c r="C162" s="151" t="s">
        <v>115</v>
      </c>
      <c r="D162" s="176">
        <f>SUM(D138:D152)</f>
        <v>20.05</v>
      </c>
      <c r="E162" s="176"/>
      <c r="F162" s="176"/>
      <c r="G162" s="176"/>
      <c r="H162" s="176"/>
      <c r="I162" s="187">
        <f>SUM(I138:I152)</f>
        <v>65.800000000000011</v>
      </c>
      <c r="J162" s="176">
        <f>SUM(J138:J152)</f>
        <v>94.11</v>
      </c>
      <c r="K162" s="161">
        <f t="shared" si="32"/>
        <v>-28.309999999999988</v>
      </c>
      <c r="L162" s="279">
        <f>SUM(L138:L152)</f>
        <v>71.5</v>
      </c>
      <c r="M162" s="281">
        <f t="shared" si="31"/>
        <v>3.5660847880299249</v>
      </c>
    </row>
    <row r="163" spans="1:13" ht="15.75" customHeight="1" x14ac:dyDescent="0.25">
      <c r="B163" s="12"/>
      <c r="C163" s="71" t="s">
        <v>119</v>
      </c>
      <c r="D163" s="149">
        <f>SUM(D153:D158)</f>
        <v>7.0500000000000007</v>
      </c>
      <c r="E163" s="149"/>
      <c r="F163" s="149"/>
      <c r="G163" s="149"/>
      <c r="H163" s="149"/>
      <c r="I163" s="165">
        <f>SUM(I153:I158)</f>
        <v>25.400000000000002</v>
      </c>
      <c r="J163" s="149">
        <f>SUM(J153:J158)</f>
        <v>26.169999999999998</v>
      </c>
      <c r="K163" s="171">
        <f t="shared" si="32"/>
        <v>-0.76999999999999602</v>
      </c>
      <c r="L163" s="279">
        <f>SUM(L153:L158)</f>
        <v>23.5</v>
      </c>
      <c r="M163" s="281">
        <f t="shared" si="31"/>
        <v>3.333333333333333</v>
      </c>
    </row>
    <row r="164" spans="1:13" ht="15.75" customHeight="1" thickBot="1" x14ac:dyDescent="0.3">
      <c r="C164" s="156" t="s">
        <v>117</v>
      </c>
      <c r="D164" s="183">
        <f>SUM(D159:D161)</f>
        <v>13.6</v>
      </c>
      <c r="E164" s="183"/>
      <c r="F164" s="183"/>
      <c r="G164" s="183"/>
      <c r="H164" s="183"/>
      <c r="I164" s="188">
        <f>SUM(I159:I161)</f>
        <v>39.42</v>
      </c>
      <c r="J164" s="183">
        <f>SUM(J159:J161)</f>
        <v>71.16</v>
      </c>
      <c r="K164" s="169">
        <f t="shared" si="32"/>
        <v>-31.739999999999995</v>
      </c>
      <c r="L164" s="279">
        <f>SUM(L159:L161)</f>
        <v>48</v>
      </c>
      <c r="M164" s="281">
        <f t="shared" si="31"/>
        <v>3.5294117647058822</v>
      </c>
    </row>
    <row r="165" spans="1:13" ht="15.75" customHeight="1" thickTop="1" x14ac:dyDescent="0.25">
      <c r="A165" s="43"/>
      <c r="B165" s="8"/>
      <c r="C165" s="79" t="s">
        <v>118</v>
      </c>
      <c r="D165" s="186">
        <f>SUM(D162:D164)</f>
        <v>40.700000000000003</v>
      </c>
      <c r="E165" s="186"/>
      <c r="F165" s="186"/>
      <c r="G165" s="186"/>
      <c r="H165" s="186"/>
      <c r="I165" s="165">
        <f>SUM(I162:I164)</f>
        <v>130.62</v>
      </c>
      <c r="J165" s="149">
        <f>SUM(J162:J164)</f>
        <v>191.44</v>
      </c>
      <c r="K165" s="171">
        <f t="shared" si="32"/>
        <v>-60.819999999999993</v>
      </c>
      <c r="L165" s="279">
        <f>SUM(L162:L164)</f>
        <v>143</v>
      </c>
      <c r="M165" s="281">
        <f t="shared" si="31"/>
        <v>3.5135135135135132</v>
      </c>
    </row>
    <row r="166" spans="1:13" s="15" customFormat="1" ht="15.75" customHeight="1" x14ac:dyDescent="0.25">
      <c r="A166" s="3" t="s">
        <v>34</v>
      </c>
      <c r="C166" s="3"/>
      <c r="D166" s="37"/>
      <c r="E166" s="105"/>
      <c r="F166" s="16"/>
      <c r="G166" s="105"/>
      <c r="H166" s="105"/>
      <c r="I166" s="99"/>
      <c r="J166" s="83"/>
      <c r="K166" s="118"/>
      <c r="L166" s="279"/>
      <c r="M166" s="281"/>
    </row>
    <row r="167" spans="1:13" ht="15.75" customHeight="1" x14ac:dyDescent="0.25">
      <c r="B167" s="9" t="s">
        <v>3</v>
      </c>
      <c r="C167" s="9" t="s">
        <v>50</v>
      </c>
      <c r="D167" s="39">
        <v>2.69</v>
      </c>
      <c r="E167" s="135">
        <f>F167/D167</f>
        <v>0</v>
      </c>
      <c r="F167" s="189">
        <v>0</v>
      </c>
      <c r="G167" s="135">
        <f>H167/D167</f>
        <v>1.970260223048327</v>
      </c>
      <c r="H167" s="190">
        <v>5.3</v>
      </c>
      <c r="I167" s="126">
        <v>5.45</v>
      </c>
      <c r="J167" s="95">
        <v>10.72</v>
      </c>
      <c r="K167" s="126">
        <f t="shared" ref="K167:K173" si="35">I167-J167</f>
        <v>-5.2700000000000005</v>
      </c>
      <c r="L167" s="279">
        <v>8</v>
      </c>
      <c r="M167" s="281">
        <f t="shared" si="31"/>
        <v>2.9739776951672865</v>
      </c>
    </row>
    <row r="168" spans="1:13" ht="15.75" customHeight="1" x14ac:dyDescent="0.25">
      <c r="B168" s="9" t="s">
        <v>6</v>
      </c>
      <c r="C168" s="9" t="s">
        <v>38</v>
      </c>
      <c r="D168" s="39">
        <v>1.6</v>
      </c>
      <c r="E168" s="135">
        <f>F168/D168</f>
        <v>1.9312499999999999</v>
      </c>
      <c r="F168" s="189">
        <v>3.09</v>
      </c>
      <c r="G168" s="135">
        <f>H168/D168</f>
        <v>1.9124999999999999</v>
      </c>
      <c r="H168" s="190">
        <v>3.06</v>
      </c>
      <c r="I168" s="126">
        <v>3.47</v>
      </c>
      <c r="J168" s="95">
        <v>2.33</v>
      </c>
      <c r="K168" s="126">
        <f t="shared" si="35"/>
        <v>1.1400000000000001</v>
      </c>
      <c r="L168" s="279">
        <v>3</v>
      </c>
      <c r="M168" s="281">
        <f t="shared" si="31"/>
        <v>1.875</v>
      </c>
    </row>
    <row r="169" spans="1:13" ht="15.75" customHeight="1" x14ac:dyDescent="0.25">
      <c r="B169" s="18" t="s">
        <v>7</v>
      </c>
      <c r="C169" s="18" t="s">
        <v>122</v>
      </c>
      <c r="D169" s="39">
        <v>8.5500000000000007</v>
      </c>
      <c r="E169" s="135"/>
      <c r="F169" s="189"/>
      <c r="G169" s="135"/>
      <c r="H169" s="190"/>
      <c r="I169" s="128">
        <v>0</v>
      </c>
      <c r="J169" s="95">
        <v>9.82</v>
      </c>
      <c r="K169" s="126">
        <f t="shared" si="35"/>
        <v>-9.82</v>
      </c>
      <c r="L169" s="279">
        <v>10</v>
      </c>
      <c r="M169" s="281">
        <f t="shared" si="31"/>
        <v>1.1695906432748537</v>
      </c>
    </row>
    <row r="170" spans="1:13" ht="15.75" customHeight="1" x14ac:dyDescent="0.25">
      <c r="B170" s="12"/>
      <c r="C170" s="151" t="s">
        <v>115</v>
      </c>
      <c r="D170" s="163">
        <f>SUM(D167:D168)</f>
        <v>4.29</v>
      </c>
      <c r="E170" s="163">
        <f t="shared" ref="E170:J170" si="36">SUM(E167:E168)</f>
        <v>1.9312499999999999</v>
      </c>
      <c r="F170" s="163">
        <f t="shared" si="36"/>
        <v>3.09</v>
      </c>
      <c r="G170" s="163">
        <f t="shared" si="36"/>
        <v>3.8827602230483267</v>
      </c>
      <c r="H170" s="163">
        <f t="shared" si="36"/>
        <v>8.36</v>
      </c>
      <c r="I170" s="161">
        <f t="shared" si="36"/>
        <v>8.92</v>
      </c>
      <c r="J170" s="163">
        <f t="shared" si="36"/>
        <v>13.05</v>
      </c>
      <c r="K170" s="161">
        <f t="shared" si="35"/>
        <v>-4.1300000000000008</v>
      </c>
      <c r="L170" s="279">
        <f t="shared" ref="L170" si="37">SUM(L167:L168)</f>
        <v>11</v>
      </c>
      <c r="M170" s="281">
        <f t="shared" si="31"/>
        <v>2.5641025641025639</v>
      </c>
    </row>
    <row r="171" spans="1:13" ht="15.75" customHeight="1" x14ac:dyDescent="0.25">
      <c r="B171" s="12"/>
      <c r="C171" s="71" t="s">
        <v>116</v>
      </c>
      <c r="D171" s="158">
        <v>0</v>
      </c>
      <c r="E171" s="158"/>
      <c r="F171" s="213"/>
      <c r="G171" s="158"/>
      <c r="H171" s="213"/>
      <c r="I171" s="165">
        <v>0</v>
      </c>
      <c r="J171" s="149">
        <v>0</v>
      </c>
      <c r="K171" s="171">
        <f t="shared" si="35"/>
        <v>0</v>
      </c>
      <c r="L171" s="279">
        <v>0</v>
      </c>
      <c r="M171" s="281">
        <v>0</v>
      </c>
    </row>
    <row r="172" spans="1:13" ht="15.75" customHeight="1" thickBot="1" x14ac:dyDescent="0.3">
      <c r="C172" s="156" t="s">
        <v>117</v>
      </c>
      <c r="D172" s="170">
        <v>8.5500000000000007</v>
      </c>
      <c r="E172" s="170"/>
      <c r="F172" s="170"/>
      <c r="G172" s="170"/>
      <c r="H172" s="170"/>
      <c r="I172" s="169">
        <v>0</v>
      </c>
      <c r="J172" s="170">
        <v>9.92</v>
      </c>
      <c r="K172" s="169">
        <f t="shared" si="35"/>
        <v>-9.92</v>
      </c>
      <c r="L172" s="279">
        <v>10</v>
      </c>
      <c r="M172" s="281">
        <f t="shared" si="31"/>
        <v>1.1695906432748537</v>
      </c>
    </row>
    <row r="173" spans="1:13" ht="15.75" customHeight="1" thickTop="1" x14ac:dyDescent="0.25">
      <c r="C173" s="79" t="s">
        <v>9</v>
      </c>
      <c r="D173" s="158">
        <f>SUM(D170,D172)</f>
        <v>12.84</v>
      </c>
      <c r="E173" s="158"/>
      <c r="F173" s="158"/>
      <c r="G173" s="158"/>
      <c r="H173" s="158"/>
      <c r="I173" s="171">
        <v>8.92</v>
      </c>
      <c r="J173" s="158">
        <f>SUM(J170,J172)</f>
        <v>22.97</v>
      </c>
      <c r="K173" s="171">
        <f t="shared" si="35"/>
        <v>-14.049999999999999</v>
      </c>
      <c r="L173" s="279">
        <f>SUM(L170,L172)</f>
        <v>21</v>
      </c>
      <c r="M173" s="281">
        <f t="shared" si="31"/>
        <v>1.6355140186915889</v>
      </c>
    </row>
    <row r="174" spans="1:13" s="15" customFormat="1" ht="15.75" customHeight="1" x14ac:dyDescent="0.25">
      <c r="A174" s="13"/>
      <c r="C174" s="81"/>
      <c r="D174" s="82"/>
      <c r="E174" s="83"/>
      <c r="F174" s="84"/>
      <c r="G174" s="83"/>
      <c r="H174" s="84"/>
      <c r="I174" s="116"/>
      <c r="J174" s="84"/>
      <c r="K174" s="118"/>
      <c r="L174" s="279"/>
      <c r="M174" s="281"/>
    </row>
    <row r="175" spans="1:13" ht="15.75" customHeight="1" x14ac:dyDescent="0.25">
      <c r="A175" s="43"/>
      <c r="B175" s="85"/>
      <c r="C175" s="86"/>
      <c r="D175" s="64"/>
      <c r="E175" s="65"/>
      <c r="F175" s="80"/>
      <c r="G175" s="65"/>
      <c r="H175" s="80"/>
      <c r="I175" s="115"/>
      <c r="J175" s="65"/>
      <c r="K175" s="111"/>
      <c r="M175" s="281"/>
    </row>
    <row r="176" spans="1:13" ht="15.75" customHeight="1" x14ac:dyDescent="0.25">
      <c r="C176" s="1"/>
      <c r="D176" s="1"/>
      <c r="E176" s="19"/>
      <c r="F176" s="19"/>
      <c r="G176" s="19"/>
      <c r="H176" s="19"/>
      <c r="I176" s="117"/>
      <c r="J176" s="64"/>
      <c r="K176" s="111"/>
      <c r="M176" s="281"/>
    </row>
    <row r="177" spans="1:13" ht="15.75" customHeight="1" x14ac:dyDescent="0.25">
      <c r="A177" s="20"/>
      <c r="B177" s="15"/>
      <c r="C177" s="59" t="s">
        <v>124</v>
      </c>
      <c r="D177" s="224">
        <f>SUM(D19:D20,D28:D29,D36:D37,D54:D55,D64:D65,D89:D90,D94,D105,D114:D115,D133,D162:D163,D59)</f>
        <v>146.39000000000001</v>
      </c>
      <c r="F177" s="21" t="e">
        <f>F170+F162+F133+F121+F114+F105+#REF!+F89+F75+F64+#REF!+#REF!+F54+F36+F19+F28</f>
        <v>#REF!</v>
      </c>
      <c r="G177" s="46" t="e">
        <f>F177/F$179</f>
        <v>#REF!</v>
      </c>
      <c r="H177" s="108" t="e">
        <f>H170+H162+H133+H121+H114+H105+#REF!+H89+H75+H64+#REF!+#REF!+H54+H36+H19+H28</f>
        <v>#REF!</v>
      </c>
      <c r="I177" s="187">
        <f>SUM(I19,I28:I29,I36:I37,I54:I55,I64:I65,I89:I90,I94,I105,I114:I115,I133,I162:I163,I59,I170)</f>
        <v>640.31999999999994</v>
      </c>
      <c r="J177" s="227">
        <f>SUM(J19:J20,J28:J29,J36:J37,J54:J55,J64:J65,J59,J89:J90,J94,J105,J114:J115,J133,J162:J163,J170)</f>
        <v>725.83999999999992</v>
      </c>
      <c r="K177" s="231">
        <f>SUM(K19:K20,K28:K29,K36:K37,K54:K55,K64:K65,K89:K90,K105,K114:K115,K94,K133,K162:K163,K170,K59)</f>
        <v>-85.519999999999953</v>
      </c>
      <c r="L177" s="280">
        <f>SUM(L19:L20,L28:L29,L36:L37,L54:L55,L64:L65,L59,L89:L90,L94,L105,L114:L115,L133,L162:L163,L170)</f>
        <v>618.66999999999996</v>
      </c>
      <c r="M177" s="281">
        <f t="shared" si="31"/>
        <v>4.2261766514106149</v>
      </c>
    </row>
    <row r="178" spans="1:13" ht="15.75" customHeight="1" x14ac:dyDescent="0.25">
      <c r="A178" s="22"/>
      <c r="C178" s="223" t="s">
        <v>123</v>
      </c>
      <c r="D178" s="225">
        <f>SUM(D21,D56,D66,D77,D96,D98,D107,D123,D135,D164,D172)</f>
        <v>131.41999999999999</v>
      </c>
      <c r="F178" s="14" t="e">
        <f>F171+F163+F134+F122+F115+F106+#REF!+F90+F76+F65+#REF!+#REF!+F55+F37+F20+F29</f>
        <v>#REF!</v>
      </c>
      <c r="G178" s="47" t="e">
        <f>F178/F$179</f>
        <v>#REF!</v>
      </c>
      <c r="H178" s="106" t="e">
        <f>H171+H163+H134+H122+H115+H106+#REF!+H90+H76+H65+#REF!+#REF!+H55+H37+H20+H29</f>
        <v>#REF!</v>
      </c>
      <c r="I178" s="165">
        <f>SUM(I21,I56,I66,I77,I123,I164)</f>
        <v>414.84</v>
      </c>
      <c r="J178" s="228">
        <f>SUM(J21,J30,J56,J66,J77,J96,J98,J107,J123,J135,J164,J172)</f>
        <v>575.18999999999983</v>
      </c>
      <c r="K178" s="232">
        <f>SUM(K21,K30,K56,K66,K77,K96,K98,K107,K123,K135,K164,K172)</f>
        <v>-160.35</v>
      </c>
      <c r="L178" s="280">
        <f>SUM(L21,L30,L56,L66,L77,L96,L98,L107,L123,L135,L164,L172)</f>
        <v>421.53</v>
      </c>
      <c r="M178" s="281">
        <f t="shared" si="31"/>
        <v>3.2075026632171664</v>
      </c>
    </row>
    <row r="179" spans="1:13" ht="15.75" customHeight="1" thickBot="1" x14ac:dyDescent="0.3">
      <c r="A179" s="23"/>
      <c r="B179" s="10"/>
      <c r="C179" s="60" t="s">
        <v>97</v>
      </c>
      <c r="D179" s="226">
        <f>SUM(D177,D178)</f>
        <v>277.81</v>
      </c>
      <c r="E179" s="10"/>
      <c r="F179" s="24" t="e">
        <f>F177+F178</f>
        <v>#REF!</v>
      </c>
      <c r="G179" s="48"/>
      <c r="H179" s="109" t="e">
        <f>H177+H178</f>
        <v>#REF!</v>
      </c>
      <c r="I179" s="188">
        <f>SUM(I177:I178)</f>
        <v>1055.1599999999999</v>
      </c>
      <c r="J179" s="229">
        <f>SUM(J177:J178)</f>
        <v>1301.0299999999997</v>
      </c>
      <c r="K179" s="233">
        <f>I179-J179</f>
        <v>-245.86999999999989</v>
      </c>
      <c r="L179" s="279">
        <f>SUM(L177:L178)</f>
        <v>1040.1999999999998</v>
      </c>
      <c r="M179" s="281">
        <f t="shared" si="31"/>
        <v>3.7442856628631072</v>
      </c>
    </row>
    <row r="180" spans="1:13" ht="15.75" customHeight="1" thickTop="1" x14ac:dyDescent="0.25">
      <c r="K180" s="111"/>
    </row>
    <row r="181" spans="1:13" ht="15.75" customHeight="1" x14ac:dyDescent="0.25">
      <c r="A181" s="20"/>
      <c r="B181" s="15"/>
      <c r="C181" s="59" t="s">
        <v>26</v>
      </c>
      <c r="D181" s="45"/>
      <c r="E181" s="15"/>
      <c r="F181" s="51"/>
      <c r="G181" s="52"/>
      <c r="H181" s="53"/>
      <c r="I181" s="100"/>
      <c r="J181" s="120"/>
      <c r="K181" s="102"/>
    </row>
    <row r="182" spans="1:13" ht="15.75" customHeight="1" thickBot="1" x14ac:dyDescent="0.3">
      <c r="A182" s="43"/>
      <c r="B182" s="8"/>
      <c r="C182" s="58" t="s">
        <v>35</v>
      </c>
      <c r="D182" s="63"/>
      <c r="E182" s="8"/>
      <c r="F182" s="54"/>
      <c r="G182" s="50"/>
      <c r="H182" s="49"/>
      <c r="I182" s="101"/>
      <c r="J182" s="121"/>
      <c r="K182" s="98"/>
    </row>
    <row r="183" spans="1:13" ht="15.75" customHeight="1" thickTop="1" x14ac:dyDescent="0.25"/>
    <row r="184" spans="1:13" ht="15.75" customHeight="1" x14ac:dyDescent="0.25">
      <c r="F184" s="11"/>
    </row>
    <row r="185" spans="1:13" ht="15.75" customHeight="1" x14ac:dyDescent="0.25">
      <c r="A185" s="71" t="s">
        <v>94</v>
      </c>
    </row>
    <row r="186" spans="1:13" ht="15.75" customHeight="1" x14ac:dyDescent="0.25">
      <c r="A186" s="71" t="s">
        <v>95</v>
      </c>
    </row>
    <row r="187" spans="1:13" ht="15.75" customHeight="1" x14ac:dyDescent="0.25">
      <c r="A187" s="71" t="s">
        <v>96</v>
      </c>
    </row>
    <row r="189" spans="1:13" ht="15.75" customHeight="1" x14ac:dyDescent="0.25">
      <c r="A189" s="55"/>
    </row>
    <row r="190" spans="1:13" ht="15.75" customHeight="1" x14ac:dyDescent="0.25">
      <c r="A190" s="56"/>
    </row>
    <row r="191" spans="1:13" ht="15.75" customHeight="1" x14ac:dyDescent="0.25">
      <c r="A191" s="57"/>
    </row>
  </sheetData>
  <customSheetViews>
    <customSheetView guid="{F76F088D-E257-4637-81FB-2D037F8BCE3A}" hiddenColumns="1">
      <pane xSplit="11" ySplit="2" topLeftCell="L102" activePane="bottomRight" state="frozen"/>
      <selection pane="bottomRight" activeCell="M148" sqref="M148"/>
      <rowBreaks count="2" manualBreakCount="2">
        <brk id="59" max="16383" man="1"/>
        <brk id="106" max="16383" man="1"/>
      </rowBreaks>
      <colBreaks count="1" manualBreakCount="1">
        <brk id="13" max="1048575" man="1"/>
      </colBreaks>
      <pageMargins left="0.70866141732283472" right="0.70866141732283472" top="0.74803149606299213" bottom="0.74803149606299213" header="0.31496062992125984" footer="0.31496062992125984"/>
      <pageSetup scale="65" orientation="portrait" r:id="rId1"/>
    </customSheetView>
  </customSheetViews>
  <mergeCells count="12">
    <mergeCell ref="W3:X3"/>
    <mergeCell ref="E1:F1"/>
    <mergeCell ref="G1:H1"/>
    <mergeCell ref="B2:C2"/>
    <mergeCell ref="U3:V3"/>
    <mergeCell ref="AK3:AL3"/>
    <mergeCell ref="Y3:Z3"/>
    <mergeCell ref="AA3:AB3"/>
    <mergeCell ref="AC3:AD3"/>
    <mergeCell ref="AE3:AF3"/>
    <mergeCell ref="AG3:AH3"/>
    <mergeCell ref="AI3:AJ3"/>
  </mergeCells>
  <pageMargins left="0.70866141732283472" right="0.70866141732283472" top="0.74803149606299213" bottom="0.74803149606299213" header="0.31496062992125984" footer="0.31496062992125984"/>
  <pageSetup scale="65" orientation="portrait" r:id="rId2"/>
  <rowBreaks count="2" manualBreakCount="2">
    <brk id="59" max="16383" man="1"/>
    <brk id="106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4"/>
  <sheetViews>
    <sheetView workbookViewId="0">
      <pane ySplit="2" topLeftCell="A39" activePane="bottomLeft" state="frozen"/>
      <selection pane="bottomLeft" activeCell="F10" sqref="F10"/>
    </sheetView>
  </sheetViews>
  <sheetFormatPr defaultRowHeight="15" x14ac:dyDescent="0.25"/>
  <cols>
    <col min="2" max="2" width="16.5703125" customWidth="1"/>
    <col min="3" max="3" width="17.85546875" style="234" customWidth="1"/>
    <col min="4" max="4" width="8.85546875" style="268"/>
    <col min="5" max="5" width="8.85546875" style="237"/>
    <col min="6" max="6" width="8.85546875" style="260"/>
    <col min="7" max="7" width="15" style="235" customWidth="1"/>
  </cols>
  <sheetData>
    <row r="1" spans="1:7" x14ac:dyDescent="0.25">
      <c r="A1" s="145" t="s">
        <v>105</v>
      </c>
      <c r="B1" s="94"/>
      <c r="C1" s="147"/>
      <c r="D1" s="261"/>
      <c r="E1" s="241">
        <v>2013</v>
      </c>
      <c r="F1" s="269">
        <v>2013</v>
      </c>
      <c r="G1" s="270">
        <v>2014</v>
      </c>
    </row>
    <row r="2" spans="1:7" s="255" customFormat="1" x14ac:dyDescent="0.25">
      <c r="A2" s="253" t="s">
        <v>0</v>
      </c>
      <c r="B2" s="464" t="s">
        <v>1</v>
      </c>
      <c r="C2" s="464"/>
      <c r="D2" s="262" t="s">
        <v>82</v>
      </c>
      <c r="E2" s="254" t="s">
        <v>106</v>
      </c>
      <c r="F2" s="271" t="s">
        <v>107</v>
      </c>
      <c r="G2" s="272" t="s">
        <v>107</v>
      </c>
    </row>
    <row r="3" spans="1:7" x14ac:dyDescent="0.25">
      <c r="A3" s="184" t="s">
        <v>2</v>
      </c>
      <c r="B3" s="18"/>
      <c r="C3" s="136"/>
      <c r="D3" s="259"/>
      <c r="E3" s="243"/>
      <c r="F3" s="165"/>
      <c r="G3" s="177"/>
    </row>
    <row r="4" spans="1:7" x14ac:dyDescent="0.25">
      <c r="A4" s="184"/>
      <c r="B4" s="18" t="s">
        <v>3</v>
      </c>
      <c r="C4" s="136" t="s">
        <v>10</v>
      </c>
      <c r="D4" s="274">
        <v>0.75</v>
      </c>
      <c r="E4" s="239">
        <v>1.57</v>
      </c>
      <c r="F4" s="259">
        <f>$E4/$D4</f>
        <v>2.0933333333333333</v>
      </c>
      <c r="G4" s="249">
        <v>5.26</v>
      </c>
    </row>
    <row r="5" spans="1:7" x14ac:dyDescent="0.25">
      <c r="A5" s="184"/>
      <c r="B5" s="18" t="s">
        <v>3</v>
      </c>
      <c r="C5" s="136" t="s">
        <v>11</v>
      </c>
      <c r="D5" s="274">
        <v>1.4</v>
      </c>
      <c r="E5" s="239">
        <v>8</v>
      </c>
      <c r="F5" s="259">
        <f t="shared" ref="F5:F18" si="0">$E5/$D5</f>
        <v>5.7142857142857144</v>
      </c>
      <c r="G5" s="249">
        <v>2.62</v>
      </c>
    </row>
    <row r="6" spans="1:7" x14ac:dyDescent="0.25">
      <c r="A6" s="145"/>
      <c r="B6" s="18" t="s">
        <v>3</v>
      </c>
      <c r="C6" s="136" t="s">
        <v>12</v>
      </c>
      <c r="D6" s="274">
        <v>0.72</v>
      </c>
      <c r="E6" s="239">
        <v>4.84</v>
      </c>
      <c r="F6" s="259">
        <f t="shared" si="0"/>
        <v>6.7222222222222223</v>
      </c>
      <c r="G6" s="249">
        <v>18.32</v>
      </c>
    </row>
    <row r="7" spans="1:7" x14ac:dyDescent="0.25">
      <c r="A7" s="145"/>
      <c r="B7" s="18" t="s">
        <v>3</v>
      </c>
      <c r="C7" s="136" t="s">
        <v>14</v>
      </c>
      <c r="D7" s="274">
        <v>2.39</v>
      </c>
      <c r="E7" s="239">
        <v>15.51</v>
      </c>
      <c r="F7" s="259">
        <f t="shared" si="0"/>
        <v>6.4895397489539741</v>
      </c>
      <c r="G7" s="249">
        <v>6.68</v>
      </c>
    </row>
    <row r="8" spans="1:7" x14ac:dyDescent="0.25">
      <c r="A8" s="145"/>
      <c r="B8" s="18" t="s">
        <v>3</v>
      </c>
      <c r="C8" s="136" t="s">
        <v>16</v>
      </c>
      <c r="D8" s="274">
        <v>2.35</v>
      </c>
      <c r="E8" s="239">
        <v>13.53</v>
      </c>
      <c r="F8" s="259">
        <f t="shared" si="0"/>
        <v>5.7574468085106378</v>
      </c>
      <c r="G8" s="249">
        <v>5.98</v>
      </c>
    </row>
    <row r="9" spans="1:7" x14ac:dyDescent="0.25">
      <c r="A9" s="145"/>
      <c r="B9" s="18" t="s">
        <v>3</v>
      </c>
      <c r="C9" s="136" t="s">
        <v>18</v>
      </c>
      <c r="D9" s="274">
        <v>1.8</v>
      </c>
      <c r="E9" s="239">
        <v>11.45</v>
      </c>
      <c r="F9" s="259">
        <f t="shared" si="0"/>
        <v>6.3611111111111107</v>
      </c>
      <c r="G9" s="249">
        <v>6.73</v>
      </c>
    </row>
    <row r="10" spans="1:7" x14ac:dyDescent="0.25">
      <c r="A10" s="145"/>
      <c r="B10" s="18" t="s">
        <v>3</v>
      </c>
      <c r="C10" s="136" t="s">
        <v>20</v>
      </c>
      <c r="D10" s="274">
        <v>1.92</v>
      </c>
      <c r="E10" s="239">
        <v>10.74</v>
      </c>
      <c r="F10" s="259">
        <f t="shared" si="0"/>
        <v>5.59375</v>
      </c>
      <c r="G10" s="249">
        <v>4.76</v>
      </c>
    </row>
    <row r="11" spans="1:7" x14ac:dyDescent="0.25">
      <c r="A11" s="145"/>
      <c r="B11" s="18" t="s">
        <v>3</v>
      </c>
      <c r="C11" s="136" t="s">
        <v>22</v>
      </c>
      <c r="D11" s="274">
        <v>1.43</v>
      </c>
      <c r="E11" s="239">
        <v>9.11</v>
      </c>
      <c r="F11" s="259">
        <f t="shared" si="0"/>
        <v>6.3706293706293708</v>
      </c>
      <c r="G11" s="249">
        <v>6.85</v>
      </c>
    </row>
    <row r="12" spans="1:7" x14ac:dyDescent="0.25">
      <c r="A12" s="145"/>
      <c r="B12" s="18" t="s">
        <v>3</v>
      </c>
      <c r="C12" s="136" t="s">
        <v>24</v>
      </c>
      <c r="D12" s="274">
        <v>1.03</v>
      </c>
      <c r="E12" s="239">
        <v>5</v>
      </c>
      <c r="F12" s="259">
        <f t="shared" si="0"/>
        <v>4.8543689320388346</v>
      </c>
      <c r="G12" s="249">
        <v>3.8</v>
      </c>
    </row>
    <row r="13" spans="1:7" x14ac:dyDescent="0.25">
      <c r="A13" s="145"/>
      <c r="B13" s="136" t="s">
        <v>84</v>
      </c>
      <c r="C13" s="136" t="s">
        <v>85</v>
      </c>
      <c r="D13" s="274">
        <v>0.85</v>
      </c>
      <c r="E13" s="238">
        <v>0</v>
      </c>
      <c r="F13" s="259">
        <f t="shared" si="0"/>
        <v>0</v>
      </c>
      <c r="G13" s="249">
        <v>2.39</v>
      </c>
    </row>
    <row r="14" spans="1:7" x14ac:dyDescent="0.25">
      <c r="A14" s="145"/>
      <c r="B14" s="136" t="s">
        <v>7</v>
      </c>
      <c r="C14" s="136" t="s">
        <v>99</v>
      </c>
      <c r="D14" s="111">
        <v>2</v>
      </c>
      <c r="E14" s="238">
        <v>0</v>
      </c>
      <c r="F14" s="259">
        <f t="shared" si="0"/>
        <v>0</v>
      </c>
      <c r="G14" s="249">
        <v>5.3</v>
      </c>
    </row>
    <row r="15" spans="1:7" x14ac:dyDescent="0.25">
      <c r="A15" s="145"/>
      <c r="B15" s="136" t="s">
        <v>7</v>
      </c>
      <c r="C15" s="136" t="s">
        <v>98</v>
      </c>
      <c r="D15" s="111">
        <v>1.5</v>
      </c>
      <c r="E15" s="238">
        <v>0</v>
      </c>
      <c r="F15" s="259">
        <f t="shared" si="0"/>
        <v>0</v>
      </c>
      <c r="G15" s="249">
        <v>5</v>
      </c>
    </row>
    <row r="16" spans="1:7" x14ac:dyDescent="0.25">
      <c r="A16" s="145"/>
      <c r="B16" s="136" t="s">
        <v>7</v>
      </c>
      <c r="C16" s="136" t="s">
        <v>100</v>
      </c>
      <c r="D16" s="111">
        <v>6.5</v>
      </c>
      <c r="E16" s="238">
        <v>0</v>
      </c>
      <c r="F16" s="259">
        <f t="shared" si="0"/>
        <v>0</v>
      </c>
      <c r="G16" s="249">
        <v>4.18</v>
      </c>
    </row>
    <row r="17" spans="1:7" x14ac:dyDescent="0.25">
      <c r="A17" s="145"/>
      <c r="B17" s="136" t="s">
        <v>7</v>
      </c>
      <c r="C17" s="147" t="s">
        <v>87</v>
      </c>
      <c r="D17" s="111">
        <v>10.5</v>
      </c>
      <c r="E17" s="236">
        <v>0</v>
      </c>
      <c r="F17" s="259">
        <f t="shared" si="0"/>
        <v>0</v>
      </c>
      <c r="G17" s="249">
        <v>5.37</v>
      </c>
    </row>
    <row r="18" spans="1:7" s="70" customFormat="1" x14ac:dyDescent="0.25">
      <c r="A18" s="145"/>
      <c r="B18" s="143" t="s">
        <v>7</v>
      </c>
      <c r="C18" s="138" t="s">
        <v>114</v>
      </c>
      <c r="D18" s="111">
        <v>19.21</v>
      </c>
      <c r="E18" s="236">
        <v>101.3</v>
      </c>
      <c r="F18" s="259">
        <f t="shared" si="0"/>
        <v>5.2732951587714725</v>
      </c>
      <c r="G18" s="249">
        <v>0</v>
      </c>
    </row>
    <row r="19" spans="1:7" s="256" customFormat="1" x14ac:dyDescent="0.25">
      <c r="A19" s="242" t="s">
        <v>13</v>
      </c>
      <c r="B19" s="245"/>
      <c r="C19" s="246"/>
      <c r="D19" s="265"/>
      <c r="E19" s="248"/>
      <c r="F19" s="187"/>
      <c r="G19" s="257"/>
    </row>
    <row r="20" spans="1:7" x14ac:dyDescent="0.25">
      <c r="A20" s="145"/>
      <c r="B20" s="18" t="s">
        <v>3</v>
      </c>
      <c r="C20" s="136" t="s">
        <v>29</v>
      </c>
      <c r="D20" s="126">
        <v>4.32</v>
      </c>
      <c r="E20" s="239">
        <v>23.12</v>
      </c>
      <c r="F20" s="259">
        <f>E20/D20</f>
        <v>5.3518518518518521</v>
      </c>
      <c r="G20" s="249">
        <v>11.83</v>
      </c>
    </row>
    <row r="21" spans="1:7" x14ac:dyDescent="0.25">
      <c r="A21" s="145"/>
      <c r="B21" s="18" t="s">
        <v>3</v>
      </c>
      <c r="C21" s="136" t="s">
        <v>31</v>
      </c>
      <c r="D21" s="126">
        <v>1.92</v>
      </c>
      <c r="E21" s="239">
        <v>8.64</v>
      </c>
      <c r="F21" s="259">
        <f t="shared" ref="F21:F23" si="1">E21/D21</f>
        <v>4.5000000000000009</v>
      </c>
      <c r="G21" s="249">
        <v>8.94</v>
      </c>
    </row>
    <row r="22" spans="1:7" x14ac:dyDescent="0.25">
      <c r="A22" s="145"/>
      <c r="B22" s="18" t="s">
        <v>86</v>
      </c>
      <c r="C22" s="136" t="s">
        <v>32</v>
      </c>
      <c r="D22" s="126">
        <v>3.29</v>
      </c>
      <c r="E22" s="239">
        <v>22.68</v>
      </c>
      <c r="F22" s="259">
        <f t="shared" si="1"/>
        <v>6.8936170212765955</v>
      </c>
      <c r="G22" s="249">
        <v>11.57</v>
      </c>
    </row>
    <row r="23" spans="1:7" x14ac:dyDescent="0.25">
      <c r="A23" s="145"/>
      <c r="B23" s="18" t="s">
        <v>84</v>
      </c>
      <c r="C23" s="136" t="s">
        <v>88</v>
      </c>
      <c r="D23" s="126">
        <v>4.63</v>
      </c>
      <c r="E23" s="273">
        <v>0</v>
      </c>
      <c r="F23" s="259">
        <f t="shared" si="1"/>
        <v>0</v>
      </c>
      <c r="G23" s="249">
        <v>2.98</v>
      </c>
    </row>
    <row r="24" spans="1:7" s="256" customFormat="1" x14ac:dyDescent="0.25">
      <c r="A24" s="242" t="s">
        <v>15</v>
      </c>
      <c r="B24" s="245"/>
      <c r="C24" s="247"/>
      <c r="D24" s="265"/>
      <c r="E24" s="248"/>
      <c r="F24" s="187"/>
      <c r="G24" s="257"/>
    </row>
    <row r="25" spans="1:7" x14ac:dyDescent="0.25">
      <c r="A25" s="145"/>
      <c r="B25" s="18" t="s">
        <v>3</v>
      </c>
      <c r="C25" s="136" t="s">
        <v>36</v>
      </c>
      <c r="D25" s="140">
        <v>4.04</v>
      </c>
      <c r="E25" s="249">
        <v>23.62</v>
      </c>
      <c r="F25" s="259">
        <f>E25/D25</f>
        <v>5.8465346534653468</v>
      </c>
      <c r="G25" s="249">
        <v>5.01</v>
      </c>
    </row>
    <row r="26" spans="1:7" x14ac:dyDescent="0.25">
      <c r="A26" s="145"/>
      <c r="B26" s="18" t="s">
        <v>86</v>
      </c>
      <c r="C26" s="136" t="s">
        <v>37</v>
      </c>
      <c r="D26" s="140">
        <v>5.04</v>
      </c>
      <c r="E26" s="249">
        <v>27.94</v>
      </c>
      <c r="F26" s="259">
        <f t="shared" ref="F26:F27" si="2">E26/D26</f>
        <v>5.5436507936507935</v>
      </c>
      <c r="G26" s="249">
        <v>5.94</v>
      </c>
    </row>
    <row r="27" spans="1:7" x14ac:dyDescent="0.25">
      <c r="A27" s="145"/>
      <c r="B27" s="18" t="s">
        <v>6</v>
      </c>
      <c r="C27" s="136" t="s">
        <v>38</v>
      </c>
      <c r="D27" s="140">
        <v>1.65</v>
      </c>
      <c r="E27" s="249">
        <v>14.07</v>
      </c>
      <c r="F27" s="259">
        <f t="shared" si="2"/>
        <v>8.5272727272727273</v>
      </c>
      <c r="G27" s="249">
        <v>7.32</v>
      </c>
    </row>
    <row r="28" spans="1:7" s="256" customFormat="1" x14ac:dyDescent="0.25">
      <c r="A28" s="242" t="s">
        <v>17</v>
      </c>
      <c r="B28" s="245"/>
      <c r="C28" s="247"/>
      <c r="D28" s="275"/>
      <c r="E28" s="248"/>
      <c r="F28" s="187"/>
      <c r="G28" s="257"/>
    </row>
    <row r="29" spans="1:7" x14ac:dyDescent="0.25">
      <c r="A29" s="145"/>
      <c r="B29" s="18" t="s">
        <v>3</v>
      </c>
      <c r="C29" s="136" t="s">
        <v>39</v>
      </c>
      <c r="D29" s="274">
        <v>1.89</v>
      </c>
      <c r="E29" s="239">
        <v>8.3699999999999992</v>
      </c>
      <c r="F29" s="259">
        <f>E29/D29</f>
        <v>4.4285714285714288</v>
      </c>
      <c r="G29" s="249">
        <v>4.8600000000000003</v>
      </c>
    </row>
    <row r="30" spans="1:7" x14ac:dyDescent="0.25">
      <c r="A30" s="145"/>
      <c r="B30" s="18" t="s">
        <v>86</v>
      </c>
      <c r="C30" s="136" t="s">
        <v>31</v>
      </c>
      <c r="D30" s="274">
        <v>0.57999999999999996</v>
      </c>
      <c r="E30" s="239">
        <v>3.04</v>
      </c>
      <c r="F30" s="259">
        <f t="shared" ref="F30:F41" si="3">E30/D29</f>
        <v>1.6084656084656086</v>
      </c>
      <c r="G30" s="249">
        <v>4.62</v>
      </c>
    </row>
    <row r="31" spans="1:7" x14ac:dyDescent="0.25">
      <c r="A31" s="145"/>
      <c r="B31" s="18" t="s">
        <v>4</v>
      </c>
      <c r="C31" s="136" t="s">
        <v>40</v>
      </c>
      <c r="D31" s="274">
        <v>9.11</v>
      </c>
      <c r="E31" s="239">
        <v>21.02</v>
      </c>
      <c r="F31" s="259">
        <f t="shared" si="3"/>
        <v>36.241379310344833</v>
      </c>
      <c r="G31" s="249">
        <v>3.5</v>
      </c>
    </row>
    <row r="32" spans="1:7" x14ac:dyDescent="0.25">
      <c r="A32" s="145"/>
      <c r="B32" s="18" t="s">
        <v>89</v>
      </c>
      <c r="C32" s="136" t="s">
        <v>90</v>
      </c>
      <c r="D32" s="274">
        <v>7.34</v>
      </c>
      <c r="E32" s="239">
        <v>51.91</v>
      </c>
      <c r="F32" s="259">
        <f t="shared" si="3"/>
        <v>5.6981339187705817</v>
      </c>
      <c r="G32" s="249">
        <v>5.72</v>
      </c>
    </row>
    <row r="33" spans="1:7" x14ac:dyDescent="0.25">
      <c r="A33" s="184"/>
      <c r="B33" s="18" t="s">
        <v>7</v>
      </c>
      <c r="C33" s="136" t="s">
        <v>41</v>
      </c>
      <c r="D33" s="140">
        <v>2</v>
      </c>
      <c r="E33" s="249">
        <v>5.38</v>
      </c>
      <c r="F33" s="259">
        <f t="shared" si="3"/>
        <v>0.73297002724795646</v>
      </c>
      <c r="G33" s="249">
        <v>3.9</v>
      </c>
    </row>
    <row r="34" spans="1:7" x14ac:dyDescent="0.25">
      <c r="A34" s="145"/>
      <c r="B34" s="18" t="s">
        <v>7</v>
      </c>
      <c r="C34" s="136" t="s">
        <v>42</v>
      </c>
      <c r="D34" s="140">
        <v>2</v>
      </c>
      <c r="E34" s="249">
        <v>2.4</v>
      </c>
      <c r="F34" s="259">
        <f t="shared" si="3"/>
        <v>1.2</v>
      </c>
      <c r="G34" s="249">
        <v>4.2</v>
      </c>
    </row>
    <row r="35" spans="1:7" x14ac:dyDescent="0.25">
      <c r="A35" s="145"/>
      <c r="B35" s="18" t="s">
        <v>7</v>
      </c>
      <c r="C35" s="136" t="s">
        <v>43</v>
      </c>
      <c r="D35" s="140">
        <v>4</v>
      </c>
      <c r="E35" s="249">
        <v>24.55</v>
      </c>
      <c r="F35" s="259">
        <f t="shared" si="3"/>
        <v>12.275</v>
      </c>
      <c r="G35" s="249">
        <v>4.22</v>
      </c>
    </row>
    <row r="36" spans="1:7" x14ac:dyDescent="0.25">
      <c r="A36" s="145"/>
      <c r="B36" s="18" t="s">
        <v>7</v>
      </c>
      <c r="C36" s="136" t="s">
        <v>91</v>
      </c>
      <c r="D36" s="140">
        <v>4.25</v>
      </c>
      <c r="E36" s="249">
        <v>14.49</v>
      </c>
      <c r="F36" s="259">
        <f t="shared" si="3"/>
        <v>3.6225000000000001</v>
      </c>
      <c r="G36" s="249">
        <v>4.0999999999999996</v>
      </c>
    </row>
    <row r="37" spans="1:7" x14ac:dyDescent="0.25">
      <c r="A37" s="145"/>
      <c r="B37" s="18" t="s">
        <v>7</v>
      </c>
      <c r="C37" s="136" t="s">
        <v>99</v>
      </c>
      <c r="D37" s="140">
        <v>3</v>
      </c>
      <c r="E37" s="236">
        <v>0</v>
      </c>
      <c r="F37" s="259">
        <f t="shared" si="3"/>
        <v>0</v>
      </c>
      <c r="G37" s="249">
        <v>5.38</v>
      </c>
    </row>
    <row r="38" spans="1:7" x14ac:dyDescent="0.25">
      <c r="A38" s="145"/>
      <c r="B38" s="18" t="s">
        <v>7</v>
      </c>
      <c r="C38" s="136" t="s">
        <v>100</v>
      </c>
      <c r="D38" s="140">
        <v>15.06</v>
      </c>
      <c r="E38" s="236">
        <v>0</v>
      </c>
      <c r="F38" s="259">
        <f t="shared" si="3"/>
        <v>0</v>
      </c>
      <c r="G38" s="249">
        <v>6.5</v>
      </c>
    </row>
    <row r="39" spans="1:7" x14ac:dyDescent="0.25">
      <c r="A39" s="145"/>
      <c r="B39" s="18" t="s">
        <v>7</v>
      </c>
      <c r="C39" s="136" t="s">
        <v>102</v>
      </c>
      <c r="D39" s="140">
        <v>4</v>
      </c>
      <c r="E39" s="236">
        <v>0</v>
      </c>
      <c r="F39" s="259">
        <f t="shared" si="3"/>
        <v>0</v>
      </c>
      <c r="G39" s="249">
        <v>2.62</v>
      </c>
    </row>
    <row r="40" spans="1:7" x14ac:dyDescent="0.25">
      <c r="A40" s="145"/>
      <c r="B40" s="18" t="s">
        <v>7</v>
      </c>
      <c r="C40" s="136" t="s">
        <v>101</v>
      </c>
      <c r="D40" s="140">
        <v>0.3</v>
      </c>
      <c r="E40" s="236">
        <v>0</v>
      </c>
      <c r="F40" s="259">
        <f t="shared" si="3"/>
        <v>0</v>
      </c>
      <c r="G40" s="249">
        <v>4.63</v>
      </c>
    </row>
    <row r="41" spans="1:7" s="70" customFormat="1" x14ac:dyDescent="0.25">
      <c r="A41" s="145"/>
      <c r="B41" s="143" t="s">
        <v>7</v>
      </c>
      <c r="C41" s="143" t="s">
        <v>114</v>
      </c>
      <c r="D41" s="140">
        <v>19.62</v>
      </c>
      <c r="E41" s="236">
        <v>55.72</v>
      </c>
      <c r="F41" s="259">
        <f t="shared" si="3"/>
        <v>185.73333333333335</v>
      </c>
      <c r="G41" s="249"/>
    </row>
    <row r="42" spans="1:7" s="256" customFormat="1" x14ac:dyDescent="0.25">
      <c r="A42" s="242" t="s">
        <v>19</v>
      </c>
      <c r="B42" s="245"/>
      <c r="C42" s="247"/>
      <c r="D42" s="265"/>
      <c r="E42" s="248"/>
      <c r="F42" s="187"/>
      <c r="G42" s="257"/>
    </row>
    <row r="43" spans="1:7" x14ac:dyDescent="0.25">
      <c r="A43" s="145"/>
      <c r="B43" s="18" t="s">
        <v>3</v>
      </c>
      <c r="C43" s="136" t="s">
        <v>37</v>
      </c>
      <c r="D43" s="140">
        <v>4.43</v>
      </c>
      <c r="E43" s="249">
        <v>7.02</v>
      </c>
      <c r="F43" s="259">
        <f>E43/D43</f>
        <v>1.5846501128668171</v>
      </c>
      <c r="G43" s="249">
        <v>2.91</v>
      </c>
    </row>
    <row r="44" spans="1:7" s="256" customFormat="1" x14ac:dyDescent="0.25">
      <c r="A44" s="242" t="s">
        <v>21</v>
      </c>
      <c r="B44" s="245"/>
      <c r="C44" s="247"/>
      <c r="D44" s="265"/>
      <c r="E44" s="248"/>
      <c r="F44" s="187"/>
      <c r="G44" s="257"/>
    </row>
    <row r="45" spans="1:7" x14ac:dyDescent="0.25">
      <c r="A45" s="145"/>
      <c r="B45" s="18" t="s">
        <v>3</v>
      </c>
      <c r="C45" s="136" t="s">
        <v>44</v>
      </c>
      <c r="D45" s="126">
        <v>3.55</v>
      </c>
      <c r="E45" s="239">
        <v>13.77</v>
      </c>
      <c r="F45" s="259">
        <f>E45/D45</f>
        <v>3.8788732394366199</v>
      </c>
      <c r="G45" s="249">
        <v>6.2</v>
      </c>
    </row>
    <row r="46" spans="1:7" x14ac:dyDescent="0.25">
      <c r="A46" s="145"/>
      <c r="B46" s="18" t="s">
        <v>86</v>
      </c>
      <c r="C46" s="136" t="s">
        <v>45</v>
      </c>
      <c r="D46" s="126">
        <v>1.9</v>
      </c>
      <c r="E46" s="239">
        <v>7.47</v>
      </c>
      <c r="F46" s="259">
        <f t="shared" ref="F46:F47" si="4">E46/D46</f>
        <v>3.9315789473684211</v>
      </c>
      <c r="G46" s="249">
        <v>5.04</v>
      </c>
    </row>
    <row r="47" spans="1:7" x14ac:dyDescent="0.25">
      <c r="A47" s="145"/>
      <c r="B47" s="18" t="s">
        <v>7</v>
      </c>
      <c r="C47" s="136" t="s">
        <v>92</v>
      </c>
      <c r="D47" s="140">
        <v>7</v>
      </c>
      <c r="E47" s="249">
        <v>40.96</v>
      </c>
      <c r="F47" s="259">
        <f t="shared" si="4"/>
        <v>5.8514285714285714</v>
      </c>
      <c r="G47" s="249">
        <v>4.96</v>
      </c>
    </row>
    <row r="48" spans="1:7" s="256" customFormat="1" x14ac:dyDescent="0.25">
      <c r="A48" s="242" t="s">
        <v>23</v>
      </c>
      <c r="B48" s="245"/>
      <c r="C48" s="246"/>
      <c r="D48" s="266"/>
      <c r="E48" s="276"/>
      <c r="F48" s="187"/>
      <c r="G48" s="257"/>
    </row>
    <row r="49" spans="1:8" x14ac:dyDescent="0.25">
      <c r="A49" s="145"/>
      <c r="B49" s="18" t="s">
        <v>7</v>
      </c>
      <c r="C49" s="136" t="s">
        <v>42</v>
      </c>
      <c r="D49" s="263">
        <v>6</v>
      </c>
      <c r="E49" s="236">
        <v>16.170000000000002</v>
      </c>
      <c r="F49" s="259">
        <f>E49/D49</f>
        <v>2.6950000000000003</v>
      </c>
      <c r="G49" s="249">
        <v>4.5199999999999996</v>
      </c>
    </row>
    <row r="50" spans="1:8" x14ac:dyDescent="0.25">
      <c r="A50" s="145"/>
      <c r="B50" s="18" t="s">
        <v>7</v>
      </c>
      <c r="C50" s="136" t="s">
        <v>46</v>
      </c>
      <c r="D50" s="263">
        <v>3.8</v>
      </c>
      <c r="E50" s="236">
        <v>11.46</v>
      </c>
      <c r="F50" s="259">
        <f t="shared" ref="F50:F52" si="5">E50/D50</f>
        <v>3.0157894736842108</v>
      </c>
      <c r="G50" s="249">
        <v>4.22</v>
      </c>
    </row>
    <row r="51" spans="1:8" x14ac:dyDescent="0.25">
      <c r="A51" s="145"/>
      <c r="B51" s="18" t="s">
        <v>7</v>
      </c>
      <c r="C51" s="136" t="s">
        <v>47</v>
      </c>
      <c r="D51" s="263">
        <v>7.49</v>
      </c>
      <c r="E51" s="236">
        <v>8.6</v>
      </c>
      <c r="F51" s="259">
        <f t="shared" si="5"/>
        <v>1.1481975967957276</v>
      </c>
      <c r="G51" s="249">
        <v>1.75</v>
      </c>
    </row>
    <row r="52" spans="1:8" x14ac:dyDescent="0.25">
      <c r="A52" s="145"/>
      <c r="B52" s="18" t="s">
        <v>7</v>
      </c>
      <c r="C52" s="136" t="s">
        <v>91</v>
      </c>
      <c r="D52" s="263">
        <v>2.5</v>
      </c>
      <c r="E52" s="236">
        <v>4.2300000000000004</v>
      </c>
      <c r="F52" s="259">
        <f t="shared" si="5"/>
        <v>1.6920000000000002</v>
      </c>
      <c r="G52" s="249">
        <v>4.7</v>
      </c>
    </row>
    <row r="53" spans="1:8" x14ac:dyDescent="0.25">
      <c r="A53" s="145"/>
      <c r="B53" s="18" t="s">
        <v>7</v>
      </c>
      <c r="C53" s="136" t="s">
        <v>102</v>
      </c>
      <c r="D53" s="263">
        <v>4</v>
      </c>
      <c r="E53" s="240"/>
      <c r="F53" s="140"/>
      <c r="G53" s="249">
        <v>2.62</v>
      </c>
    </row>
    <row r="54" spans="1:8" x14ac:dyDescent="0.25">
      <c r="A54" s="145"/>
      <c r="B54" s="18" t="s">
        <v>7</v>
      </c>
      <c r="C54" s="136" t="s">
        <v>79</v>
      </c>
      <c r="D54" s="263">
        <v>5</v>
      </c>
      <c r="E54" s="240"/>
      <c r="F54" s="140"/>
      <c r="G54" s="249">
        <v>6.15</v>
      </c>
    </row>
    <row r="55" spans="1:8" x14ac:dyDescent="0.25">
      <c r="A55" s="242" t="s">
        <v>48</v>
      </c>
      <c r="B55" s="245"/>
      <c r="C55" s="247"/>
      <c r="D55" s="265"/>
      <c r="E55" s="248"/>
      <c r="F55" s="187"/>
      <c r="G55" s="257"/>
    </row>
    <row r="56" spans="1:8" x14ac:dyDescent="0.25">
      <c r="A56" s="145"/>
      <c r="B56" s="18" t="s">
        <v>3</v>
      </c>
      <c r="C56" s="136" t="s">
        <v>49</v>
      </c>
      <c r="D56" s="126">
        <v>5.07</v>
      </c>
      <c r="E56" s="239">
        <v>21.98</v>
      </c>
      <c r="F56" s="259">
        <f>E56/D56</f>
        <v>4.335305719921104</v>
      </c>
      <c r="G56" s="249">
        <v>4.0199999999999996</v>
      </c>
    </row>
    <row r="57" spans="1:8" x14ac:dyDescent="0.25">
      <c r="A57" s="145"/>
      <c r="B57" s="18" t="s">
        <v>86</v>
      </c>
      <c r="C57" s="136" t="s">
        <v>50</v>
      </c>
      <c r="D57" s="126">
        <v>1.23</v>
      </c>
      <c r="E57" s="239">
        <v>6.64</v>
      </c>
      <c r="F57" s="259">
        <f t="shared" ref="F57:F63" si="6">E57/D57</f>
        <v>5.3983739837398375</v>
      </c>
      <c r="G57" s="249">
        <v>4.3499999999999996</v>
      </c>
    </row>
    <row r="58" spans="1:8" x14ac:dyDescent="0.25">
      <c r="A58" s="145"/>
      <c r="B58" s="18" t="s">
        <v>86</v>
      </c>
      <c r="C58" s="136" t="s">
        <v>51</v>
      </c>
      <c r="D58" s="126">
        <v>1.58</v>
      </c>
      <c r="E58" s="239">
        <v>7.57</v>
      </c>
      <c r="F58" s="259">
        <f t="shared" si="6"/>
        <v>4.7911392405063289</v>
      </c>
      <c r="G58" s="249">
        <v>3.11</v>
      </c>
    </row>
    <row r="59" spans="1:8" x14ac:dyDescent="0.25">
      <c r="A59" s="145"/>
      <c r="B59" s="18" t="s">
        <v>86</v>
      </c>
      <c r="C59" s="136" t="s">
        <v>11</v>
      </c>
      <c r="D59" s="126">
        <v>0.21</v>
      </c>
      <c r="E59" s="239">
        <v>1.69</v>
      </c>
      <c r="F59" s="259">
        <f t="shared" si="6"/>
        <v>8.0476190476190474</v>
      </c>
      <c r="G59" s="249">
        <v>4.38</v>
      </c>
    </row>
    <row r="60" spans="1:8" x14ac:dyDescent="0.25">
      <c r="A60" s="184"/>
      <c r="B60" s="18" t="s">
        <v>86</v>
      </c>
      <c r="C60" s="136" t="s">
        <v>52</v>
      </c>
      <c r="D60" s="126">
        <v>0.68</v>
      </c>
      <c r="E60" s="239">
        <v>2.8</v>
      </c>
      <c r="F60" s="259">
        <f t="shared" si="6"/>
        <v>4.117647058823529</v>
      </c>
      <c r="G60" s="249">
        <v>1.1000000000000001</v>
      </c>
    </row>
    <row r="61" spans="1:8" x14ac:dyDescent="0.25">
      <c r="A61" s="145"/>
      <c r="B61" s="18" t="s">
        <v>86</v>
      </c>
      <c r="C61" s="136" t="s">
        <v>53</v>
      </c>
      <c r="D61" s="126">
        <v>0.74</v>
      </c>
      <c r="E61" s="239">
        <v>4.0599999999999996</v>
      </c>
      <c r="F61" s="259">
        <f t="shared" si="6"/>
        <v>5.486486486486486</v>
      </c>
      <c r="G61" s="249">
        <v>8.2200000000000006</v>
      </c>
    </row>
    <row r="62" spans="1:8" x14ac:dyDescent="0.25">
      <c r="A62" s="145"/>
      <c r="B62" s="18" t="s">
        <v>86</v>
      </c>
      <c r="C62" s="136" t="s">
        <v>54</v>
      </c>
      <c r="D62" s="126">
        <v>1.1299999999999999</v>
      </c>
      <c r="E62" s="239">
        <v>6.08</v>
      </c>
      <c r="F62" s="259">
        <f t="shared" si="6"/>
        <v>5.3805309734513278</v>
      </c>
      <c r="G62" s="249">
        <v>4.1500000000000004</v>
      </c>
      <c r="H62" s="70" t="s">
        <v>112</v>
      </c>
    </row>
    <row r="63" spans="1:8" x14ac:dyDescent="0.25">
      <c r="A63" s="145"/>
      <c r="B63" s="18" t="s">
        <v>89</v>
      </c>
      <c r="C63" s="136" t="s">
        <v>55</v>
      </c>
      <c r="D63" s="126">
        <v>6.15</v>
      </c>
      <c r="E63" s="239">
        <v>28.64</v>
      </c>
      <c r="F63" s="259">
        <f t="shared" si="6"/>
        <v>4.6569105691056905</v>
      </c>
      <c r="G63" s="249">
        <v>3.05</v>
      </c>
    </row>
    <row r="64" spans="1:8" x14ac:dyDescent="0.25">
      <c r="A64" s="145"/>
      <c r="B64" s="18" t="s">
        <v>80</v>
      </c>
      <c r="C64" s="136" t="s">
        <v>5</v>
      </c>
      <c r="D64" s="157" t="s">
        <v>109</v>
      </c>
      <c r="E64" s="239">
        <v>5.67</v>
      </c>
      <c r="F64" s="259">
        <v>0</v>
      </c>
      <c r="G64" s="249">
        <v>16.98</v>
      </c>
    </row>
    <row r="65" spans="1:7" s="256" customFormat="1" x14ac:dyDescent="0.25">
      <c r="A65" s="242" t="s">
        <v>25</v>
      </c>
      <c r="B65" s="245"/>
      <c r="C65" s="247"/>
      <c r="D65" s="265"/>
      <c r="E65" s="248"/>
      <c r="F65" s="187"/>
      <c r="G65" s="257"/>
    </row>
    <row r="66" spans="1:7" x14ac:dyDescent="0.25">
      <c r="A66" s="145"/>
      <c r="B66" s="18" t="s">
        <v>3</v>
      </c>
      <c r="C66" s="136" t="s">
        <v>56</v>
      </c>
      <c r="D66" s="140">
        <v>1.49</v>
      </c>
      <c r="E66" s="249">
        <v>6.36</v>
      </c>
      <c r="F66" s="259">
        <f>E66/D66</f>
        <v>4.2684563758389267</v>
      </c>
      <c r="G66" s="249">
        <v>5.43</v>
      </c>
    </row>
    <row r="67" spans="1:7" s="256" customFormat="1" x14ac:dyDescent="0.25">
      <c r="A67" s="242" t="s">
        <v>93</v>
      </c>
      <c r="B67" s="245"/>
      <c r="C67" s="247"/>
      <c r="D67" s="265"/>
      <c r="E67" s="248"/>
      <c r="F67" s="277"/>
      <c r="G67" s="257"/>
    </row>
    <row r="68" spans="1:7" x14ac:dyDescent="0.25">
      <c r="A68" s="145"/>
      <c r="B68" s="18" t="s">
        <v>7</v>
      </c>
      <c r="C68" s="136" t="s">
        <v>99</v>
      </c>
      <c r="D68" s="140">
        <v>1</v>
      </c>
      <c r="E68" s="249">
        <v>0</v>
      </c>
      <c r="F68" s="259">
        <f t="shared" ref="F68:F70" si="7">E68/D68</f>
        <v>0</v>
      </c>
      <c r="G68" s="249">
        <v>4.84</v>
      </c>
    </row>
    <row r="69" spans="1:7" s="256" customFormat="1" x14ac:dyDescent="0.25">
      <c r="A69" s="250" t="s">
        <v>103</v>
      </c>
      <c r="B69" s="245"/>
      <c r="C69" s="247"/>
      <c r="D69" s="220"/>
      <c r="E69" s="257"/>
      <c r="F69" s="277"/>
      <c r="G69" s="175"/>
    </row>
    <row r="70" spans="1:7" x14ac:dyDescent="0.25">
      <c r="A70" s="252"/>
      <c r="B70" s="94" t="s">
        <v>8</v>
      </c>
      <c r="C70" s="208" t="s">
        <v>104</v>
      </c>
      <c r="D70" s="140">
        <v>4</v>
      </c>
      <c r="E70" s="249">
        <v>0</v>
      </c>
      <c r="F70" s="259">
        <f t="shared" si="7"/>
        <v>0</v>
      </c>
      <c r="G70" s="249">
        <v>4.37</v>
      </c>
    </row>
    <row r="71" spans="1:7" s="256" customFormat="1" x14ac:dyDescent="0.25">
      <c r="A71" s="250" t="s">
        <v>27</v>
      </c>
      <c r="B71" s="245"/>
      <c r="C71" s="247"/>
      <c r="D71" s="265"/>
      <c r="E71" s="248"/>
      <c r="F71" s="187"/>
      <c r="G71" s="257"/>
    </row>
    <row r="72" spans="1:7" x14ac:dyDescent="0.25">
      <c r="A72" s="145"/>
      <c r="B72" s="18" t="s">
        <v>3</v>
      </c>
      <c r="C72" s="136" t="s">
        <v>57</v>
      </c>
      <c r="D72" s="126">
        <v>7.0000000000000007E-2</v>
      </c>
      <c r="E72" s="239">
        <v>0.32</v>
      </c>
      <c r="F72" s="259">
        <f>E72/D72</f>
        <v>4.5714285714285712</v>
      </c>
      <c r="G72" s="249">
        <v>3.57</v>
      </c>
    </row>
    <row r="73" spans="1:7" x14ac:dyDescent="0.25">
      <c r="A73" s="184"/>
      <c r="B73" s="18"/>
      <c r="C73" s="136" t="s">
        <v>58</v>
      </c>
      <c r="D73" s="126">
        <v>2.36</v>
      </c>
      <c r="E73" s="239">
        <v>10.74</v>
      </c>
      <c r="F73" s="259">
        <f t="shared" ref="F73:F76" si="8">E73/D73</f>
        <v>4.5508474576271194</v>
      </c>
      <c r="G73" s="249">
        <v>4.04</v>
      </c>
    </row>
    <row r="74" spans="1:7" x14ac:dyDescent="0.25">
      <c r="A74" s="145"/>
      <c r="B74" s="18"/>
      <c r="C74" s="136" t="s">
        <v>59</v>
      </c>
      <c r="D74" s="126">
        <v>1.17</v>
      </c>
      <c r="E74" s="239">
        <v>5.42</v>
      </c>
      <c r="F74" s="259">
        <f t="shared" si="8"/>
        <v>4.6324786324786329</v>
      </c>
      <c r="G74" s="249">
        <v>3.64</v>
      </c>
    </row>
    <row r="75" spans="1:7" x14ac:dyDescent="0.25">
      <c r="A75" s="145"/>
      <c r="B75" s="18"/>
      <c r="C75" s="136" t="s">
        <v>60</v>
      </c>
      <c r="D75" s="126">
        <v>0.95</v>
      </c>
      <c r="E75" s="239">
        <v>5.52</v>
      </c>
      <c r="F75" s="259">
        <f t="shared" si="8"/>
        <v>5.8105263157894731</v>
      </c>
      <c r="G75" s="249">
        <v>3.29</v>
      </c>
    </row>
    <row r="76" spans="1:7" x14ac:dyDescent="0.25">
      <c r="A76" s="145"/>
      <c r="B76" s="18" t="s">
        <v>7</v>
      </c>
      <c r="C76" s="136" t="s">
        <v>104</v>
      </c>
      <c r="D76" s="140">
        <v>12.06</v>
      </c>
      <c r="E76" s="249">
        <v>0</v>
      </c>
      <c r="F76" s="259">
        <f t="shared" si="8"/>
        <v>0</v>
      </c>
      <c r="G76" s="249">
        <v>3.47</v>
      </c>
    </row>
    <row r="77" spans="1:7" s="256" customFormat="1" x14ac:dyDescent="0.25">
      <c r="A77" s="242" t="s">
        <v>28</v>
      </c>
      <c r="B77" s="245"/>
      <c r="C77" s="247"/>
      <c r="D77" s="265"/>
      <c r="E77" s="248"/>
      <c r="F77" s="187"/>
      <c r="G77" s="257"/>
    </row>
    <row r="78" spans="1:7" x14ac:dyDescent="0.25">
      <c r="A78" s="145"/>
      <c r="B78" s="18" t="s">
        <v>3</v>
      </c>
      <c r="C78" s="136" t="s">
        <v>53</v>
      </c>
      <c r="D78" s="140">
        <v>1.1000000000000001</v>
      </c>
      <c r="E78" s="239">
        <v>4.45</v>
      </c>
      <c r="F78" s="259">
        <f>E78/D78</f>
        <v>4.045454545454545</v>
      </c>
      <c r="G78" s="249">
        <v>4.12</v>
      </c>
    </row>
    <row r="79" spans="1:7" x14ac:dyDescent="0.25">
      <c r="A79" s="145"/>
      <c r="B79" s="18" t="s">
        <v>3</v>
      </c>
      <c r="C79" s="136" t="s">
        <v>61</v>
      </c>
      <c r="D79" s="140">
        <v>0.83</v>
      </c>
      <c r="E79" s="239">
        <v>4.0599999999999996</v>
      </c>
      <c r="F79" s="259">
        <f t="shared" ref="F79:F81" si="9">E79/D79</f>
        <v>4.8915662650602405</v>
      </c>
      <c r="G79" s="249">
        <v>5.41</v>
      </c>
    </row>
    <row r="80" spans="1:7" x14ac:dyDescent="0.25">
      <c r="A80" s="145"/>
      <c r="B80" s="18" t="s">
        <v>125</v>
      </c>
      <c r="C80" s="136"/>
      <c r="D80" s="140">
        <v>0.05</v>
      </c>
      <c r="E80" s="273">
        <v>0.24</v>
      </c>
      <c r="F80" s="259">
        <f t="shared" si="9"/>
        <v>4.8</v>
      </c>
      <c r="G80" s="249">
        <v>4.5999999999999996</v>
      </c>
    </row>
    <row r="81" spans="1:7" x14ac:dyDescent="0.25">
      <c r="A81" s="145"/>
      <c r="B81" s="18" t="s">
        <v>6</v>
      </c>
      <c r="C81" s="136"/>
      <c r="D81" s="140">
        <v>13.45</v>
      </c>
      <c r="E81" s="239">
        <v>58.79</v>
      </c>
      <c r="F81" s="259">
        <f t="shared" si="9"/>
        <v>4.371003717472119</v>
      </c>
      <c r="G81" s="249">
        <v>4.57</v>
      </c>
    </row>
    <row r="82" spans="1:7" s="256" customFormat="1" x14ac:dyDescent="0.25">
      <c r="A82" s="242" t="s">
        <v>62</v>
      </c>
      <c r="B82" s="245"/>
      <c r="C82" s="247"/>
      <c r="D82" s="265"/>
      <c r="E82" s="248"/>
      <c r="F82" s="187"/>
      <c r="G82" s="257"/>
    </row>
    <row r="83" spans="1:7" x14ac:dyDescent="0.25">
      <c r="A83" s="145"/>
      <c r="B83" s="18" t="s">
        <v>7</v>
      </c>
      <c r="C83" s="136" t="s">
        <v>46</v>
      </c>
      <c r="D83" s="140">
        <v>11.2</v>
      </c>
      <c r="E83" s="249">
        <v>59.91</v>
      </c>
      <c r="F83" s="259">
        <f>E83/D83</f>
        <v>5.3491071428571431</v>
      </c>
      <c r="G83" s="249">
        <v>5.98</v>
      </c>
    </row>
    <row r="84" spans="1:7" x14ac:dyDescent="0.25">
      <c r="A84" s="145"/>
      <c r="B84" s="18" t="s">
        <v>7</v>
      </c>
      <c r="C84" s="136" t="s">
        <v>99</v>
      </c>
      <c r="D84" s="140">
        <v>7</v>
      </c>
      <c r="E84" s="249">
        <v>0</v>
      </c>
      <c r="F84" s="259">
        <f>E84/D84</f>
        <v>0</v>
      </c>
      <c r="G84" s="249">
        <v>7</v>
      </c>
    </row>
    <row r="85" spans="1:7" x14ac:dyDescent="0.25">
      <c r="A85" s="250" t="s">
        <v>30</v>
      </c>
      <c r="B85" s="245"/>
      <c r="C85" s="247"/>
      <c r="D85" s="265"/>
      <c r="E85" s="244"/>
      <c r="F85" s="165"/>
      <c r="G85" s="249"/>
    </row>
    <row r="86" spans="1:7" x14ac:dyDescent="0.25">
      <c r="A86" s="145"/>
      <c r="B86" s="18" t="s">
        <v>3</v>
      </c>
      <c r="C86" s="136" t="s">
        <v>57</v>
      </c>
      <c r="D86" s="126">
        <v>0.66</v>
      </c>
      <c r="E86" s="239">
        <v>3.36</v>
      </c>
      <c r="F86" s="259">
        <f>E86/D86</f>
        <v>5.0909090909090908</v>
      </c>
      <c r="G86" s="249">
        <v>4.2699999999999996</v>
      </c>
    </row>
    <row r="87" spans="1:7" x14ac:dyDescent="0.25">
      <c r="A87" s="184"/>
      <c r="B87" s="18" t="s">
        <v>3</v>
      </c>
      <c r="C87" s="136" t="s">
        <v>51</v>
      </c>
      <c r="D87" s="126">
        <v>2.79</v>
      </c>
      <c r="E87" s="239">
        <v>13.42</v>
      </c>
      <c r="F87" s="259">
        <f t="shared" ref="F87:F92" si="10">E87/D87</f>
        <v>4.8100358422939067</v>
      </c>
      <c r="G87" s="249">
        <v>5.83</v>
      </c>
    </row>
    <row r="88" spans="1:7" x14ac:dyDescent="0.25">
      <c r="A88" s="145"/>
      <c r="B88" s="18" t="s">
        <v>3</v>
      </c>
      <c r="C88" s="136" t="s">
        <v>63</v>
      </c>
      <c r="D88" s="126">
        <v>2.7</v>
      </c>
      <c r="E88" s="239">
        <v>10.86</v>
      </c>
      <c r="F88" s="259">
        <f t="shared" si="10"/>
        <v>4.0222222222222221</v>
      </c>
      <c r="G88" s="249">
        <v>2.99</v>
      </c>
    </row>
    <row r="89" spans="1:7" x14ac:dyDescent="0.25">
      <c r="A89" s="145"/>
      <c r="B89" s="18" t="s">
        <v>3</v>
      </c>
      <c r="C89" s="136" t="s">
        <v>64</v>
      </c>
      <c r="D89" s="126">
        <v>0.85</v>
      </c>
      <c r="E89" s="239">
        <v>3.21</v>
      </c>
      <c r="F89" s="259">
        <f t="shared" si="10"/>
        <v>3.776470588235294</v>
      </c>
      <c r="G89" s="249">
        <v>1.65</v>
      </c>
    </row>
    <row r="90" spans="1:7" x14ac:dyDescent="0.25">
      <c r="A90" s="145"/>
      <c r="B90" s="18" t="s">
        <v>3</v>
      </c>
      <c r="C90" s="136" t="s">
        <v>45</v>
      </c>
      <c r="D90" s="126">
        <v>0.78</v>
      </c>
      <c r="E90" s="239">
        <v>2.7</v>
      </c>
      <c r="F90" s="259">
        <f t="shared" si="10"/>
        <v>3.4615384615384617</v>
      </c>
      <c r="G90" s="249">
        <v>2.74</v>
      </c>
    </row>
    <row r="91" spans="1:7" x14ac:dyDescent="0.25">
      <c r="A91" s="184"/>
      <c r="B91" s="18" t="s">
        <v>3</v>
      </c>
      <c r="C91" s="136" t="s">
        <v>65</v>
      </c>
      <c r="D91" s="126">
        <v>4.92</v>
      </c>
      <c r="E91" s="239">
        <v>19.28</v>
      </c>
      <c r="F91" s="259">
        <f t="shared" si="10"/>
        <v>3.9186991869918701</v>
      </c>
      <c r="G91" s="249">
        <v>4.38</v>
      </c>
    </row>
    <row r="92" spans="1:7" x14ac:dyDescent="0.25">
      <c r="A92" s="184"/>
      <c r="B92" s="18" t="s">
        <v>8</v>
      </c>
      <c r="C92" s="136" t="s">
        <v>87</v>
      </c>
      <c r="D92" s="140">
        <v>6.41</v>
      </c>
      <c r="E92" s="249">
        <v>0</v>
      </c>
      <c r="F92" s="259">
        <f t="shared" si="10"/>
        <v>0</v>
      </c>
      <c r="G92" s="249">
        <v>3.61</v>
      </c>
    </row>
    <row r="93" spans="1:7" s="256" customFormat="1" x14ac:dyDescent="0.25">
      <c r="A93" s="242" t="s">
        <v>33</v>
      </c>
      <c r="B93" s="245"/>
      <c r="C93" s="246"/>
      <c r="D93" s="266"/>
      <c r="E93" s="276"/>
      <c r="F93" s="187"/>
      <c r="G93" s="257"/>
    </row>
    <row r="94" spans="1:7" x14ac:dyDescent="0.25">
      <c r="A94" s="145"/>
      <c r="B94" s="18" t="s">
        <v>3</v>
      </c>
      <c r="C94" s="136" t="s">
        <v>52</v>
      </c>
      <c r="D94" s="126">
        <v>1.79</v>
      </c>
      <c r="E94" s="239">
        <v>5.91</v>
      </c>
      <c r="F94" s="259">
        <f>E94/D94</f>
        <v>3.3016759776536313</v>
      </c>
      <c r="G94" s="249">
        <v>4.82</v>
      </c>
    </row>
    <row r="95" spans="1:7" x14ac:dyDescent="0.25">
      <c r="A95" s="145"/>
      <c r="B95" s="18" t="s">
        <v>3</v>
      </c>
      <c r="C95" s="136" t="s">
        <v>32</v>
      </c>
      <c r="D95" s="126">
        <v>2.4700000000000002</v>
      </c>
      <c r="E95" s="239">
        <v>7.04</v>
      </c>
      <c r="F95" s="259">
        <f t="shared" ref="F95:F117" si="11">E95/D95</f>
        <v>2.8502024291497974</v>
      </c>
      <c r="G95" s="249">
        <v>4.6399999999999997</v>
      </c>
    </row>
    <row r="96" spans="1:7" x14ac:dyDescent="0.25">
      <c r="A96" s="145"/>
      <c r="B96" s="18" t="s">
        <v>3</v>
      </c>
      <c r="C96" s="136" t="s">
        <v>54</v>
      </c>
      <c r="D96" s="126">
        <v>0.92</v>
      </c>
      <c r="E96" s="239">
        <v>2.96</v>
      </c>
      <c r="F96" s="259">
        <f t="shared" si="11"/>
        <v>3.2173913043478257</v>
      </c>
      <c r="G96" s="249">
        <v>4.7</v>
      </c>
    </row>
    <row r="97" spans="1:7" x14ac:dyDescent="0.25">
      <c r="A97" s="145"/>
      <c r="B97" s="18" t="s">
        <v>3</v>
      </c>
      <c r="C97" s="136" t="s">
        <v>66</v>
      </c>
      <c r="D97" s="126">
        <v>0.55000000000000004</v>
      </c>
      <c r="E97" s="239">
        <v>1.84</v>
      </c>
      <c r="F97" s="259">
        <f t="shared" si="11"/>
        <v>3.3454545454545452</v>
      </c>
      <c r="G97" s="249">
        <v>3.13</v>
      </c>
    </row>
    <row r="98" spans="1:7" x14ac:dyDescent="0.25">
      <c r="A98" s="184"/>
      <c r="B98" s="18" t="s">
        <v>3</v>
      </c>
      <c r="C98" s="136" t="s">
        <v>67</v>
      </c>
      <c r="D98" s="126">
        <v>0.96</v>
      </c>
      <c r="E98" s="239">
        <v>2.36</v>
      </c>
      <c r="F98" s="259">
        <f t="shared" si="11"/>
        <v>2.4583333333333335</v>
      </c>
      <c r="G98" s="249">
        <v>3</v>
      </c>
    </row>
    <row r="99" spans="1:7" x14ac:dyDescent="0.25">
      <c r="A99" s="145"/>
      <c r="B99" s="18" t="s">
        <v>3</v>
      </c>
      <c r="C99" s="136" t="s">
        <v>68</v>
      </c>
      <c r="D99" s="126">
        <v>0.56999999999999995</v>
      </c>
      <c r="E99" s="239">
        <v>1.82</v>
      </c>
      <c r="F99" s="259">
        <f t="shared" si="11"/>
        <v>3.1929824561403515</v>
      </c>
      <c r="G99" s="249">
        <v>3.82</v>
      </c>
    </row>
    <row r="100" spans="1:7" x14ac:dyDescent="0.25">
      <c r="A100" s="145"/>
      <c r="B100" s="18" t="s">
        <v>3</v>
      </c>
      <c r="C100" s="136" t="s">
        <v>69</v>
      </c>
      <c r="D100" s="126">
        <v>0.9</v>
      </c>
      <c r="E100" s="239">
        <v>3.33</v>
      </c>
      <c r="F100" s="259">
        <f t="shared" si="11"/>
        <v>3.7</v>
      </c>
      <c r="G100" s="249">
        <v>5.83</v>
      </c>
    </row>
    <row r="101" spans="1:7" x14ac:dyDescent="0.25">
      <c r="A101" s="145"/>
      <c r="B101" s="18" t="s">
        <v>3</v>
      </c>
      <c r="C101" s="136" t="s">
        <v>70</v>
      </c>
      <c r="D101" s="126">
        <v>2.68</v>
      </c>
      <c r="E101" s="239">
        <v>8.52</v>
      </c>
      <c r="F101" s="259">
        <f t="shared" si="11"/>
        <v>3.1791044776119399</v>
      </c>
      <c r="G101" s="249">
        <v>0.87</v>
      </c>
    </row>
    <row r="102" spans="1:7" x14ac:dyDescent="0.25">
      <c r="A102" s="184"/>
      <c r="B102" s="18" t="s">
        <v>3</v>
      </c>
      <c r="C102" s="136" t="s">
        <v>71</v>
      </c>
      <c r="D102" s="126">
        <v>0.53</v>
      </c>
      <c r="E102" s="239">
        <v>2.74</v>
      </c>
      <c r="F102" s="259">
        <f t="shared" si="11"/>
        <v>5.1698113207547172</v>
      </c>
      <c r="G102" s="249">
        <v>5.36</v>
      </c>
    </row>
    <row r="103" spans="1:7" x14ac:dyDescent="0.25">
      <c r="A103" s="145"/>
      <c r="B103" s="18" t="s">
        <v>3</v>
      </c>
      <c r="C103" s="136" t="s">
        <v>72</v>
      </c>
      <c r="D103" s="126">
        <v>1.25</v>
      </c>
      <c r="E103" s="239">
        <v>5.41</v>
      </c>
      <c r="F103" s="259">
        <f t="shared" si="11"/>
        <v>4.3280000000000003</v>
      </c>
      <c r="G103" s="249">
        <v>4.9800000000000004</v>
      </c>
    </row>
    <row r="104" spans="1:7" x14ac:dyDescent="0.25">
      <c r="A104" s="145"/>
      <c r="B104" s="18" t="s">
        <v>3</v>
      </c>
      <c r="C104" s="136" t="s">
        <v>73</v>
      </c>
      <c r="D104" s="126">
        <v>1.63</v>
      </c>
      <c r="E104" s="239">
        <v>6.38</v>
      </c>
      <c r="F104" s="259">
        <f t="shared" si="11"/>
        <v>3.9141104294478528</v>
      </c>
      <c r="G104" s="249">
        <v>5.17</v>
      </c>
    </row>
    <row r="105" spans="1:7" x14ac:dyDescent="0.25">
      <c r="A105" s="145"/>
      <c r="B105" s="18" t="s">
        <v>3</v>
      </c>
      <c r="C105" s="136" t="s">
        <v>74</v>
      </c>
      <c r="D105" s="126">
        <v>1.72</v>
      </c>
      <c r="E105" s="239">
        <v>5.4</v>
      </c>
      <c r="F105" s="259">
        <f t="shared" si="11"/>
        <v>3.1395348837209305</v>
      </c>
      <c r="G105" s="249">
        <v>3.46</v>
      </c>
    </row>
    <row r="106" spans="1:7" x14ac:dyDescent="0.25">
      <c r="A106" s="184"/>
      <c r="B106" s="18" t="s">
        <v>3</v>
      </c>
      <c r="C106" s="136" t="s">
        <v>75</v>
      </c>
      <c r="D106" s="126">
        <v>1.57</v>
      </c>
      <c r="E106" s="239">
        <v>3.86</v>
      </c>
      <c r="F106" s="259">
        <f t="shared" si="11"/>
        <v>2.4585987261146496</v>
      </c>
      <c r="G106" s="249">
        <v>6.93</v>
      </c>
    </row>
    <row r="107" spans="1:7" x14ac:dyDescent="0.25">
      <c r="A107" s="145"/>
      <c r="B107" s="18" t="s">
        <v>3</v>
      </c>
      <c r="C107" s="136" t="s">
        <v>76</v>
      </c>
      <c r="D107" s="126">
        <v>1.01</v>
      </c>
      <c r="E107" s="239">
        <v>3.65</v>
      </c>
      <c r="F107" s="259">
        <f t="shared" si="11"/>
        <v>3.613861386138614</v>
      </c>
      <c r="G107" s="249">
        <v>6.23</v>
      </c>
    </row>
    <row r="108" spans="1:7" x14ac:dyDescent="0.25">
      <c r="A108" s="145"/>
      <c r="B108" s="18" t="s">
        <v>3</v>
      </c>
      <c r="C108" s="136" t="s">
        <v>77</v>
      </c>
      <c r="D108" s="126">
        <v>1.5</v>
      </c>
      <c r="E108" s="239">
        <v>4.58</v>
      </c>
      <c r="F108" s="259">
        <f t="shared" si="11"/>
        <v>3.0533333333333332</v>
      </c>
      <c r="G108" s="249">
        <v>5.87</v>
      </c>
    </row>
    <row r="109" spans="1:7" x14ac:dyDescent="0.25">
      <c r="A109" s="145"/>
      <c r="B109" s="18" t="s">
        <v>86</v>
      </c>
      <c r="C109" s="136" t="s">
        <v>49</v>
      </c>
      <c r="D109" s="126">
        <v>2.71</v>
      </c>
      <c r="E109" s="239">
        <v>10.52</v>
      </c>
      <c r="F109" s="259">
        <f t="shared" si="11"/>
        <v>3.8819188191881917</v>
      </c>
      <c r="G109" s="249">
        <v>3.79</v>
      </c>
    </row>
    <row r="110" spans="1:7" x14ac:dyDescent="0.25">
      <c r="A110" s="184"/>
      <c r="B110" s="18" t="s">
        <v>86</v>
      </c>
      <c r="C110" s="136" t="s">
        <v>44</v>
      </c>
      <c r="D110" s="126">
        <v>1.04</v>
      </c>
      <c r="E110" s="239">
        <v>2.92</v>
      </c>
      <c r="F110" s="259">
        <f t="shared" si="11"/>
        <v>2.8076923076923075</v>
      </c>
      <c r="G110" s="249">
        <v>3.46</v>
      </c>
    </row>
    <row r="111" spans="1:7" x14ac:dyDescent="0.25">
      <c r="A111" s="145"/>
      <c r="B111" s="18" t="s">
        <v>86</v>
      </c>
      <c r="C111" s="136" t="s">
        <v>12</v>
      </c>
      <c r="D111" s="126">
        <v>1.31</v>
      </c>
      <c r="E111" s="239">
        <v>4.51</v>
      </c>
      <c r="F111" s="259">
        <f t="shared" si="11"/>
        <v>3.4427480916030531</v>
      </c>
      <c r="G111" s="249">
        <v>5.05</v>
      </c>
    </row>
    <row r="112" spans="1:7" x14ac:dyDescent="0.25">
      <c r="A112" s="145"/>
      <c r="B112" s="18" t="s">
        <v>86</v>
      </c>
      <c r="C112" s="136" t="s">
        <v>36</v>
      </c>
      <c r="D112" s="126">
        <v>1.22</v>
      </c>
      <c r="E112" s="239">
        <v>3.83</v>
      </c>
      <c r="F112" s="259">
        <f t="shared" si="11"/>
        <v>3.139344262295082</v>
      </c>
      <c r="G112" s="249">
        <v>1.1299999999999999</v>
      </c>
    </row>
    <row r="113" spans="1:7" x14ac:dyDescent="0.25">
      <c r="A113" s="145"/>
      <c r="B113" s="18" t="s">
        <v>86</v>
      </c>
      <c r="C113" s="136" t="s">
        <v>63</v>
      </c>
      <c r="D113" s="126">
        <v>0.45</v>
      </c>
      <c r="E113" s="239">
        <v>3.21</v>
      </c>
      <c r="F113" s="259">
        <f t="shared" si="11"/>
        <v>7.1333333333333329</v>
      </c>
      <c r="G113" s="249">
        <v>2.44</v>
      </c>
    </row>
    <row r="114" spans="1:7" x14ac:dyDescent="0.25">
      <c r="A114" s="184"/>
      <c r="B114" s="18" t="s">
        <v>86</v>
      </c>
      <c r="C114" s="136" t="s">
        <v>64</v>
      </c>
      <c r="D114" s="126">
        <v>0.32</v>
      </c>
      <c r="E114" s="239">
        <v>0.41</v>
      </c>
      <c r="F114" s="259">
        <f t="shared" si="11"/>
        <v>1.28125</v>
      </c>
      <c r="G114" s="249">
        <v>10.06</v>
      </c>
    </row>
    <row r="115" spans="1:7" x14ac:dyDescent="0.25">
      <c r="A115" s="145"/>
      <c r="B115" s="18" t="s">
        <v>7</v>
      </c>
      <c r="C115" s="136" t="s">
        <v>46</v>
      </c>
      <c r="D115" s="140">
        <v>5.0999999999999996</v>
      </c>
      <c r="E115" s="249">
        <v>15.46</v>
      </c>
      <c r="F115" s="259">
        <f t="shared" si="11"/>
        <v>3.0313725490196082</v>
      </c>
      <c r="G115" s="249">
        <v>5.75</v>
      </c>
    </row>
    <row r="116" spans="1:7" x14ac:dyDescent="0.25">
      <c r="A116" s="145"/>
      <c r="B116" s="18" t="s">
        <v>7</v>
      </c>
      <c r="C116" s="136" t="s">
        <v>42</v>
      </c>
      <c r="D116" s="140">
        <v>4</v>
      </c>
      <c r="E116" s="249">
        <v>7.7</v>
      </c>
      <c r="F116" s="259">
        <f t="shared" si="11"/>
        <v>1.925</v>
      </c>
      <c r="G116" s="249">
        <v>4.51</v>
      </c>
    </row>
    <row r="117" spans="1:7" x14ac:dyDescent="0.25">
      <c r="A117" s="145"/>
      <c r="B117" s="18" t="s">
        <v>7</v>
      </c>
      <c r="C117" s="136" t="s">
        <v>47</v>
      </c>
      <c r="D117" s="140">
        <v>4.5</v>
      </c>
      <c r="E117" s="249">
        <v>16.260000000000002</v>
      </c>
      <c r="F117" s="259">
        <f t="shared" si="11"/>
        <v>3.6133333333333337</v>
      </c>
      <c r="G117" s="249">
        <v>5.3</v>
      </c>
    </row>
    <row r="118" spans="1:7" x14ac:dyDescent="0.25">
      <c r="A118" s="242" t="s">
        <v>34</v>
      </c>
      <c r="B118" s="245"/>
      <c r="C118" s="247"/>
      <c r="D118" s="265"/>
      <c r="E118" s="248"/>
      <c r="F118" s="187"/>
      <c r="G118" s="257"/>
    </row>
    <row r="119" spans="1:7" x14ac:dyDescent="0.25">
      <c r="A119" s="145"/>
      <c r="B119" s="18" t="s">
        <v>3</v>
      </c>
      <c r="C119" s="136" t="s">
        <v>50</v>
      </c>
      <c r="D119" s="140">
        <v>2.69</v>
      </c>
      <c r="E119" s="249">
        <v>5.45</v>
      </c>
      <c r="F119" s="259">
        <f>E119/D119</f>
        <v>2.0260223048327139</v>
      </c>
      <c r="G119" s="249">
        <v>3.99</v>
      </c>
    </row>
    <row r="120" spans="1:7" x14ac:dyDescent="0.25">
      <c r="A120" s="145"/>
      <c r="B120" s="18" t="s">
        <v>6</v>
      </c>
      <c r="C120" s="136" t="s">
        <v>38</v>
      </c>
      <c r="D120" s="140">
        <v>1.6</v>
      </c>
      <c r="E120" s="249">
        <v>3.47</v>
      </c>
      <c r="F120" s="259">
        <f t="shared" ref="F120:F121" si="12">E120/D120</f>
        <v>2.1687500000000002</v>
      </c>
      <c r="G120" s="249">
        <v>7.16</v>
      </c>
    </row>
    <row r="121" spans="1:7" x14ac:dyDescent="0.25">
      <c r="A121" s="145"/>
      <c r="B121" s="18" t="s">
        <v>8</v>
      </c>
      <c r="C121" s="136" t="s">
        <v>104</v>
      </c>
      <c r="D121" s="140">
        <v>8.5500000000000007</v>
      </c>
      <c r="E121" s="249">
        <v>0</v>
      </c>
      <c r="F121" s="259">
        <f t="shared" si="12"/>
        <v>0</v>
      </c>
      <c r="G121" s="249">
        <v>4.51</v>
      </c>
    </row>
    <row r="122" spans="1:7" x14ac:dyDescent="0.25">
      <c r="A122" s="250"/>
      <c r="B122" s="245"/>
      <c r="C122" s="247"/>
      <c r="D122" s="267"/>
      <c r="E122" s="251"/>
      <c r="F122" s="187"/>
      <c r="G122" s="177"/>
    </row>
    <row r="123" spans="1:7" x14ac:dyDescent="0.25">
      <c r="A123" s="252"/>
      <c r="B123" s="94"/>
      <c r="C123" s="208"/>
      <c r="D123" s="263"/>
      <c r="E123" s="240"/>
      <c r="F123" s="165"/>
      <c r="G123" s="249"/>
    </row>
    <row r="124" spans="1:7" x14ac:dyDescent="0.25">
      <c r="A124" s="145"/>
      <c r="B124" s="94"/>
      <c r="C124" s="146"/>
      <c r="D124" s="264"/>
      <c r="E124" s="244"/>
      <c r="F124" s="258"/>
      <c r="G124" s="249"/>
    </row>
  </sheetData>
  <customSheetViews>
    <customSheetView guid="{F76F088D-E257-4637-81FB-2D037F8BCE3A}">
      <pane ySplit="2" topLeftCell="A39" activePane="bottomLeft" state="frozen"/>
      <selection pane="bottomLeft" activeCell="F10" sqref="F10"/>
      <pageMargins left="0.7" right="0.7" top="0.75" bottom="0.75" header="0.3" footer="0.3"/>
    </customSheetView>
  </customSheetViews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93"/>
  <sheetViews>
    <sheetView tabSelected="1" zoomScaleNormal="100" workbookViewId="0">
      <pane xSplit="3" ySplit="2" topLeftCell="K43" activePane="bottomRight" state="frozen"/>
      <selection pane="topRight" activeCell="D1" sqref="D1"/>
      <selection pane="bottomLeft" activeCell="A3" sqref="A3"/>
      <selection pane="bottomRight" activeCell="S49" sqref="S49"/>
    </sheetView>
  </sheetViews>
  <sheetFormatPr defaultRowHeight="15" x14ac:dyDescent="0.25"/>
  <cols>
    <col min="2" max="2" width="15.42578125" customWidth="1"/>
    <col min="3" max="3" width="21.85546875" customWidth="1"/>
    <col min="5" max="5" width="16.42578125" customWidth="1"/>
    <col min="6" max="6" width="14.5703125" customWidth="1"/>
    <col min="7" max="7" width="15.85546875" customWidth="1"/>
    <col min="8" max="8" width="19.85546875" customWidth="1"/>
    <col min="9" max="9" width="16.85546875" style="282" customWidth="1"/>
    <col min="10" max="10" width="16.85546875" style="327" customWidth="1"/>
    <col min="11" max="11" width="16.42578125" customWidth="1"/>
    <col min="12" max="12" width="18.140625" style="268" customWidth="1"/>
    <col min="13" max="13" width="8.85546875" style="268"/>
    <col min="15" max="15" width="8.85546875" style="268"/>
    <col min="17" max="17" width="8.85546875" style="268"/>
    <col min="19" max="19" width="8.85546875" style="268"/>
  </cols>
  <sheetData>
    <row r="1" spans="1:20" x14ac:dyDescent="0.25">
      <c r="A1" s="71"/>
      <c r="B1" s="69"/>
      <c r="C1" s="69"/>
      <c r="D1" s="63"/>
      <c r="E1" s="110">
        <v>2013</v>
      </c>
      <c r="F1" s="90">
        <v>2014</v>
      </c>
      <c r="G1" s="122"/>
      <c r="H1" s="70"/>
      <c r="I1" s="282">
        <v>2015</v>
      </c>
      <c r="J1" s="327">
        <v>2015</v>
      </c>
      <c r="K1" s="279">
        <v>2015</v>
      </c>
      <c r="L1" s="296">
        <v>2015</v>
      </c>
      <c r="M1" s="332" t="s">
        <v>145</v>
      </c>
      <c r="N1" s="279" t="s">
        <v>146</v>
      </c>
      <c r="O1" s="282" t="s">
        <v>147</v>
      </c>
      <c r="P1" s="279" t="s">
        <v>165</v>
      </c>
      <c r="Q1" s="282" t="s">
        <v>166</v>
      </c>
      <c r="R1" s="279" t="s">
        <v>176</v>
      </c>
      <c r="S1" s="282" t="s">
        <v>177</v>
      </c>
    </row>
    <row r="2" spans="1:20" x14ac:dyDescent="0.25">
      <c r="A2" s="71" t="s">
        <v>0</v>
      </c>
      <c r="B2" s="463" t="s">
        <v>1</v>
      </c>
      <c r="C2" s="463"/>
      <c r="D2" s="96" t="s">
        <v>82</v>
      </c>
      <c r="E2" s="110" t="s">
        <v>108</v>
      </c>
      <c r="F2" s="90" t="s">
        <v>108</v>
      </c>
      <c r="G2" s="110" t="s">
        <v>113</v>
      </c>
      <c r="H2" s="305" t="s">
        <v>138</v>
      </c>
      <c r="I2" s="283" t="s">
        <v>108</v>
      </c>
      <c r="J2" s="328" t="s">
        <v>164</v>
      </c>
      <c r="K2" t="s">
        <v>142</v>
      </c>
      <c r="L2" s="237" t="s">
        <v>143</v>
      </c>
      <c r="S2" s="282" t="s">
        <v>178</v>
      </c>
    </row>
    <row r="3" spans="1:20" x14ac:dyDescent="0.25">
      <c r="A3" s="3" t="s">
        <v>2</v>
      </c>
      <c r="B3" s="4"/>
      <c r="C3" s="4"/>
      <c r="D3" s="62"/>
      <c r="E3" s="110"/>
      <c r="F3" s="90"/>
      <c r="G3" s="110"/>
      <c r="H3" s="70"/>
      <c r="L3" s="237"/>
    </row>
    <row r="4" spans="1:20" x14ac:dyDescent="0.25">
      <c r="A4" s="1"/>
      <c r="B4" s="9" t="s">
        <v>3</v>
      </c>
      <c r="C4" s="9" t="s">
        <v>10</v>
      </c>
      <c r="D4" s="91">
        <v>0.75</v>
      </c>
      <c r="E4" s="126">
        <v>1.57</v>
      </c>
      <c r="F4" s="95">
        <v>2.63</v>
      </c>
      <c r="G4" s="126">
        <f>E4-F4</f>
        <v>-1.0599999999999998</v>
      </c>
      <c r="H4" s="70">
        <v>3.4</v>
      </c>
      <c r="I4" s="282">
        <v>3.7</v>
      </c>
      <c r="J4" s="329">
        <f>I4/D4</f>
        <v>4.9333333333333336</v>
      </c>
      <c r="K4" s="70">
        <f t="shared" ref="K4:K10" si="0">H4-I4</f>
        <v>-0.30000000000000027</v>
      </c>
      <c r="L4" s="284">
        <f t="shared" ref="L4:L10" si="1">(ABS(H4-I4))/I4</f>
        <v>8.1081081081081155E-2</v>
      </c>
      <c r="M4" s="268">
        <v>23.6</v>
      </c>
      <c r="N4">
        <v>3.51</v>
      </c>
      <c r="O4" s="268">
        <v>12.6</v>
      </c>
      <c r="P4">
        <v>114.25</v>
      </c>
      <c r="Q4" s="268">
        <v>1445.2</v>
      </c>
      <c r="R4">
        <v>8.1999999999999993</v>
      </c>
      <c r="S4" s="268">
        <v>55.33</v>
      </c>
      <c r="T4" t="s">
        <v>186</v>
      </c>
    </row>
    <row r="5" spans="1:20" x14ac:dyDescent="0.25">
      <c r="A5" s="1"/>
      <c r="B5" s="9" t="s">
        <v>3</v>
      </c>
      <c r="C5" s="9" t="s">
        <v>11</v>
      </c>
      <c r="D5" s="62">
        <v>1.4</v>
      </c>
      <c r="E5" s="126">
        <v>8</v>
      </c>
      <c r="F5" s="95">
        <v>3.67</v>
      </c>
      <c r="G5" s="126">
        <f t="shared" ref="G5:G22" si="2">E5-F5</f>
        <v>4.33</v>
      </c>
      <c r="H5" s="287">
        <v>10</v>
      </c>
      <c r="I5" s="282">
        <v>10</v>
      </c>
      <c r="J5" s="329">
        <f t="shared" ref="J5:J67" si="3">I5/D5</f>
        <v>7.1428571428571432</v>
      </c>
      <c r="K5" s="70">
        <f t="shared" si="0"/>
        <v>0</v>
      </c>
      <c r="L5" s="284">
        <f t="shared" si="1"/>
        <v>0</v>
      </c>
      <c r="M5" s="268">
        <v>22.45</v>
      </c>
      <c r="N5">
        <v>3.51</v>
      </c>
      <c r="O5" s="268">
        <v>7.8</v>
      </c>
      <c r="P5">
        <v>191</v>
      </c>
      <c r="Q5" s="268">
        <v>1535.9</v>
      </c>
      <c r="T5" t="s">
        <v>188</v>
      </c>
    </row>
    <row r="6" spans="1:20" x14ac:dyDescent="0.25">
      <c r="A6" s="71"/>
      <c r="B6" s="9" t="s">
        <v>3</v>
      </c>
      <c r="C6" s="9" t="s">
        <v>12</v>
      </c>
      <c r="D6" s="62">
        <v>0.72</v>
      </c>
      <c r="E6" s="126">
        <v>4.84</v>
      </c>
      <c r="F6" s="95">
        <v>13.19</v>
      </c>
      <c r="G6" s="126">
        <f t="shared" si="2"/>
        <v>-8.35</v>
      </c>
      <c r="H6" s="287">
        <v>6</v>
      </c>
      <c r="I6" s="282">
        <v>7.28</v>
      </c>
      <c r="J6" s="329">
        <f t="shared" si="3"/>
        <v>10.111111111111112</v>
      </c>
      <c r="K6" s="70">
        <f t="shared" si="0"/>
        <v>-1.2800000000000002</v>
      </c>
      <c r="L6" s="284">
        <f t="shared" si="1"/>
        <v>0.17582417582417587</v>
      </c>
      <c r="M6" s="268">
        <v>22.45</v>
      </c>
      <c r="N6" s="70">
        <v>3.51</v>
      </c>
      <c r="O6" s="268">
        <v>7.8</v>
      </c>
      <c r="P6">
        <v>238.72</v>
      </c>
      <c r="Q6" s="268">
        <v>1535.9</v>
      </c>
      <c r="T6" t="s">
        <v>188</v>
      </c>
    </row>
    <row r="7" spans="1:20" x14ac:dyDescent="0.25">
      <c r="A7" s="71"/>
      <c r="B7" s="9" t="s">
        <v>3</v>
      </c>
      <c r="C7" s="9" t="s">
        <v>14</v>
      </c>
      <c r="D7" s="62">
        <v>2.39</v>
      </c>
      <c r="E7" s="126">
        <v>15.51</v>
      </c>
      <c r="F7" s="95">
        <v>15.96</v>
      </c>
      <c r="G7" s="126">
        <f t="shared" si="2"/>
        <v>-0.45000000000000107</v>
      </c>
      <c r="H7" s="70">
        <v>14</v>
      </c>
      <c r="I7" s="282">
        <v>15.76</v>
      </c>
      <c r="J7" s="329">
        <f t="shared" si="3"/>
        <v>6.5941422594142258</v>
      </c>
      <c r="K7" s="70">
        <f t="shared" si="0"/>
        <v>-1.7599999999999998</v>
      </c>
      <c r="L7" s="284">
        <f t="shared" si="1"/>
        <v>0.11167512690355329</v>
      </c>
      <c r="M7" s="268">
        <v>25.4</v>
      </c>
      <c r="N7">
        <v>3.56</v>
      </c>
      <c r="O7" s="268">
        <v>6.1</v>
      </c>
      <c r="P7">
        <v>259.3</v>
      </c>
      <c r="Q7" s="268">
        <v>1566.5</v>
      </c>
      <c r="R7">
        <v>9.08</v>
      </c>
      <c r="S7" s="268">
        <v>30.17</v>
      </c>
      <c r="T7" t="s">
        <v>185</v>
      </c>
    </row>
    <row r="8" spans="1:20" x14ac:dyDescent="0.25">
      <c r="A8" s="71"/>
      <c r="B8" s="9" t="s">
        <v>3</v>
      </c>
      <c r="C8" s="9" t="s">
        <v>16</v>
      </c>
      <c r="D8" s="62">
        <v>2.35</v>
      </c>
      <c r="E8" s="126">
        <v>13.53</v>
      </c>
      <c r="F8" s="95">
        <v>14.05</v>
      </c>
      <c r="G8" s="126">
        <f t="shared" si="2"/>
        <v>-0.52000000000000135</v>
      </c>
      <c r="H8" s="70">
        <v>15</v>
      </c>
      <c r="I8" s="282">
        <v>13.97</v>
      </c>
      <c r="J8" s="329">
        <f t="shared" si="3"/>
        <v>5.94468085106383</v>
      </c>
      <c r="K8" s="70">
        <f t="shared" si="0"/>
        <v>1.0299999999999994</v>
      </c>
      <c r="L8" s="284">
        <f t="shared" si="1"/>
        <v>7.3729420186113045E-2</v>
      </c>
      <c r="M8" s="268">
        <v>23.2</v>
      </c>
      <c r="N8">
        <v>3.41</v>
      </c>
      <c r="O8" s="268">
        <v>7.9</v>
      </c>
      <c r="P8">
        <v>223.36</v>
      </c>
      <c r="Q8" s="268">
        <v>1535.4</v>
      </c>
      <c r="R8">
        <v>5.3</v>
      </c>
      <c r="S8" s="268">
        <v>78.67</v>
      </c>
      <c r="T8" t="s">
        <v>185</v>
      </c>
    </row>
    <row r="9" spans="1:20" x14ac:dyDescent="0.25">
      <c r="A9" s="71"/>
      <c r="B9" s="9" t="s">
        <v>3</v>
      </c>
      <c r="C9" s="72" t="s">
        <v>150</v>
      </c>
      <c r="D9" s="62">
        <v>0.9</v>
      </c>
      <c r="E9" s="126">
        <v>11.45</v>
      </c>
      <c r="F9" s="95">
        <v>12.12</v>
      </c>
      <c r="G9" s="126">
        <f t="shared" si="2"/>
        <v>-0.66999999999999993</v>
      </c>
      <c r="H9" s="70">
        <v>3.3</v>
      </c>
      <c r="I9" s="282">
        <v>6.91</v>
      </c>
      <c r="J9" s="329">
        <f t="shared" si="3"/>
        <v>7.677777777777778</v>
      </c>
      <c r="K9" s="70">
        <f t="shared" si="0"/>
        <v>-3.6100000000000003</v>
      </c>
      <c r="L9" s="284">
        <f t="shared" si="1"/>
        <v>0.52243125904486254</v>
      </c>
      <c r="M9" s="268">
        <v>25.1</v>
      </c>
      <c r="N9">
        <v>3.54</v>
      </c>
      <c r="O9" s="268">
        <v>6.2</v>
      </c>
      <c r="P9">
        <v>184.3</v>
      </c>
      <c r="Q9" s="268">
        <v>1489.8</v>
      </c>
      <c r="R9">
        <v>3.22</v>
      </c>
      <c r="S9" s="268">
        <v>56.12</v>
      </c>
      <c r="T9" t="s">
        <v>186</v>
      </c>
    </row>
    <row r="10" spans="1:20" s="70" customFormat="1" x14ac:dyDescent="0.25">
      <c r="A10" s="71"/>
      <c r="B10" s="9"/>
      <c r="C10" s="72" t="s">
        <v>151</v>
      </c>
      <c r="D10" s="62">
        <v>0.9</v>
      </c>
      <c r="E10" s="126"/>
      <c r="F10" s="95"/>
      <c r="G10" s="126"/>
      <c r="H10" s="70">
        <v>5.7</v>
      </c>
      <c r="I10" s="282">
        <v>6.66</v>
      </c>
      <c r="J10" s="329">
        <f t="shared" si="3"/>
        <v>7.4</v>
      </c>
      <c r="K10" s="70">
        <f t="shared" si="0"/>
        <v>-0.96</v>
      </c>
      <c r="L10" s="284">
        <f t="shared" si="1"/>
        <v>0.14414414414414414</v>
      </c>
      <c r="M10" s="268">
        <v>23.7</v>
      </c>
      <c r="N10" s="70">
        <v>3.54</v>
      </c>
      <c r="O10" s="268">
        <v>6.3</v>
      </c>
      <c r="P10" s="70">
        <v>176.9</v>
      </c>
      <c r="Q10" s="268">
        <v>1573.8</v>
      </c>
      <c r="R10" s="70">
        <v>3.48</v>
      </c>
      <c r="S10" s="268">
        <v>68.010000000000005</v>
      </c>
      <c r="T10" s="70" t="s">
        <v>185</v>
      </c>
    </row>
    <row r="11" spans="1:20" x14ac:dyDescent="0.25">
      <c r="A11" s="71"/>
      <c r="B11" s="9" t="s">
        <v>3</v>
      </c>
      <c r="C11" s="72" t="s">
        <v>152</v>
      </c>
      <c r="D11" s="62">
        <v>0.96</v>
      </c>
      <c r="E11" s="126">
        <v>10.74</v>
      </c>
      <c r="F11" s="95">
        <v>13.61</v>
      </c>
      <c r="G11" s="126">
        <f t="shared" si="2"/>
        <v>-2.8699999999999992</v>
      </c>
      <c r="H11" s="234">
        <v>3.8</v>
      </c>
      <c r="I11" s="282">
        <v>4.8499999999999996</v>
      </c>
      <c r="J11" s="329">
        <f t="shared" si="3"/>
        <v>5.052083333333333</v>
      </c>
      <c r="K11" s="70">
        <f>H11-I11</f>
        <v>-1.0499999999999998</v>
      </c>
      <c r="L11" s="284">
        <f t="shared" ref="L11:L16" si="4">(ABS(H11-I11))/I11</f>
        <v>0.21649484536082472</v>
      </c>
      <c r="M11" s="268">
        <v>25.1</v>
      </c>
      <c r="N11" s="70">
        <v>3.54</v>
      </c>
      <c r="O11" s="268">
        <v>6.2</v>
      </c>
      <c r="P11" s="70">
        <v>184.3</v>
      </c>
      <c r="Q11" s="268">
        <v>1489.8</v>
      </c>
      <c r="R11">
        <v>5.32</v>
      </c>
      <c r="S11" s="268">
        <v>32.71</v>
      </c>
      <c r="T11" s="70" t="s">
        <v>186</v>
      </c>
    </row>
    <row r="12" spans="1:20" s="70" customFormat="1" x14ac:dyDescent="0.25">
      <c r="A12" s="71"/>
      <c r="B12" s="9"/>
      <c r="C12" s="72" t="s">
        <v>153</v>
      </c>
      <c r="D12" s="62">
        <v>0.96</v>
      </c>
      <c r="E12" s="126"/>
      <c r="F12" s="95"/>
      <c r="G12" s="126"/>
      <c r="H12" s="234">
        <v>7.5</v>
      </c>
      <c r="I12" s="282">
        <v>6.87</v>
      </c>
      <c r="J12" s="329">
        <f t="shared" si="3"/>
        <v>7.15625</v>
      </c>
      <c r="K12" s="70">
        <f>H12-I12</f>
        <v>0.62999999999999989</v>
      </c>
      <c r="L12" s="284">
        <f t="shared" si="4"/>
        <v>9.170305676855893E-2</v>
      </c>
      <c r="M12" s="268">
        <v>23.7</v>
      </c>
      <c r="N12" s="70">
        <v>3.54</v>
      </c>
      <c r="O12" s="268">
        <v>6.3</v>
      </c>
      <c r="P12" s="70">
        <v>176.9</v>
      </c>
      <c r="Q12" s="268">
        <v>1573.8</v>
      </c>
      <c r="R12" s="70">
        <v>2.7</v>
      </c>
      <c r="S12" s="268">
        <v>68.900000000000006</v>
      </c>
      <c r="T12" s="70" t="s">
        <v>185</v>
      </c>
    </row>
    <row r="13" spans="1:20" x14ac:dyDescent="0.25">
      <c r="A13" s="71"/>
      <c r="B13" s="9" t="s">
        <v>3</v>
      </c>
      <c r="C13" s="72" t="s">
        <v>154</v>
      </c>
      <c r="D13" s="62">
        <v>0.71499999999999997</v>
      </c>
      <c r="E13" s="126">
        <v>9.11</v>
      </c>
      <c r="F13" s="95">
        <v>9.8000000000000007</v>
      </c>
      <c r="G13" s="126">
        <f t="shared" si="2"/>
        <v>-0.69000000000000128</v>
      </c>
      <c r="H13" s="234">
        <v>2.5</v>
      </c>
      <c r="I13" s="282">
        <v>4.1900000000000004</v>
      </c>
      <c r="J13" s="329">
        <f t="shared" si="3"/>
        <v>5.8601398601398609</v>
      </c>
      <c r="K13" s="70">
        <f>H13-I13</f>
        <v>-1.6900000000000004</v>
      </c>
      <c r="L13" s="284">
        <f t="shared" si="4"/>
        <v>0.40334128878281628</v>
      </c>
      <c r="M13" s="268">
        <v>25.1</v>
      </c>
      <c r="N13" s="70">
        <v>3.54</v>
      </c>
      <c r="O13" s="268">
        <v>6.2</v>
      </c>
      <c r="P13" s="70">
        <v>184.3</v>
      </c>
      <c r="Q13" s="268">
        <v>1489.8</v>
      </c>
      <c r="R13">
        <v>4.59</v>
      </c>
      <c r="S13" s="268">
        <v>39.69</v>
      </c>
      <c r="T13" s="70" t="s">
        <v>186</v>
      </c>
    </row>
    <row r="14" spans="1:20" s="70" customFormat="1" x14ac:dyDescent="0.25">
      <c r="A14" s="71"/>
      <c r="B14" s="9"/>
      <c r="C14" s="72" t="s">
        <v>155</v>
      </c>
      <c r="D14" s="62">
        <v>0.71499999999999997</v>
      </c>
      <c r="E14" s="126"/>
      <c r="F14" s="95"/>
      <c r="G14" s="126"/>
      <c r="H14" s="234">
        <v>5.6</v>
      </c>
      <c r="I14" s="282">
        <v>8.25</v>
      </c>
      <c r="J14" s="329">
        <f t="shared" si="3"/>
        <v>11.538461538461538</v>
      </c>
      <c r="K14" s="70">
        <f>H14-I14</f>
        <v>-2.6500000000000004</v>
      </c>
      <c r="L14" s="284">
        <f t="shared" si="4"/>
        <v>0.32121212121212128</v>
      </c>
      <c r="M14" s="268">
        <v>23.7</v>
      </c>
      <c r="N14" s="70">
        <v>3.54</v>
      </c>
      <c r="O14" s="268">
        <v>6.3</v>
      </c>
      <c r="P14" s="70">
        <v>176.9</v>
      </c>
      <c r="Q14" s="268">
        <v>1573.8</v>
      </c>
      <c r="R14" s="70">
        <v>5.49</v>
      </c>
      <c r="S14" s="268">
        <v>50.83</v>
      </c>
      <c r="T14" s="70" t="s">
        <v>185</v>
      </c>
    </row>
    <row r="15" spans="1:20" s="70" customFormat="1" x14ac:dyDescent="0.25">
      <c r="A15" s="71"/>
      <c r="B15" s="9" t="s">
        <v>3</v>
      </c>
      <c r="C15" s="72" t="s">
        <v>156</v>
      </c>
      <c r="D15" s="62">
        <v>0.51500000000000001</v>
      </c>
      <c r="E15" s="126"/>
      <c r="F15" s="95"/>
      <c r="G15" s="126"/>
      <c r="H15" s="234">
        <v>2.9</v>
      </c>
      <c r="I15" s="260">
        <v>2.8</v>
      </c>
      <c r="J15" s="329">
        <f t="shared" si="3"/>
        <v>5.4368932038834945</v>
      </c>
      <c r="L15" s="284">
        <f t="shared" si="4"/>
        <v>3.5714285714285747E-2</v>
      </c>
      <c r="M15" s="268">
        <v>25.1</v>
      </c>
      <c r="N15" s="70">
        <v>3.54</v>
      </c>
      <c r="O15" s="268">
        <v>6.2</v>
      </c>
      <c r="P15" s="70">
        <v>184.3</v>
      </c>
      <c r="Q15" s="268">
        <v>1489.8</v>
      </c>
      <c r="R15" s="70">
        <v>4.3499999999999996</v>
      </c>
      <c r="S15" s="268">
        <v>43.29</v>
      </c>
      <c r="T15" s="70" t="s">
        <v>186</v>
      </c>
    </row>
    <row r="16" spans="1:20" x14ac:dyDescent="0.25">
      <c r="A16" s="71"/>
      <c r="C16" s="72" t="s">
        <v>157</v>
      </c>
      <c r="D16" s="62">
        <v>0.51500000000000001</v>
      </c>
      <c r="E16" s="126">
        <v>5</v>
      </c>
      <c r="F16" s="95">
        <v>3.91</v>
      </c>
      <c r="G16" s="126">
        <f t="shared" si="2"/>
        <v>1.0899999999999999</v>
      </c>
      <c r="H16" s="234">
        <v>2</v>
      </c>
      <c r="I16" s="282">
        <v>2.61</v>
      </c>
      <c r="J16" s="329">
        <f t="shared" si="3"/>
        <v>5.0679611650485432</v>
      </c>
      <c r="K16" s="70">
        <f t="shared" ref="K16:K27" si="5">H16-I16</f>
        <v>-0.60999999999999988</v>
      </c>
      <c r="L16" s="284">
        <f t="shared" si="4"/>
        <v>0.23371647509578541</v>
      </c>
      <c r="M16" s="268">
        <v>23.7</v>
      </c>
      <c r="N16">
        <v>3.54</v>
      </c>
      <c r="O16" s="268">
        <v>6.3</v>
      </c>
      <c r="P16" s="70">
        <v>176.9</v>
      </c>
      <c r="Q16" s="268">
        <v>1573.8</v>
      </c>
      <c r="R16">
        <v>5.07</v>
      </c>
      <c r="S16" s="268">
        <v>54.9</v>
      </c>
      <c r="T16" s="70" t="s">
        <v>185</v>
      </c>
    </row>
    <row r="17" spans="1:20" x14ac:dyDescent="0.25">
      <c r="A17" s="71"/>
      <c r="B17" s="35" t="s">
        <v>84</v>
      </c>
      <c r="C17" s="9" t="s">
        <v>85</v>
      </c>
      <c r="D17" s="62">
        <v>0.85</v>
      </c>
      <c r="E17" s="112">
        <v>0</v>
      </c>
      <c r="F17" s="95">
        <v>2.0299999999999998</v>
      </c>
      <c r="G17" s="126">
        <f t="shared" si="2"/>
        <v>-2.0299999999999998</v>
      </c>
      <c r="H17" s="70">
        <v>2.7</v>
      </c>
      <c r="I17" s="282">
        <v>2.83</v>
      </c>
      <c r="J17" s="329">
        <f t="shared" si="3"/>
        <v>3.3294117647058825</v>
      </c>
      <c r="K17" s="70">
        <f t="shared" si="5"/>
        <v>-0.12999999999999989</v>
      </c>
      <c r="L17" s="284">
        <f t="shared" ref="L17:L27" si="6">(ABS(H17-I17))/I17</f>
        <v>4.5936395759717273E-2</v>
      </c>
      <c r="M17" s="268">
        <v>24.2</v>
      </c>
      <c r="N17">
        <v>3.55</v>
      </c>
      <c r="O17" s="268">
        <v>8</v>
      </c>
      <c r="P17" s="70">
        <v>184.3</v>
      </c>
      <c r="Q17" s="268">
        <v>1373.1</v>
      </c>
      <c r="R17">
        <v>1.65</v>
      </c>
      <c r="S17" s="268">
        <v>113.73</v>
      </c>
      <c r="T17" t="s">
        <v>187</v>
      </c>
    </row>
    <row r="18" spans="1:20" s="70" customFormat="1" x14ac:dyDescent="0.25">
      <c r="A18" s="71"/>
      <c r="B18" s="35" t="s">
        <v>86</v>
      </c>
      <c r="C18" s="9" t="s">
        <v>158</v>
      </c>
      <c r="D18" s="62">
        <v>1.1100000000000001</v>
      </c>
      <c r="E18" s="112"/>
      <c r="F18" s="95"/>
      <c r="G18" s="126"/>
      <c r="H18" s="70">
        <v>1</v>
      </c>
      <c r="I18" s="282">
        <v>1.36</v>
      </c>
      <c r="J18" s="329">
        <f t="shared" si="3"/>
        <v>1.2252252252252251</v>
      </c>
      <c r="K18" s="70">
        <f t="shared" si="5"/>
        <v>-0.3600000000000001</v>
      </c>
      <c r="L18" s="284">
        <f t="shared" si="6"/>
        <v>0.26470588235294124</v>
      </c>
      <c r="M18" s="268">
        <v>24.2</v>
      </c>
      <c r="N18" s="70">
        <v>3.55</v>
      </c>
      <c r="O18" s="268">
        <v>8</v>
      </c>
      <c r="P18" s="70" t="s">
        <v>148</v>
      </c>
      <c r="Q18" s="268">
        <v>1459.2</v>
      </c>
      <c r="S18" s="268"/>
      <c r="T18" s="70" t="s">
        <v>189</v>
      </c>
    </row>
    <row r="19" spans="1:20" x14ac:dyDescent="0.25">
      <c r="A19" s="71"/>
      <c r="B19" s="35" t="s">
        <v>7</v>
      </c>
      <c r="C19" s="72" t="s">
        <v>110</v>
      </c>
      <c r="D19" s="127">
        <v>2</v>
      </c>
      <c r="E19" s="112">
        <v>0</v>
      </c>
      <c r="F19" s="95">
        <v>10.56</v>
      </c>
      <c r="G19" s="126">
        <f t="shared" si="2"/>
        <v>-10.56</v>
      </c>
      <c r="H19" s="290">
        <v>10</v>
      </c>
      <c r="I19" s="282">
        <v>14.28</v>
      </c>
      <c r="J19" s="329">
        <f t="shared" si="3"/>
        <v>7.14</v>
      </c>
      <c r="K19" s="70">
        <f t="shared" si="5"/>
        <v>-4.2799999999999994</v>
      </c>
      <c r="L19" s="284">
        <f t="shared" si="6"/>
        <v>0.29971988795518206</v>
      </c>
      <c r="M19" s="268">
        <v>23.4</v>
      </c>
      <c r="N19">
        <v>3.4</v>
      </c>
      <c r="O19" s="268">
        <v>4.2</v>
      </c>
      <c r="P19">
        <v>249.64</v>
      </c>
      <c r="Q19" s="268">
        <v>1423</v>
      </c>
      <c r="T19" t="s">
        <v>192</v>
      </c>
    </row>
    <row r="20" spans="1:20" x14ac:dyDescent="0.25">
      <c r="A20" s="71"/>
      <c r="B20" s="35" t="s">
        <v>7</v>
      </c>
      <c r="C20" s="72" t="s">
        <v>111</v>
      </c>
      <c r="D20" s="127">
        <v>1.5</v>
      </c>
      <c r="E20" s="112">
        <v>0</v>
      </c>
      <c r="F20" s="95">
        <v>7.54</v>
      </c>
      <c r="G20" s="126">
        <f t="shared" si="2"/>
        <v>-7.54</v>
      </c>
      <c r="H20" s="290">
        <v>7.5</v>
      </c>
      <c r="I20" s="282">
        <v>7.76</v>
      </c>
      <c r="J20" s="329">
        <f t="shared" si="3"/>
        <v>5.1733333333333329</v>
      </c>
      <c r="K20" s="70">
        <f t="shared" si="5"/>
        <v>-0.25999999999999979</v>
      </c>
      <c r="L20" s="284">
        <f t="shared" si="6"/>
        <v>3.3505154639175229E-2</v>
      </c>
      <c r="M20" s="268">
        <v>23.8</v>
      </c>
      <c r="N20">
        <v>3.45</v>
      </c>
      <c r="O20" s="268">
        <v>7.9</v>
      </c>
      <c r="P20">
        <v>292.19</v>
      </c>
      <c r="Q20" s="268">
        <v>1423</v>
      </c>
      <c r="T20" s="70" t="s">
        <v>192</v>
      </c>
    </row>
    <row r="21" spans="1:20" x14ac:dyDescent="0.25">
      <c r="A21" s="71"/>
      <c r="B21" s="35" t="s">
        <v>7</v>
      </c>
      <c r="C21" s="72" t="s">
        <v>100</v>
      </c>
      <c r="D21" s="127">
        <v>1.25</v>
      </c>
      <c r="E21" s="112">
        <v>0</v>
      </c>
      <c r="F21" s="95">
        <v>5.22</v>
      </c>
      <c r="G21" s="126">
        <f t="shared" si="2"/>
        <v>-5.22</v>
      </c>
      <c r="H21" s="290">
        <v>5</v>
      </c>
      <c r="I21" s="282">
        <v>6.27</v>
      </c>
      <c r="J21" s="329">
        <f t="shared" si="3"/>
        <v>5.016</v>
      </c>
      <c r="K21" s="70">
        <f t="shared" si="5"/>
        <v>-1.2699999999999996</v>
      </c>
      <c r="L21" s="284">
        <f t="shared" si="6"/>
        <v>0.20255183413078146</v>
      </c>
      <c r="M21" s="268">
        <v>21.9</v>
      </c>
      <c r="N21">
        <v>3.36</v>
      </c>
      <c r="O21" s="268">
        <v>6.7</v>
      </c>
      <c r="P21">
        <v>218.66</v>
      </c>
      <c r="Q21" s="268">
        <v>1411.2</v>
      </c>
      <c r="T21" s="70" t="s">
        <v>192</v>
      </c>
    </row>
    <row r="22" spans="1:20" x14ac:dyDescent="0.25">
      <c r="A22" s="71"/>
      <c r="B22" s="35" t="s">
        <v>7</v>
      </c>
      <c r="C22" s="94" t="s">
        <v>87</v>
      </c>
      <c r="D22" s="127">
        <v>10.5</v>
      </c>
      <c r="E22" s="113">
        <v>0</v>
      </c>
      <c r="F22" s="97">
        <v>56.35</v>
      </c>
      <c r="G22" s="126">
        <f t="shared" si="2"/>
        <v>-56.35</v>
      </c>
      <c r="H22" s="290">
        <v>56.35</v>
      </c>
      <c r="I22" s="282">
        <v>57.71</v>
      </c>
      <c r="J22" s="329">
        <f t="shared" si="3"/>
        <v>5.4961904761904758</v>
      </c>
      <c r="K22" s="70">
        <f t="shared" si="5"/>
        <v>-1.3599999999999994</v>
      </c>
      <c r="L22" s="284">
        <f t="shared" si="6"/>
        <v>2.3566106394039152E-2</v>
      </c>
      <c r="M22" s="268">
        <v>24.3</v>
      </c>
      <c r="N22">
        <v>3.71</v>
      </c>
      <c r="O22" s="268">
        <v>5.9</v>
      </c>
      <c r="P22">
        <v>166.49</v>
      </c>
      <c r="Q22" s="268">
        <v>1562.6</v>
      </c>
      <c r="T22" t="s">
        <v>191</v>
      </c>
    </row>
    <row r="23" spans="1:20" s="70" customFormat="1" x14ac:dyDescent="0.25">
      <c r="A23" s="71"/>
      <c r="B23" s="35" t="s">
        <v>144</v>
      </c>
      <c r="C23" s="94" t="s">
        <v>122</v>
      </c>
      <c r="D23" s="127">
        <v>1.66</v>
      </c>
      <c r="E23" s="113"/>
      <c r="F23" s="97"/>
      <c r="G23" s="126"/>
      <c r="H23" s="290">
        <v>8</v>
      </c>
      <c r="I23" s="282">
        <v>8.98</v>
      </c>
      <c r="J23" s="329">
        <f t="shared" si="3"/>
        <v>5.4096385542168681</v>
      </c>
      <c r="K23" s="70">
        <f t="shared" si="5"/>
        <v>-0.98000000000000043</v>
      </c>
      <c r="L23" s="284">
        <f t="shared" si="6"/>
        <v>0.10913140311804014</v>
      </c>
      <c r="M23" s="268">
        <v>23.7</v>
      </c>
      <c r="N23" s="70">
        <v>3.49</v>
      </c>
      <c r="O23" s="268">
        <v>7.3</v>
      </c>
      <c r="P23" s="70">
        <v>226.84</v>
      </c>
      <c r="Q23" s="268">
        <v>1501.6</v>
      </c>
      <c r="S23" s="268"/>
      <c r="T23" s="70" t="s">
        <v>191</v>
      </c>
    </row>
    <row r="24" spans="1:20" x14ac:dyDescent="0.25">
      <c r="A24" s="71"/>
      <c r="B24" s="12"/>
      <c r="C24" s="151" t="s">
        <v>115</v>
      </c>
      <c r="D24" s="152">
        <f>SUM(D4:D16)</f>
        <v>13.790000000000003</v>
      </c>
      <c r="E24" s="175">
        <f>SUM(E4:E16)</f>
        <v>79.75</v>
      </c>
      <c r="F24" s="176">
        <f>SUM(F4:F16)</f>
        <v>88.939999999999984</v>
      </c>
      <c r="G24" s="175">
        <f>E24-F24</f>
        <v>-9.1899999999999835</v>
      </c>
      <c r="H24" s="70">
        <f>SUM(H4:H17)</f>
        <v>84.399999999999991</v>
      </c>
      <c r="I24" s="268">
        <f>SUM(I4:I16)</f>
        <v>93.85</v>
      </c>
      <c r="J24" s="329"/>
      <c r="K24" s="70">
        <f t="shared" si="5"/>
        <v>-9.4500000000000028</v>
      </c>
      <c r="L24" s="303">
        <f t="shared" si="6"/>
        <v>0.10069259456579652</v>
      </c>
    </row>
    <row r="25" spans="1:20" x14ac:dyDescent="0.25">
      <c r="A25" s="71"/>
      <c r="B25" s="12"/>
      <c r="C25" s="92" t="s">
        <v>119</v>
      </c>
      <c r="D25" s="148">
        <v>0.85</v>
      </c>
      <c r="E25" s="177">
        <v>0</v>
      </c>
      <c r="F25" s="149">
        <v>2.0299999999999998</v>
      </c>
      <c r="G25" s="177">
        <f>E25-F25</f>
        <v>-2.0299999999999998</v>
      </c>
      <c r="H25" s="70">
        <f>SUM(H17:H18)</f>
        <v>3.7</v>
      </c>
      <c r="I25" s="268">
        <f>SUM(I17:I18)</f>
        <v>4.1900000000000004</v>
      </c>
      <c r="J25" s="329"/>
      <c r="K25" s="70">
        <f t="shared" si="5"/>
        <v>-0.49000000000000021</v>
      </c>
      <c r="L25" s="284">
        <f t="shared" si="6"/>
        <v>0.11694510739856806</v>
      </c>
    </row>
    <row r="26" spans="1:20" ht="15.75" thickBot="1" x14ac:dyDescent="0.3">
      <c r="A26" s="71"/>
      <c r="B26" s="69"/>
      <c r="C26" s="150" t="s">
        <v>117</v>
      </c>
      <c r="D26" s="178">
        <f>SUM(D19:D22)</f>
        <v>15.25</v>
      </c>
      <c r="E26" s="182">
        <v>101.3</v>
      </c>
      <c r="F26" s="183">
        <f>SUM(F19:F22)</f>
        <v>79.67</v>
      </c>
      <c r="G26" s="182">
        <f>E26-F26</f>
        <v>21.629999999999995</v>
      </c>
      <c r="H26" s="70">
        <f>SUM(H19:H22)</f>
        <v>78.849999999999994</v>
      </c>
      <c r="I26" s="312">
        <f>SUM(I19:I23)</f>
        <v>95</v>
      </c>
      <c r="J26" s="329"/>
      <c r="K26" s="70">
        <f t="shared" si="5"/>
        <v>-16.150000000000006</v>
      </c>
      <c r="L26" s="284">
        <f t="shared" si="6"/>
        <v>0.17000000000000007</v>
      </c>
    </row>
    <row r="27" spans="1:20" ht="15.75" thickTop="1" x14ac:dyDescent="0.25">
      <c r="A27" s="71"/>
      <c r="B27" s="69"/>
      <c r="C27" s="146" t="s">
        <v>118</v>
      </c>
      <c r="D27" s="149">
        <f>SUM(D4:D22)</f>
        <v>31</v>
      </c>
      <c r="E27" s="177" t="e">
        <f>SUM(E4:E16,#REF!)</f>
        <v>#REF!</v>
      </c>
      <c r="F27" s="149">
        <f>SUM(F24:F26)</f>
        <v>170.64</v>
      </c>
      <c r="G27" s="177">
        <f>SUM(G24:G26)</f>
        <v>10.410000000000013</v>
      </c>
      <c r="H27" s="70">
        <f>SUM(H24:H26)</f>
        <v>166.95</v>
      </c>
      <c r="I27" s="268">
        <f>SUM(I24:I26)</f>
        <v>193.04</v>
      </c>
      <c r="J27" s="329"/>
      <c r="K27" s="70">
        <f t="shared" si="5"/>
        <v>-26.090000000000003</v>
      </c>
      <c r="L27" s="284">
        <f t="shared" si="6"/>
        <v>0.13515333609614591</v>
      </c>
    </row>
    <row r="28" spans="1:20" x14ac:dyDescent="0.25">
      <c r="A28" s="3" t="s">
        <v>13</v>
      </c>
      <c r="B28" s="15"/>
      <c r="C28" s="15"/>
      <c r="D28" s="3"/>
      <c r="E28" s="99"/>
      <c r="F28" s="83"/>
      <c r="G28" s="118"/>
      <c r="H28" s="70"/>
      <c r="J28" s="329"/>
      <c r="K28" s="70"/>
      <c r="L28" s="301"/>
    </row>
    <row r="29" spans="1:20" x14ac:dyDescent="0.25">
      <c r="A29" s="71"/>
      <c r="B29" s="9" t="s">
        <v>3</v>
      </c>
      <c r="C29" s="9" t="s">
        <v>29</v>
      </c>
      <c r="D29" s="93">
        <v>4.32</v>
      </c>
      <c r="E29" s="126">
        <v>23.12</v>
      </c>
      <c r="F29" s="97">
        <v>36.31</v>
      </c>
      <c r="G29" s="126">
        <f>E29-F29</f>
        <v>-13.190000000000001</v>
      </c>
      <c r="H29" s="286">
        <v>36</v>
      </c>
      <c r="I29" s="282">
        <v>36.72</v>
      </c>
      <c r="J29" s="329">
        <f t="shared" si="3"/>
        <v>8.5</v>
      </c>
      <c r="K29" s="70">
        <f t="shared" ref="K29:K38" si="7">H29-I29</f>
        <v>-0.71999999999999886</v>
      </c>
      <c r="L29" s="284">
        <f t="shared" ref="L29:L38" si="8">(ABS(H29-I29))/I29</f>
        <v>1.960784313725487E-2</v>
      </c>
      <c r="M29" s="268">
        <v>22</v>
      </c>
      <c r="N29">
        <v>3.41</v>
      </c>
      <c r="O29" s="268">
        <v>8.8699999999999992</v>
      </c>
      <c r="P29">
        <v>203.82</v>
      </c>
      <c r="Q29" s="268">
        <v>1525.8</v>
      </c>
      <c r="T29" t="s">
        <v>186</v>
      </c>
    </row>
    <row r="30" spans="1:20" x14ac:dyDescent="0.25">
      <c r="A30" s="71"/>
      <c r="B30" s="9" t="s">
        <v>3</v>
      </c>
      <c r="C30" s="9" t="s">
        <v>31</v>
      </c>
      <c r="D30" s="93">
        <v>1.92</v>
      </c>
      <c r="E30" s="126">
        <v>8.64</v>
      </c>
      <c r="F30" s="97">
        <v>17.260000000000002</v>
      </c>
      <c r="G30" s="126">
        <f t="shared" ref="G30:G35" si="9">E30-F30</f>
        <v>-8.620000000000001</v>
      </c>
      <c r="H30" s="286">
        <v>16</v>
      </c>
      <c r="I30" s="282">
        <v>13.52</v>
      </c>
      <c r="J30" s="329">
        <f t="shared" si="3"/>
        <v>7.041666666666667</v>
      </c>
      <c r="K30" s="70">
        <f t="shared" si="7"/>
        <v>2.4800000000000004</v>
      </c>
      <c r="L30" s="284">
        <f t="shared" si="8"/>
        <v>0.18343195266272194</v>
      </c>
      <c r="M30" s="268">
        <v>21.6</v>
      </c>
      <c r="N30">
        <v>3.57</v>
      </c>
      <c r="O30" s="268">
        <v>5.6</v>
      </c>
      <c r="P30" s="70">
        <v>203.82</v>
      </c>
      <c r="Q30" s="268">
        <v>1545</v>
      </c>
      <c r="T30" s="70" t="s">
        <v>186</v>
      </c>
    </row>
    <row r="31" spans="1:20" x14ac:dyDescent="0.25">
      <c r="A31" s="71"/>
      <c r="B31" s="9" t="s">
        <v>86</v>
      </c>
      <c r="C31" s="9" t="s">
        <v>32</v>
      </c>
      <c r="D31" s="39">
        <v>3.29</v>
      </c>
      <c r="E31" s="126">
        <v>22.68</v>
      </c>
      <c r="F31" s="95">
        <v>38.07</v>
      </c>
      <c r="G31" s="126">
        <f t="shared" si="9"/>
        <v>-15.39</v>
      </c>
      <c r="H31" s="234">
        <v>27.8</v>
      </c>
      <c r="I31" s="282">
        <v>19.64</v>
      </c>
      <c r="J31" s="329">
        <f t="shared" si="3"/>
        <v>5.9696048632218845</v>
      </c>
      <c r="K31" s="70">
        <f t="shared" si="7"/>
        <v>8.16</v>
      </c>
      <c r="L31" s="284">
        <f t="shared" si="8"/>
        <v>0.41547861507128309</v>
      </c>
      <c r="M31" s="268">
        <v>19.649999999999999</v>
      </c>
      <c r="N31">
        <v>3.5</v>
      </c>
      <c r="O31" s="268">
        <v>7.2</v>
      </c>
      <c r="P31">
        <v>215.74</v>
      </c>
    </row>
    <row r="32" spans="1:20" s="70" customFormat="1" x14ac:dyDescent="0.25">
      <c r="A32" s="71"/>
      <c r="B32" s="9"/>
      <c r="C32" s="9" t="s">
        <v>198</v>
      </c>
      <c r="D32" s="39"/>
      <c r="E32" s="126"/>
      <c r="F32" s="95"/>
      <c r="G32" s="126"/>
      <c r="H32" s="234"/>
      <c r="I32" s="282"/>
      <c r="J32" s="329"/>
      <c r="L32" s="284"/>
      <c r="M32" s="268"/>
      <c r="O32" s="268"/>
      <c r="Q32" s="268">
        <v>1405.3</v>
      </c>
      <c r="R32" s="70">
        <v>2.97</v>
      </c>
      <c r="S32" s="268">
        <v>104.09</v>
      </c>
      <c r="T32" s="70" t="s">
        <v>189</v>
      </c>
    </row>
    <row r="33" spans="1:20" s="70" customFormat="1" x14ac:dyDescent="0.25">
      <c r="A33" s="71"/>
      <c r="B33" s="9"/>
      <c r="C33" s="9" t="s">
        <v>199</v>
      </c>
      <c r="D33" s="39"/>
      <c r="E33" s="126"/>
      <c r="F33" s="95"/>
      <c r="G33" s="126"/>
      <c r="H33" s="234"/>
      <c r="I33" s="282"/>
      <c r="J33" s="329"/>
      <c r="L33" s="284"/>
      <c r="M33" s="268"/>
      <c r="O33" s="268"/>
      <c r="Q33" s="268">
        <v>1508.7</v>
      </c>
      <c r="R33" s="70">
        <v>3</v>
      </c>
      <c r="S33" s="268">
        <v>74</v>
      </c>
      <c r="T33" s="70" t="s">
        <v>189</v>
      </c>
    </row>
    <row r="34" spans="1:20" x14ac:dyDescent="0.25">
      <c r="A34" s="71"/>
      <c r="B34" s="9" t="s">
        <v>84</v>
      </c>
      <c r="C34" s="9" t="s">
        <v>88</v>
      </c>
      <c r="D34" s="39">
        <v>4.63</v>
      </c>
      <c r="E34" s="128">
        <v>0</v>
      </c>
      <c r="F34" s="95">
        <v>13.82</v>
      </c>
      <c r="G34" s="126">
        <f t="shared" si="9"/>
        <v>-13.82</v>
      </c>
      <c r="H34" s="287">
        <v>14</v>
      </c>
      <c r="I34" s="282">
        <v>13.2</v>
      </c>
      <c r="J34" s="329">
        <f t="shared" si="3"/>
        <v>2.8509719222462202</v>
      </c>
      <c r="K34" s="70">
        <f t="shared" si="7"/>
        <v>0.80000000000000071</v>
      </c>
      <c r="L34" s="284">
        <f t="shared" si="8"/>
        <v>6.0606060606060663E-2</v>
      </c>
      <c r="M34" s="268">
        <v>20.5</v>
      </c>
      <c r="N34">
        <v>3.67</v>
      </c>
      <c r="O34" s="268">
        <v>6.8</v>
      </c>
      <c r="P34">
        <v>244.82</v>
      </c>
      <c r="Q34" s="268">
        <v>1330.2</v>
      </c>
      <c r="R34">
        <v>2.94</v>
      </c>
      <c r="S34" s="268">
        <v>80.25</v>
      </c>
      <c r="T34" t="s">
        <v>187</v>
      </c>
    </row>
    <row r="35" spans="1:20" x14ac:dyDescent="0.25">
      <c r="A35" s="71"/>
      <c r="B35" s="12"/>
      <c r="C35" s="151" t="s">
        <v>115</v>
      </c>
      <c r="D35" s="159">
        <f>SUM(D29:D30)</f>
        <v>6.24</v>
      </c>
      <c r="E35" s="161">
        <f>SUM(E29:E30)</f>
        <v>31.76</v>
      </c>
      <c r="F35" s="162">
        <f>SUM(F29:F30)</f>
        <v>53.570000000000007</v>
      </c>
      <c r="G35" s="161">
        <f t="shared" si="9"/>
        <v>-21.810000000000006</v>
      </c>
      <c r="H35" s="70">
        <f>SUM(H29:H30)</f>
        <v>52</v>
      </c>
      <c r="I35" s="268">
        <f>SUM(I29:I30)</f>
        <v>50.239999999999995</v>
      </c>
      <c r="J35" s="329"/>
      <c r="K35" s="70">
        <f t="shared" si="7"/>
        <v>1.7600000000000051</v>
      </c>
      <c r="L35" s="284">
        <f t="shared" si="8"/>
        <v>3.5031847133758065E-2</v>
      </c>
    </row>
    <row r="36" spans="1:20" x14ac:dyDescent="0.25">
      <c r="A36" s="71"/>
      <c r="B36" s="12"/>
      <c r="C36" s="71" t="s">
        <v>120</v>
      </c>
      <c r="D36" s="134">
        <f>SUM(D31:D34)</f>
        <v>7.92</v>
      </c>
      <c r="E36" s="165">
        <f>SUM(E31)</f>
        <v>22.68</v>
      </c>
      <c r="F36" s="166">
        <f>SUM(F31)</f>
        <v>38.07</v>
      </c>
      <c r="G36" s="171">
        <f>E36-F36</f>
        <v>-15.39</v>
      </c>
      <c r="H36" s="70">
        <f>SUM(H31:H34)</f>
        <v>41.8</v>
      </c>
      <c r="I36" s="268">
        <f>SUM(I31:I34)</f>
        <v>32.840000000000003</v>
      </c>
      <c r="J36" s="329"/>
      <c r="K36" s="70">
        <f t="shared" si="7"/>
        <v>8.9599999999999937</v>
      </c>
      <c r="L36" s="284">
        <f t="shared" si="8"/>
        <v>0.27283800243605338</v>
      </c>
    </row>
    <row r="37" spans="1:20" ht="15.75" thickBot="1" x14ac:dyDescent="0.3">
      <c r="A37" s="71"/>
      <c r="B37" s="69"/>
      <c r="C37" s="156" t="s">
        <v>117</v>
      </c>
      <c r="D37" s="167">
        <v>0</v>
      </c>
      <c r="E37" s="169">
        <v>0</v>
      </c>
      <c r="F37" s="170">
        <v>13.82</v>
      </c>
      <c r="G37" s="169">
        <f t="shared" ref="G37" si="10">E37-F37</f>
        <v>-13.82</v>
      </c>
      <c r="H37" s="70">
        <v>0</v>
      </c>
      <c r="I37" s="268">
        <v>0</v>
      </c>
      <c r="J37" s="329"/>
      <c r="K37" s="70">
        <f t="shared" si="7"/>
        <v>0</v>
      </c>
      <c r="L37" s="284" t="e">
        <f t="shared" si="8"/>
        <v>#DIV/0!</v>
      </c>
    </row>
    <row r="38" spans="1:20" ht="15.75" thickTop="1" x14ac:dyDescent="0.25">
      <c r="A38" s="71"/>
      <c r="B38" s="69"/>
      <c r="C38" s="79" t="s">
        <v>118</v>
      </c>
      <c r="D38" s="134">
        <f>SUM(D35:D36)</f>
        <v>14.16</v>
      </c>
      <c r="E38" s="171">
        <f>SUM(E35:E36)</f>
        <v>54.44</v>
      </c>
      <c r="F38" s="158">
        <f>SUM(F35:F37)</f>
        <v>105.46000000000001</v>
      </c>
      <c r="G38" s="171">
        <f>E38-F38</f>
        <v>-51.02000000000001</v>
      </c>
      <c r="H38" s="70">
        <f>SUM(H35:H36)</f>
        <v>93.8</v>
      </c>
      <c r="I38" s="268">
        <f>SUM(I35:I36)</f>
        <v>83.08</v>
      </c>
      <c r="J38" s="329"/>
      <c r="K38" s="70">
        <f t="shared" si="7"/>
        <v>10.719999999999999</v>
      </c>
      <c r="L38" s="284">
        <f t="shared" si="8"/>
        <v>0.12903225806451613</v>
      </c>
    </row>
    <row r="39" spans="1:20" x14ac:dyDescent="0.25">
      <c r="A39" s="3" t="s">
        <v>15</v>
      </c>
      <c r="B39" s="15"/>
      <c r="C39" s="3"/>
      <c r="D39" s="37"/>
      <c r="E39" s="99"/>
      <c r="F39" s="83"/>
      <c r="G39" s="118"/>
      <c r="H39" s="70"/>
      <c r="J39" s="329"/>
      <c r="K39" s="70"/>
      <c r="L39" s="302"/>
    </row>
    <row r="40" spans="1:20" x14ac:dyDescent="0.25">
      <c r="A40" s="71"/>
      <c r="B40" s="9" t="s">
        <v>3</v>
      </c>
      <c r="C40" s="9" t="s">
        <v>36</v>
      </c>
      <c r="D40" s="39">
        <v>4.04</v>
      </c>
      <c r="E40" s="126">
        <v>23.62</v>
      </c>
      <c r="F40" s="95">
        <v>20.239999999999998</v>
      </c>
      <c r="G40" s="126">
        <f>E40-F40</f>
        <v>3.3800000000000026</v>
      </c>
      <c r="H40" s="70">
        <v>16.2</v>
      </c>
      <c r="I40" s="282">
        <v>26.77</v>
      </c>
      <c r="J40" s="329">
        <f t="shared" si="3"/>
        <v>6.6262376237623757</v>
      </c>
      <c r="K40" s="70">
        <f>H40-I40</f>
        <v>-10.57</v>
      </c>
      <c r="L40" s="304">
        <f>(ABS(H40-I40))/I40</f>
        <v>0.39484497571908855</v>
      </c>
      <c r="M40" s="268">
        <v>23.75</v>
      </c>
      <c r="N40">
        <v>3.34</v>
      </c>
      <c r="O40" s="268">
        <v>8.25</v>
      </c>
      <c r="P40">
        <v>157.74</v>
      </c>
      <c r="Q40" s="268">
        <v>1522.2</v>
      </c>
      <c r="R40">
        <v>10.32</v>
      </c>
      <c r="S40" s="268">
        <v>38.35</v>
      </c>
      <c r="T40" t="s">
        <v>186</v>
      </c>
    </row>
    <row r="41" spans="1:20" x14ac:dyDescent="0.25">
      <c r="A41" s="71"/>
      <c r="B41" s="9" t="s">
        <v>86</v>
      </c>
      <c r="C41" s="9" t="s">
        <v>37</v>
      </c>
      <c r="D41" s="39">
        <v>5.04</v>
      </c>
      <c r="E41" s="126">
        <v>27.94</v>
      </c>
      <c r="F41" s="95">
        <v>29.95</v>
      </c>
      <c r="G41" s="126">
        <f t="shared" ref="G41:G46" si="11">E41-F41</f>
        <v>-2.009999999999998</v>
      </c>
      <c r="H41" s="70">
        <v>30.1</v>
      </c>
      <c r="I41" s="282">
        <v>32.630000000000003</v>
      </c>
      <c r="J41" s="329">
        <f t="shared" si="3"/>
        <v>6.4742063492063497</v>
      </c>
      <c r="K41" s="70">
        <f>H41-I41</f>
        <v>-2.5300000000000011</v>
      </c>
      <c r="L41" s="284">
        <f>(ABS(H41-I41))/I41</f>
        <v>7.7536009806926168E-2</v>
      </c>
      <c r="M41" s="268">
        <v>23</v>
      </c>
      <c r="N41">
        <v>3.2</v>
      </c>
      <c r="O41" s="268">
        <v>8.4</v>
      </c>
      <c r="P41">
        <v>180.19</v>
      </c>
      <c r="Q41" s="268">
        <v>1462.1</v>
      </c>
      <c r="R41">
        <v>6.13</v>
      </c>
      <c r="S41" s="268">
        <v>35.93</v>
      </c>
      <c r="T41" t="s">
        <v>189</v>
      </c>
    </row>
    <row r="42" spans="1:20" x14ac:dyDescent="0.25">
      <c r="A42" s="71"/>
      <c r="B42" s="9" t="s">
        <v>6</v>
      </c>
      <c r="C42" s="9" t="s">
        <v>38</v>
      </c>
      <c r="D42" s="39">
        <v>1.65</v>
      </c>
      <c r="E42" s="126">
        <v>14.07</v>
      </c>
      <c r="F42" s="95">
        <v>12.07</v>
      </c>
      <c r="G42" s="126">
        <f t="shared" si="11"/>
        <v>2</v>
      </c>
      <c r="H42" s="287">
        <v>12</v>
      </c>
      <c r="I42" s="282">
        <v>12.47</v>
      </c>
      <c r="J42" s="329">
        <f t="shared" si="3"/>
        <v>7.5575757575757585</v>
      </c>
      <c r="K42" s="70">
        <f>H42-I42</f>
        <v>-0.47000000000000064</v>
      </c>
      <c r="L42" s="284">
        <f>(ABS(H42-I42))/I42</f>
        <v>3.7690457097032927E-2</v>
      </c>
      <c r="M42" s="268">
        <v>24</v>
      </c>
      <c r="N42">
        <v>3.26</v>
      </c>
      <c r="O42" s="268">
        <v>9.8000000000000007</v>
      </c>
      <c r="P42">
        <v>241.52</v>
      </c>
      <c r="Q42" s="268">
        <v>1597</v>
      </c>
      <c r="T42" t="s">
        <v>191</v>
      </c>
    </row>
    <row r="43" spans="1:20" x14ac:dyDescent="0.25">
      <c r="A43" s="71"/>
      <c r="B43" s="12"/>
      <c r="C43" s="151" t="s">
        <v>115</v>
      </c>
      <c r="D43" s="163">
        <f>SUM(D40,D42)</f>
        <v>5.6899999999999995</v>
      </c>
      <c r="E43" s="161">
        <f>SUM(E40,E42)</f>
        <v>37.69</v>
      </c>
      <c r="F43" s="222">
        <f>SUM(F40,F42)</f>
        <v>32.31</v>
      </c>
      <c r="G43" s="161">
        <f t="shared" si="11"/>
        <v>5.3799999999999955</v>
      </c>
      <c r="H43" s="70">
        <f>SUM(H40,H42)</f>
        <v>28.2</v>
      </c>
      <c r="I43" s="268">
        <f>SUM(I40,I42)</f>
        <v>39.24</v>
      </c>
      <c r="J43" s="329"/>
      <c r="K43" s="70">
        <f>H43-I43</f>
        <v>-11.040000000000003</v>
      </c>
      <c r="L43" s="284">
        <f>(ABS(H43-I43))/I43</f>
        <v>0.28134556574923553</v>
      </c>
    </row>
    <row r="44" spans="1:20" x14ac:dyDescent="0.25">
      <c r="A44" s="71"/>
      <c r="B44" s="12"/>
      <c r="C44" s="71" t="s">
        <v>119</v>
      </c>
      <c r="D44" s="158">
        <v>5.04</v>
      </c>
      <c r="E44" s="165">
        <v>27.94</v>
      </c>
      <c r="F44" s="149">
        <v>29.95</v>
      </c>
      <c r="G44" s="171">
        <f t="shared" si="11"/>
        <v>-2.009999999999998</v>
      </c>
      <c r="H44" s="70">
        <f>H41</f>
        <v>30.1</v>
      </c>
      <c r="I44" s="268">
        <f>I41</f>
        <v>32.630000000000003</v>
      </c>
      <c r="J44" s="329"/>
      <c r="K44" s="70">
        <f>H44-I44</f>
        <v>-2.5300000000000011</v>
      </c>
      <c r="L44" s="284">
        <f>(ABS(H44-I44))/I44</f>
        <v>7.7536009806926168E-2</v>
      </c>
    </row>
    <row r="45" spans="1:20" ht="15.75" thickBot="1" x14ac:dyDescent="0.3">
      <c r="A45" s="71"/>
      <c r="B45" s="69"/>
      <c r="C45" s="156" t="s">
        <v>117</v>
      </c>
      <c r="D45" s="170" t="s">
        <v>109</v>
      </c>
      <c r="E45" s="169">
        <v>0</v>
      </c>
      <c r="F45" s="170">
        <v>0</v>
      </c>
      <c r="G45" s="169">
        <f t="shared" si="11"/>
        <v>0</v>
      </c>
      <c r="H45" s="70">
        <v>0</v>
      </c>
      <c r="I45" s="268">
        <v>0</v>
      </c>
      <c r="J45" s="329"/>
      <c r="K45" s="70"/>
      <c r="L45" s="302"/>
    </row>
    <row r="46" spans="1:20" ht="15.75" thickTop="1" x14ac:dyDescent="0.25">
      <c r="A46" s="71"/>
      <c r="B46" s="69"/>
      <c r="C46" s="79" t="s">
        <v>118</v>
      </c>
      <c r="D46" s="134">
        <f>SUM(D43,D44)</f>
        <v>10.73</v>
      </c>
      <c r="E46" s="171">
        <f>SUM(E43:E44)</f>
        <v>65.63</v>
      </c>
      <c r="F46" s="158">
        <f>SUM(F43:F44)</f>
        <v>62.260000000000005</v>
      </c>
      <c r="G46" s="171">
        <f t="shared" si="11"/>
        <v>3.3699999999999903</v>
      </c>
      <c r="H46" s="70">
        <f>SUM(H43:H45)</f>
        <v>58.3</v>
      </c>
      <c r="I46" s="268">
        <f>SUM(I43:I45)</f>
        <v>71.87</v>
      </c>
      <c r="J46" s="329"/>
      <c r="K46" s="70">
        <f>H46-I46</f>
        <v>-13.570000000000007</v>
      </c>
      <c r="L46" s="284">
        <f>(ABS(H46-I46))/I46</f>
        <v>0.18881313482677065</v>
      </c>
    </row>
    <row r="47" spans="1:20" x14ac:dyDescent="0.25">
      <c r="A47" s="3" t="s">
        <v>17</v>
      </c>
      <c r="B47" s="15"/>
      <c r="C47" s="3"/>
      <c r="D47" s="37"/>
      <c r="E47" s="99"/>
      <c r="F47" s="83"/>
      <c r="G47" s="118"/>
      <c r="H47" s="70"/>
      <c r="J47" s="329"/>
      <c r="K47" s="70"/>
      <c r="L47" s="302"/>
    </row>
    <row r="48" spans="1:20" x14ac:dyDescent="0.25">
      <c r="A48" s="71"/>
      <c r="B48" s="9" t="s">
        <v>3</v>
      </c>
      <c r="C48" s="9" t="s">
        <v>39</v>
      </c>
      <c r="D48" s="62">
        <v>1.89</v>
      </c>
      <c r="E48" s="126">
        <v>8.3699999999999992</v>
      </c>
      <c r="F48" s="95">
        <v>9.23</v>
      </c>
      <c r="G48" s="126">
        <f>E48-F48</f>
        <v>-0.86000000000000121</v>
      </c>
      <c r="H48" s="286">
        <v>9</v>
      </c>
      <c r="I48" s="282">
        <v>10.07</v>
      </c>
      <c r="J48" s="329">
        <f t="shared" si="3"/>
        <v>5.3280423280423284</v>
      </c>
      <c r="K48" s="70">
        <f>H48-I48</f>
        <v>-1.0700000000000003</v>
      </c>
      <c r="L48" s="284">
        <f>(ABS(H48-I48))/I48</f>
        <v>0.10625620655412117</v>
      </c>
      <c r="M48" s="268">
        <v>23.8</v>
      </c>
      <c r="N48">
        <v>3.36</v>
      </c>
      <c r="O48" s="268">
        <v>6.3</v>
      </c>
      <c r="P48">
        <v>189.87</v>
      </c>
      <c r="Q48" s="268">
        <v>1489.8</v>
      </c>
      <c r="R48">
        <v>4.09</v>
      </c>
      <c r="S48" s="268">
        <v>43.61</v>
      </c>
      <c r="T48" t="s">
        <v>186</v>
      </c>
    </row>
    <row r="49" spans="1:20" x14ac:dyDescent="0.25">
      <c r="A49" s="71"/>
      <c r="B49" s="9" t="s">
        <v>86</v>
      </c>
      <c r="C49" s="9" t="s">
        <v>31</v>
      </c>
      <c r="D49" s="62">
        <v>0.57999999999999996</v>
      </c>
      <c r="E49" s="126">
        <v>3.04</v>
      </c>
      <c r="F49" s="95">
        <v>2.68</v>
      </c>
      <c r="G49" s="126">
        <f t="shared" ref="G49:G61" si="12">E49-F49</f>
        <v>0.35999999999999988</v>
      </c>
      <c r="H49" s="286">
        <v>3</v>
      </c>
      <c r="I49" s="282">
        <v>3.99</v>
      </c>
      <c r="J49" s="329">
        <f t="shared" si="3"/>
        <v>6.8793103448275872</v>
      </c>
      <c r="K49" s="70">
        <f>H49-I49</f>
        <v>-0.99000000000000021</v>
      </c>
      <c r="L49" s="284">
        <f>(ABS(H49-I49))/I49</f>
        <v>0.24812030075187974</v>
      </c>
      <c r="M49" s="268">
        <v>23.5</v>
      </c>
      <c r="N49">
        <v>3.66</v>
      </c>
      <c r="O49" s="268">
        <v>4.5999999999999996</v>
      </c>
      <c r="P49">
        <v>236.63</v>
      </c>
      <c r="Q49" s="268">
        <v>1455.8</v>
      </c>
      <c r="T49" t="s">
        <v>189</v>
      </c>
    </row>
    <row r="50" spans="1:20" x14ac:dyDescent="0.25">
      <c r="A50" s="71"/>
      <c r="B50" s="72" t="s">
        <v>4</v>
      </c>
      <c r="C50" s="9" t="s">
        <v>40</v>
      </c>
      <c r="D50" s="62">
        <v>9.11</v>
      </c>
      <c r="E50" s="126">
        <v>21.02</v>
      </c>
      <c r="F50" s="95">
        <v>31.83</v>
      </c>
      <c r="G50" s="126">
        <f t="shared" si="12"/>
        <v>-10.809999999999999</v>
      </c>
      <c r="H50" s="290">
        <v>25</v>
      </c>
      <c r="I50" s="282">
        <v>22.92</v>
      </c>
      <c r="J50" s="329">
        <f t="shared" si="3"/>
        <v>2.5159165751920969</v>
      </c>
      <c r="K50" s="70">
        <f>H50-I50</f>
        <v>2.0799999999999983</v>
      </c>
      <c r="L50" s="284">
        <f>(ABS(H50-I50))/I50</f>
        <v>9.0750436300174445E-2</v>
      </c>
      <c r="M50" s="268">
        <v>24.05</v>
      </c>
      <c r="N50">
        <v>3.63</v>
      </c>
      <c r="O50" s="268">
        <v>6.2</v>
      </c>
      <c r="P50">
        <v>203.12</v>
      </c>
      <c r="Q50" s="268">
        <v>1342.3</v>
      </c>
      <c r="T50" t="s">
        <v>196</v>
      </c>
    </row>
    <row r="51" spans="1:20" x14ac:dyDescent="0.25">
      <c r="A51" s="71"/>
      <c r="B51" s="9" t="s">
        <v>89</v>
      </c>
      <c r="C51" s="9" t="s">
        <v>90</v>
      </c>
      <c r="D51" s="62">
        <v>7.34</v>
      </c>
      <c r="E51" s="126">
        <v>51.91</v>
      </c>
      <c r="F51" s="95">
        <v>41.95</v>
      </c>
      <c r="G51" s="126">
        <f t="shared" si="12"/>
        <v>9.9599999999999937</v>
      </c>
      <c r="H51" s="287">
        <v>38</v>
      </c>
      <c r="I51" s="282">
        <v>46.96</v>
      </c>
      <c r="J51" s="329">
        <f t="shared" si="3"/>
        <v>6.3978201634877383</v>
      </c>
      <c r="K51" s="70">
        <f>H51-I51</f>
        <v>-8.9600000000000009</v>
      </c>
      <c r="L51" s="284">
        <f>(ABS(H51-I51))/I51</f>
        <v>0.19080068143100512</v>
      </c>
      <c r="M51" s="268">
        <v>24.3</v>
      </c>
      <c r="N51">
        <v>3.75</v>
      </c>
      <c r="O51" s="268">
        <v>4.9000000000000004</v>
      </c>
      <c r="P51">
        <v>223.19</v>
      </c>
      <c r="Q51" s="268">
        <v>1481.3</v>
      </c>
      <c r="T51" t="s">
        <v>192</v>
      </c>
    </row>
    <row r="52" spans="1:20" x14ac:dyDescent="0.25">
      <c r="A52" s="1"/>
      <c r="B52" s="18" t="s">
        <v>7</v>
      </c>
      <c r="C52" s="18" t="s">
        <v>41</v>
      </c>
      <c r="D52" s="129">
        <v>2</v>
      </c>
      <c r="E52" s="140">
        <v>5.38</v>
      </c>
      <c r="F52" s="97">
        <v>7.8</v>
      </c>
      <c r="G52" s="126">
        <f t="shared" si="12"/>
        <v>-2.42</v>
      </c>
      <c r="H52" s="290">
        <v>8</v>
      </c>
      <c r="I52" s="282">
        <v>8.5</v>
      </c>
      <c r="J52" s="329">
        <f t="shared" si="3"/>
        <v>4.25</v>
      </c>
      <c r="K52" s="70"/>
      <c r="L52" s="302"/>
      <c r="M52" s="268">
        <v>23.5</v>
      </c>
      <c r="N52">
        <v>3.54</v>
      </c>
      <c r="O52" s="268">
        <v>6.9</v>
      </c>
      <c r="P52">
        <v>159.38999999999999</v>
      </c>
      <c r="Q52" s="268" t="s">
        <v>197</v>
      </c>
    </row>
    <row r="53" spans="1:20" x14ac:dyDescent="0.25">
      <c r="A53" s="71"/>
      <c r="B53" s="18" t="s">
        <v>7</v>
      </c>
      <c r="C53" s="18" t="s">
        <v>42</v>
      </c>
      <c r="D53" s="129">
        <v>2</v>
      </c>
      <c r="E53" s="140">
        <v>2.4</v>
      </c>
      <c r="F53" s="97">
        <v>8.4</v>
      </c>
      <c r="G53" s="126">
        <f t="shared" si="12"/>
        <v>-6</v>
      </c>
      <c r="H53" s="290">
        <v>8</v>
      </c>
      <c r="I53" s="282">
        <v>12.64</v>
      </c>
      <c r="J53" s="329">
        <f t="shared" si="3"/>
        <v>6.32</v>
      </c>
      <c r="K53" s="70">
        <f>H53-I53</f>
        <v>-4.6400000000000006</v>
      </c>
      <c r="L53" s="284">
        <f t="shared" ref="L53:L61" si="13">(ABS(H53-I53))/I53</f>
        <v>0.36708860759493672</v>
      </c>
      <c r="M53" s="268">
        <v>21.7</v>
      </c>
      <c r="N53">
        <v>3.99</v>
      </c>
      <c r="O53" s="268">
        <v>4</v>
      </c>
      <c r="P53">
        <v>378.84</v>
      </c>
      <c r="Q53" s="268">
        <v>1380.2</v>
      </c>
      <c r="T53" t="s">
        <v>187</v>
      </c>
    </row>
    <row r="54" spans="1:20" x14ac:dyDescent="0.25">
      <c r="A54" s="71"/>
      <c r="B54" s="18" t="s">
        <v>7</v>
      </c>
      <c r="C54" s="18" t="s">
        <v>43</v>
      </c>
      <c r="D54" s="129">
        <v>4</v>
      </c>
      <c r="E54" s="140">
        <v>24.55</v>
      </c>
      <c r="F54" s="97">
        <v>16.86</v>
      </c>
      <c r="G54" s="126">
        <f t="shared" si="12"/>
        <v>7.6900000000000013</v>
      </c>
      <c r="H54" s="290">
        <v>16</v>
      </c>
      <c r="I54" s="282">
        <v>26.79</v>
      </c>
      <c r="J54" s="329">
        <f t="shared" si="3"/>
        <v>6.6974999999999998</v>
      </c>
      <c r="K54" s="70">
        <f>H54-I54</f>
        <v>-10.79</v>
      </c>
      <c r="L54" s="284">
        <f t="shared" si="13"/>
        <v>0.40276222471071293</v>
      </c>
      <c r="M54" s="268">
        <v>24</v>
      </c>
      <c r="N54">
        <v>3.37</v>
      </c>
      <c r="O54" s="268">
        <v>8.1</v>
      </c>
      <c r="P54">
        <v>184.52</v>
      </c>
      <c r="Q54" s="268" t="s">
        <v>197</v>
      </c>
    </row>
    <row r="55" spans="1:20" x14ac:dyDescent="0.25">
      <c r="A55" s="71"/>
      <c r="B55" s="18" t="s">
        <v>7</v>
      </c>
      <c r="C55" s="18" t="s">
        <v>91</v>
      </c>
      <c r="D55" s="129">
        <v>4.25</v>
      </c>
      <c r="E55" s="140">
        <v>14.49</v>
      </c>
      <c r="F55" s="97">
        <v>17.53</v>
      </c>
      <c r="G55" s="126">
        <f t="shared" si="12"/>
        <v>-3.0400000000000009</v>
      </c>
      <c r="H55" s="290">
        <v>15</v>
      </c>
      <c r="I55" s="282">
        <v>20.67</v>
      </c>
      <c r="J55" s="329">
        <f t="shared" si="3"/>
        <v>4.8635294117647065</v>
      </c>
      <c r="K55" s="70">
        <f>H55-I55</f>
        <v>-5.6700000000000017</v>
      </c>
      <c r="L55" s="284">
        <f t="shared" si="13"/>
        <v>0.27431059506531208</v>
      </c>
      <c r="M55" s="268">
        <v>23.65</v>
      </c>
      <c r="N55">
        <v>3.57</v>
      </c>
      <c r="O55" s="268">
        <v>5.15</v>
      </c>
      <c r="P55">
        <v>270.02999999999997</v>
      </c>
      <c r="Q55" s="268">
        <v>1397.8</v>
      </c>
      <c r="T55" t="s">
        <v>187</v>
      </c>
    </row>
    <row r="56" spans="1:20" x14ac:dyDescent="0.25">
      <c r="A56" s="71"/>
      <c r="B56" s="18" t="s">
        <v>7</v>
      </c>
      <c r="C56" s="72" t="s">
        <v>99</v>
      </c>
      <c r="D56" s="129">
        <v>3</v>
      </c>
      <c r="E56" s="113">
        <v>0</v>
      </c>
      <c r="F56" s="95">
        <v>16.14</v>
      </c>
      <c r="G56" s="126">
        <f t="shared" si="12"/>
        <v>-16.14</v>
      </c>
      <c r="H56" s="290">
        <v>16</v>
      </c>
      <c r="I56" s="282">
        <v>16.84</v>
      </c>
      <c r="J56" s="329">
        <f t="shared" si="3"/>
        <v>5.6133333333333333</v>
      </c>
      <c r="K56" s="70"/>
      <c r="L56" s="284">
        <f t="shared" si="13"/>
        <v>4.9881235154394292E-2</v>
      </c>
      <c r="M56" s="268">
        <v>23.6</v>
      </c>
      <c r="N56">
        <v>3.72</v>
      </c>
      <c r="O56" s="268">
        <v>5.9</v>
      </c>
      <c r="P56">
        <v>224.02</v>
      </c>
      <c r="Q56" s="268">
        <v>1411.2</v>
      </c>
      <c r="T56" t="s">
        <v>192</v>
      </c>
    </row>
    <row r="57" spans="1:20" x14ac:dyDescent="0.25">
      <c r="A57" s="71"/>
      <c r="B57" s="18" t="s">
        <v>7</v>
      </c>
      <c r="C57" s="72" t="s">
        <v>100</v>
      </c>
      <c r="D57" s="129">
        <v>6.5</v>
      </c>
      <c r="E57" s="113">
        <v>0</v>
      </c>
      <c r="F57" s="95">
        <v>15.06</v>
      </c>
      <c r="G57" s="126">
        <f t="shared" si="12"/>
        <v>-15.06</v>
      </c>
      <c r="H57" s="290">
        <v>15</v>
      </c>
      <c r="I57" s="282">
        <v>14.48</v>
      </c>
      <c r="J57" s="329">
        <f t="shared" si="3"/>
        <v>2.2276923076923079</v>
      </c>
      <c r="K57" s="70">
        <f>H57-I57</f>
        <v>0.51999999999999957</v>
      </c>
      <c r="L57" s="304">
        <f t="shared" si="13"/>
        <v>3.5911602209944722E-2</v>
      </c>
      <c r="M57" s="268">
        <v>23.5</v>
      </c>
      <c r="N57">
        <v>3.51</v>
      </c>
      <c r="O57" s="268">
        <v>4.4000000000000004</v>
      </c>
      <c r="P57">
        <v>224.02</v>
      </c>
      <c r="Q57" s="268">
        <v>1411.2</v>
      </c>
      <c r="T57" s="70" t="s">
        <v>192</v>
      </c>
    </row>
    <row r="58" spans="1:20" x14ac:dyDescent="0.25">
      <c r="A58" s="69"/>
      <c r="B58" s="12"/>
      <c r="C58" s="151" t="s">
        <v>115</v>
      </c>
      <c r="D58" s="176">
        <f>SUM(D48)</f>
        <v>1.89</v>
      </c>
      <c r="E58" s="187">
        <f>SUM(E48,E50)</f>
        <v>29.39</v>
      </c>
      <c r="F58" s="176">
        <f>SUM(F48,F50)</f>
        <v>41.06</v>
      </c>
      <c r="G58" s="161">
        <f t="shared" si="12"/>
        <v>-11.670000000000002</v>
      </c>
      <c r="H58" s="70">
        <f>SUM(H50,H48)</f>
        <v>34</v>
      </c>
      <c r="I58" s="268">
        <f>SUM(I50,I48)</f>
        <v>32.99</v>
      </c>
      <c r="J58" s="329"/>
      <c r="K58" s="70">
        <f>H58-I58</f>
        <v>1.009999999999998</v>
      </c>
      <c r="L58" s="284">
        <f t="shared" si="13"/>
        <v>3.0615337981206366E-2</v>
      </c>
    </row>
    <row r="59" spans="1:20" x14ac:dyDescent="0.25">
      <c r="A59" s="71"/>
      <c r="B59" s="12"/>
      <c r="C59" s="145" t="s">
        <v>119</v>
      </c>
      <c r="D59" s="149">
        <f>SUM(D49,D51)</f>
        <v>7.92</v>
      </c>
      <c r="E59" s="165">
        <f>SUM(E49,E51)</f>
        <v>54.949999999999996</v>
      </c>
      <c r="F59" s="149">
        <f>SUM(F49,F51)</f>
        <v>44.63</v>
      </c>
      <c r="G59" s="171">
        <f t="shared" si="12"/>
        <v>10.319999999999993</v>
      </c>
      <c r="H59" s="70">
        <f>SUM(H49,H51)</f>
        <v>41</v>
      </c>
      <c r="I59" s="268">
        <f>SUM(I49,I51)</f>
        <v>50.95</v>
      </c>
      <c r="J59" s="329"/>
      <c r="K59" s="70">
        <f>H59-I59</f>
        <v>-9.9500000000000028</v>
      </c>
      <c r="L59" s="284">
        <f t="shared" si="13"/>
        <v>0.19528949950932292</v>
      </c>
    </row>
    <row r="60" spans="1:20" ht="15.75" thickBot="1" x14ac:dyDescent="0.3">
      <c r="A60" s="71"/>
      <c r="B60" s="69"/>
      <c r="C60" s="150" t="s">
        <v>117</v>
      </c>
      <c r="D60" s="183">
        <f>SUM(D52:D57)</f>
        <v>21.75</v>
      </c>
      <c r="E60" s="188" t="e">
        <f>SUM(E52:E55,#REF!)</f>
        <v>#REF!</v>
      </c>
      <c r="F60" s="183">
        <f>SUM(F52:F57)</f>
        <v>81.790000000000006</v>
      </c>
      <c r="G60" s="169" t="e">
        <f t="shared" si="12"/>
        <v>#REF!</v>
      </c>
      <c r="H60" s="70">
        <f>SUM(H52:H57)</f>
        <v>78</v>
      </c>
      <c r="I60" s="268">
        <f>SUM(I52:I57)</f>
        <v>99.92</v>
      </c>
      <c r="J60" s="329"/>
      <c r="K60" s="70">
        <f>H60-I60</f>
        <v>-21.92</v>
      </c>
      <c r="L60" s="284">
        <f t="shared" si="13"/>
        <v>0.21937550040032028</v>
      </c>
    </row>
    <row r="61" spans="1:20" ht="15.75" thickTop="1" x14ac:dyDescent="0.25">
      <c r="A61" s="71"/>
      <c r="B61" s="69"/>
      <c r="C61" s="146" t="s">
        <v>9</v>
      </c>
      <c r="D61" s="186">
        <f>SUM(D58:D60)</f>
        <v>31.560000000000002</v>
      </c>
      <c r="E61" s="165" t="e">
        <f>SUM(E58:E60)</f>
        <v>#REF!</v>
      </c>
      <c r="F61" s="149">
        <f>SUM(F58:F60)</f>
        <v>167.48000000000002</v>
      </c>
      <c r="G61" s="171" t="e">
        <f t="shared" si="12"/>
        <v>#REF!</v>
      </c>
      <c r="H61" s="70">
        <f>SUM(H58:H60)</f>
        <v>153</v>
      </c>
      <c r="I61" s="312">
        <f>SUM(I58:I60)</f>
        <v>183.86</v>
      </c>
      <c r="J61" s="329"/>
      <c r="K61" s="70">
        <f>H61-I61</f>
        <v>-30.860000000000014</v>
      </c>
      <c r="L61" s="284">
        <f t="shared" si="13"/>
        <v>0.16784509953225285</v>
      </c>
    </row>
    <row r="62" spans="1:20" x14ac:dyDescent="0.25">
      <c r="A62" s="3" t="s">
        <v>19</v>
      </c>
      <c r="B62" s="4" t="s">
        <v>3</v>
      </c>
      <c r="C62" s="4" t="s">
        <v>194</v>
      </c>
      <c r="D62" s="37"/>
      <c r="E62" s="99"/>
      <c r="F62" s="83"/>
      <c r="G62" s="116"/>
      <c r="H62" s="70"/>
      <c r="J62" s="329"/>
      <c r="K62" s="70"/>
      <c r="L62" s="302"/>
      <c r="M62" s="268">
        <v>26.3</v>
      </c>
      <c r="N62">
        <v>3.76</v>
      </c>
      <c r="O62" s="268">
        <v>6</v>
      </c>
      <c r="P62">
        <v>256.64999999999998</v>
      </c>
      <c r="Q62" s="268">
        <v>1538.9</v>
      </c>
      <c r="T62" t="s">
        <v>193</v>
      </c>
    </row>
    <row r="63" spans="1:20" x14ac:dyDescent="0.25">
      <c r="A63" s="71"/>
      <c r="B63" s="9" t="s">
        <v>3</v>
      </c>
      <c r="C63" s="9" t="s">
        <v>195</v>
      </c>
      <c r="D63" s="39">
        <v>4.43</v>
      </c>
      <c r="E63" s="126">
        <v>7.02</v>
      </c>
      <c r="F63" s="95">
        <v>12.88</v>
      </c>
      <c r="G63" s="171">
        <f>E63-F63</f>
        <v>-5.8600000000000012</v>
      </c>
      <c r="H63" s="288">
        <v>15</v>
      </c>
      <c r="I63" s="282">
        <v>18.329999999999998</v>
      </c>
      <c r="J63" s="329">
        <f t="shared" si="3"/>
        <v>4.1376975169300225</v>
      </c>
      <c r="K63" s="70">
        <f>H63-I63</f>
        <v>-3.3299999999999983</v>
      </c>
      <c r="L63" s="284">
        <f>(ABS(H63-I63))/I63</f>
        <v>0.18166939443535179</v>
      </c>
      <c r="M63" s="268">
        <v>29.1</v>
      </c>
      <c r="N63">
        <v>3.78</v>
      </c>
      <c r="O63" s="268">
        <v>7.4</v>
      </c>
      <c r="P63">
        <v>280.98</v>
      </c>
      <c r="Q63" s="268">
        <v>1538.9</v>
      </c>
      <c r="R63">
        <v>4.21</v>
      </c>
      <c r="S63" s="268">
        <v>62.2</v>
      </c>
    </row>
    <row r="64" spans="1:20" x14ac:dyDescent="0.25">
      <c r="A64" s="3" t="s">
        <v>21</v>
      </c>
      <c r="B64" s="15"/>
      <c r="C64" s="3"/>
      <c r="D64" s="37"/>
      <c r="E64" s="99"/>
      <c r="F64" s="83"/>
      <c r="G64" s="118"/>
      <c r="H64" s="70"/>
      <c r="J64" s="329"/>
      <c r="K64" s="70"/>
      <c r="L64" s="302"/>
    </row>
    <row r="65" spans="1:20" x14ac:dyDescent="0.25">
      <c r="A65" s="71"/>
      <c r="B65" s="9" t="s">
        <v>3</v>
      </c>
      <c r="C65" s="9" t="s">
        <v>44</v>
      </c>
      <c r="D65" s="39">
        <v>3.55</v>
      </c>
      <c r="E65" s="126">
        <v>13.77</v>
      </c>
      <c r="F65" s="95">
        <v>22</v>
      </c>
      <c r="G65" s="126">
        <f>E65-F65</f>
        <v>-8.23</v>
      </c>
      <c r="H65" s="286">
        <v>21.8</v>
      </c>
      <c r="I65" s="282">
        <v>18.940000000000001</v>
      </c>
      <c r="J65" s="329">
        <f t="shared" si="3"/>
        <v>5.3352112676056347</v>
      </c>
      <c r="K65" s="70">
        <f t="shared" ref="K65:K71" si="14">H65-I65</f>
        <v>2.8599999999999994</v>
      </c>
      <c r="L65" s="284">
        <f t="shared" ref="L65:L71" si="15">(ABS(H65-I65))/I65</f>
        <v>0.15100316789862719</v>
      </c>
      <c r="M65" s="268">
        <v>23.4</v>
      </c>
      <c r="N65">
        <v>3.42</v>
      </c>
      <c r="O65" s="268">
        <v>6.5</v>
      </c>
      <c r="P65">
        <v>176.46</v>
      </c>
      <c r="Q65" s="268">
        <v>1493.4</v>
      </c>
      <c r="R65">
        <v>6.98</v>
      </c>
      <c r="S65" s="268">
        <v>47.45</v>
      </c>
      <c r="T65" t="s">
        <v>186</v>
      </c>
    </row>
    <row r="66" spans="1:20" x14ac:dyDescent="0.25">
      <c r="A66" s="71"/>
      <c r="B66" s="9" t="s">
        <v>86</v>
      </c>
      <c r="C66" s="9" t="s">
        <v>45</v>
      </c>
      <c r="D66" s="39">
        <v>1.9</v>
      </c>
      <c r="E66" s="126">
        <v>7.47</v>
      </c>
      <c r="F66" s="95">
        <v>8.77</v>
      </c>
      <c r="G66" s="126">
        <f t="shared" ref="G66:G71" si="16">E66-F66</f>
        <v>-1.2999999999999998</v>
      </c>
      <c r="H66" s="234">
        <v>11.8</v>
      </c>
      <c r="I66" s="282">
        <v>8.73</v>
      </c>
      <c r="J66" s="329">
        <f t="shared" si="3"/>
        <v>4.5947368421052639</v>
      </c>
      <c r="K66" s="70">
        <f t="shared" si="14"/>
        <v>3.0700000000000003</v>
      </c>
      <c r="L66" s="284">
        <f t="shared" si="15"/>
        <v>0.3516609392898053</v>
      </c>
      <c r="M66" s="268">
        <v>18.8</v>
      </c>
      <c r="N66">
        <v>3.13</v>
      </c>
      <c r="O66" s="268">
        <v>6.8</v>
      </c>
      <c r="P66">
        <v>232.85</v>
      </c>
      <c r="Q66" s="268">
        <v>1429.5</v>
      </c>
      <c r="R66">
        <v>3.9</v>
      </c>
      <c r="S66" s="268">
        <v>58.51</v>
      </c>
      <c r="T66" t="s">
        <v>189</v>
      </c>
    </row>
    <row r="67" spans="1:20" x14ac:dyDescent="0.25">
      <c r="A67" s="71"/>
      <c r="B67" s="18" t="s">
        <v>7</v>
      </c>
      <c r="C67" s="18" t="s">
        <v>92</v>
      </c>
      <c r="D67" s="129">
        <v>9.1</v>
      </c>
      <c r="E67" s="140">
        <v>40.96</v>
      </c>
      <c r="F67" s="97">
        <v>34.729999999999997</v>
      </c>
      <c r="G67" s="126">
        <f t="shared" si="16"/>
        <v>6.230000000000004</v>
      </c>
      <c r="H67" s="290">
        <v>35</v>
      </c>
      <c r="I67" s="282">
        <v>51.36</v>
      </c>
      <c r="J67" s="329">
        <f t="shared" si="3"/>
        <v>5.6439560439560443</v>
      </c>
      <c r="K67" s="70">
        <f t="shared" si="14"/>
        <v>-16.36</v>
      </c>
      <c r="L67" s="284">
        <f t="shared" si="15"/>
        <v>0.31853582554517135</v>
      </c>
      <c r="M67" s="268">
        <v>23.83</v>
      </c>
      <c r="N67">
        <v>3.33</v>
      </c>
      <c r="O67" s="268">
        <v>7.6</v>
      </c>
      <c r="P67">
        <v>75.5</v>
      </c>
      <c r="Q67" s="268" t="s">
        <v>148</v>
      </c>
    </row>
    <row r="68" spans="1:20" x14ac:dyDescent="0.25">
      <c r="A68" s="71"/>
      <c r="B68" s="12"/>
      <c r="C68" s="151" t="s">
        <v>115</v>
      </c>
      <c r="D68" s="198">
        <v>3.55</v>
      </c>
      <c r="E68" s="187">
        <v>13.77</v>
      </c>
      <c r="F68" s="176">
        <v>22</v>
      </c>
      <c r="G68" s="161">
        <f t="shared" si="16"/>
        <v>-8.23</v>
      </c>
      <c r="H68" s="70">
        <f t="shared" ref="H68:I70" si="17">H65</f>
        <v>21.8</v>
      </c>
      <c r="I68" s="268">
        <f t="shared" si="17"/>
        <v>18.940000000000001</v>
      </c>
      <c r="J68" s="329"/>
      <c r="K68" s="70">
        <f t="shared" si="14"/>
        <v>2.8599999999999994</v>
      </c>
      <c r="L68" s="284">
        <f t="shared" si="15"/>
        <v>0.15100316789862719</v>
      </c>
    </row>
    <row r="69" spans="1:20" x14ac:dyDescent="0.25">
      <c r="A69" s="71"/>
      <c r="B69" s="12"/>
      <c r="C69" s="71" t="s">
        <v>119</v>
      </c>
      <c r="D69" s="199">
        <v>1.9</v>
      </c>
      <c r="E69" s="165">
        <v>7.47</v>
      </c>
      <c r="F69" s="149">
        <v>8.77</v>
      </c>
      <c r="G69" s="171">
        <f t="shared" si="16"/>
        <v>-1.2999999999999998</v>
      </c>
      <c r="H69" s="70">
        <f t="shared" si="17"/>
        <v>11.8</v>
      </c>
      <c r="I69" s="268">
        <f t="shared" si="17"/>
        <v>8.73</v>
      </c>
      <c r="J69" s="329"/>
      <c r="K69" s="70">
        <f t="shared" si="14"/>
        <v>3.0700000000000003</v>
      </c>
      <c r="L69" s="284">
        <f t="shared" si="15"/>
        <v>0.3516609392898053</v>
      </c>
    </row>
    <row r="70" spans="1:20" ht="15.75" thickBot="1" x14ac:dyDescent="0.3">
      <c r="A70" s="71"/>
      <c r="B70" s="69"/>
      <c r="C70" s="156" t="s">
        <v>117</v>
      </c>
      <c r="D70" s="200">
        <v>7</v>
      </c>
      <c r="E70" s="188">
        <v>40.96</v>
      </c>
      <c r="F70" s="183">
        <v>34.729999999999997</v>
      </c>
      <c r="G70" s="169">
        <f t="shared" si="16"/>
        <v>6.230000000000004</v>
      </c>
      <c r="H70" s="290">
        <f t="shared" si="17"/>
        <v>35</v>
      </c>
      <c r="I70" s="268">
        <f t="shared" si="17"/>
        <v>51.36</v>
      </c>
      <c r="J70" s="329"/>
      <c r="K70" s="70">
        <f t="shared" si="14"/>
        <v>-16.36</v>
      </c>
      <c r="L70" s="284">
        <f t="shared" si="15"/>
        <v>0.31853582554517135</v>
      </c>
    </row>
    <row r="71" spans="1:20" ht="15.75" thickTop="1" x14ac:dyDescent="0.25">
      <c r="A71" s="71"/>
      <c r="B71" s="9"/>
      <c r="C71" s="79" t="s">
        <v>118</v>
      </c>
      <c r="D71" s="186">
        <f>SUM(D68:D70)</f>
        <v>12.45</v>
      </c>
      <c r="E71" s="186">
        <f t="shared" ref="E71:F71" si="18">SUM(E68:E70)</f>
        <v>62.2</v>
      </c>
      <c r="F71" s="186">
        <f t="shared" si="18"/>
        <v>65.5</v>
      </c>
      <c r="G71" s="171">
        <f t="shared" si="16"/>
        <v>-3.2999999999999972</v>
      </c>
      <c r="H71" s="70">
        <f>SUM(H68:H69)</f>
        <v>33.6</v>
      </c>
      <c r="I71" s="268">
        <f>SUM(I68:I70)</f>
        <v>79.03</v>
      </c>
      <c r="J71" s="329"/>
      <c r="K71" s="70">
        <f t="shared" si="14"/>
        <v>-45.43</v>
      </c>
      <c r="L71" s="284">
        <f t="shared" si="15"/>
        <v>0.57484499557130198</v>
      </c>
    </row>
    <row r="72" spans="1:20" x14ac:dyDescent="0.25">
      <c r="A72" s="3" t="s">
        <v>23</v>
      </c>
      <c r="B72" s="15"/>
      <c r="C72" s="15"/>
      <c r="D72" s="42"/>
      <c r="E72" s="99"/>
      <c r="F72" s="83"/>
      <c r="G72" s="118"/>
      <c r="H72" s="70"/>
      <c r="J72" s="329"/>
      <c r="K72" s="70"/>
      <c r="L72" s="302"/>
    </row>
    <row r="73" spans="1:20" x14ac:dyDescent="0.25">
      <c r="A73" s="71"/>
      <c r="B73" s="18" t="s">
        <v>7</v>
      </c>
      <c r="C73" s="18" t="s">
        <v>42</v>
      </c>
      <c r="D73" s="129">
        <v>6</v>
      </c>
      <c r="E73" s="140">
        <v>16.170000000000002</v>
      </c>
      <c r="F73" s="97">
        <v>27.14</v>
      </c>
      <c r="G73" s="126">
        <f>E73-F73</f>
        <v>-10.969999999999999</v>
      </c>
      <c r="H73" s="290">
        <v>24</v>
      </c>
      <c r="I73" s="282">
        <v>32.29</v>
      </c>
      <c r="J73" s="329">
        <f t="shared" ref="J73:J132" si="19">I73/D73</f>
        <v>5.3816666666666668</v>
      </c>
      <c r="K73" s="70">
        <f t="shared" ref="K73:K79" si="20">H73-I73</f>
        <v>-8.2899999999999991</v>
      </c>
      <c r="L73" s="284">
        <f t="shared" ref="L73:L79" si="21">(ABS(H73-I73))/I73</f>
        <v>0.25673583152678847</v>
      </c>
      <c r="M73" s="268">
        <v>22.25</v>
      </c>
      <c r="N73">
        <v>3.51</v>
      </c>
      <c r="O73" s="268">
        <v>6.45</v>
      </c>
      <c r="P73">
        <v>339.93</v>
      </c>
      <c r="Q73" s="268">
        <v>1385.6</v>
      </c>
      <c r="T73" s="70" t="s">
        <v>187</v>
      </c>
    </row>
    <row r="74" spans="1:20" x14ac:dyDescent="0.25">
      <c r="A74" s="71"/>
      <c r="B74" s="18" t="s">
        <v>7</v>
      </c>
      <c r="C74" s="18" t="s">
        <v>46</v>
      </c>
      <c r="D74" s="129">
        <v>3.8</v>
      </c>
      <c r="E74" s="140">
        <v>11.46</v>
      </c>
      <c r="F74" s="97">
        <v>16.02</v>
      </c>
      <c r="G74" s="126">
        <f t="shared" ref="G74:G79" si="22">E74-F74</f>
        <v>-4.5599999999999987</v>
      </c>
      <c r="H74" s="290">
        <v>15</v>
      </c>
      <c r="I74" s="282">
        <v>19.010000000000002</v>
      </c>
      <c r="J74" s="329">
        <f t="shared" si="19"/>
        <v>5.0026315789473692</v>
      </c>
      <c r="K74" s="70">
        <f t="shared" si="20"/>
        <v>-4.0100000000000016</v>
      </c>
      <c r="L74" s="284">
        <f t="shared" si="21"/>
        <v>0.21094160967911632</v>
      </c>
      <c r="M74" s="268">
        <v>23.3</v>
      </c>
      <c r="N74">
        <v>3.62</v>
      </c>
      <c r="O74" s="268">
        <v>6.3</v>
      </c>
      <c r="P74">
        <v>341.21</v>
      </c>
      <c r="Q74" s="268">
        <v>1385.6</v>
      </c>
      <c r="T74" t="s">
        <v>187</v>
      </c>
    </row>
    <row r="75" spans="1:20" x14ac:dyDescent="0.25">
      <c r="A75" s="71"/>
      <c r="B75" s="18" t="s">
        <v>7</v>
      </c>
      <c r="C75" s="18" t="s">
        <v>47</v>
      </c>
      <c r="D75" s="129">
        <v>2.5</v>
      </c>
      <c r="E75" s="140">
        <v>8.6</v>
      </c>
      <c r="F75" s="97">
        <v>11.9</v>
      </c>
      <c r="G75" s="126">
        <f t="shared" si="22"/>
        <v>-3.3000000000000007</v>
      </c>
      <c r="H75" s="290">
        <v>10</v>
      </c>
      <c r="I75" s="282">
        <v>17.97</v>
      </c>
      <c r="J75" s="329">
        <f t="shared" si="19"/>
        <v>7.1879999999999997</v>
      </c>
      <c r="K75" s="70">
        <f t="shared" si="20"/>
        <v>-7.9699999999999989</v>
      </c>
      <c r="L75" s="284">
        <f t="shared" si="21"/>
        <v>0.44351697273233165</v>
      </c>
      <c r="M75" s="268">
        <v>22.9</v>
      </c>
      <c r="N75">
        <v>3.47</v>
      </c>
      <c r="O75" s="268">
        <v>7.07</v>
      </c>
      <c r="P75">
        <v>303.19</v>
      </c>
      <c r="Q75" s="268">
        <v>1385.6</v>
      </c>
      <c r="T75" s="70" t="s">
        <v>187</v>
      </c>
    </row>
    <row r="76" spans="1:20" x14ac:dyDescent="0.25">
      <c r="A76" s="71"/>
      <c r="B76" s="18" t="s">
        <v>7</v>
      </c>
      <c r="C76" s="18" t="s">
        <v>91</v>
      </c>
      <c r="D76" s="129">
        <v>1.75</v>
      </c>
      <c r="E76" s="140">
        <v>4.2300000000000004</v>
      </c>
      <c r="F76" s="97">
        <v>7.49</v>
      </c>
      <c r="G76" s="126">
        <f t="shared" si="22"/>
        <v>-3.26</v>
      </c>
      <c r="H76" s="290">
        <v>5</v>
      </c>
      <c r="I76" s="282">
        <v>7.68</v>
      </c>
      <c r="J76" s="329">
        <f t="shared" si="19"/>
        <v>4.3885714285714288</v>
      </c>
      <c r="K76" s="70">
        <f t="shared" si="20"/>
        <v>-2.6799999999999997</v>
      </c>
      <c r="L76" s="284">
        <f t="shared" si="21"/>
        <v>0.34895833333333331</v>
      </c>
      <c r="M76" s="268">
        <v>23.7</v>
      </c>
      <c r="N76">
        <v>3.41</v>
      </c>
      <c r="O76" s="268">
        <v>8.8000000000000007</v>
      </c>
      <c r="Q76" s="268">
        <v>1397.8</v>
      </c>
      <c r="T76" s="70" t="s">
        <v>187</v>
      </c>
    </row>
    <row r="77" spans="1:20" x14ac:dyDescent="0.25">
      <c r="A77" s="71"/>
      <c r="B77" s="18" t="s">
        <v>7</v>
      </c>
      <c r="C77" s="201" t="s">
        <v>79</v>
      </c>
      <c r="D77" s="202">
        <v>5</v>
      </c>
      <c r="E77" s="206">
        <v>30.25</v>
      </c>
      <c r="F77" s="207">
        <v>30.74</v>
      </c>
      <c r="G77" s="126">
        <f t="shared" si="22"/>
        <v>-0.48999999999999844</v>
      </c>
      <c r="H77" s="290">
        <v>25</v>
      </c>
      <c r="I77" s="282">
        <v>32.56</v>
      </c>
      <c r="J77" s="329">
        <f t="shared" si="19"/>
        <v>6.5120000000000005</v>
      </c>
      <c r="K77" s="70">
        <f t="shared" si="20"/>
        <v>-7.5600000000000023</v>
      </c>
      <c r="L77" s="284">
        <f t="shared" si="21"/>
        <v>0.23218673218673225</v>
      </c>
      <c r="M77" s="268">
        <v>22.77</v>
      </c>
      <c r="N77">
        <v>3.69</v>
      </c>
      <c r="O77" s="268">
        <v>6.63</v>
      </c>
      <c r="P77">
        <v>341</v>
      </c>
      <c r="Q77" s="268">
        <v>1469</v>
      </c>
      <c r="T77" t="s">
        <v>192</v>
      </c>
    </row>
    <row r="78" spans="1:20" ht="15.75" thickBot="1" x14ac:dyDescent="0.3">
      <c r="A78" s="71"/>
      <c r="B78" s="69"/>
      <c r="C78" s="211" t="s">
        <v>117</v>
      </c>
      <c r="D78" s="183">
        <f>SUM(D73:D77)</f>
        <v>19.05</v>
      </c>
      <c r="E78" s="188">
        <f>SUM(E73:E76,E77)</f>
        <v>70.710000000000008</v>
      </c>
      <c r="F78" s="183">
        <f>SUM(F73:F77)</f>
        <v>93.289999999999992</v>
      </c>
      <c r="G78" s="169">
        <f t="shared" si="22"/>
        <v>-22.579999999999984</v>
      </c>
      <c r="H78" s="70">
        <f>SUM(H73:H77)</f>
        <v>79</v>
      </c>
      <c r="I78" s="268">
        <f>SUM(I73:I77)</f>
        <v>109.50999999999999</v>
      </c>
      <c r="J78" s="329"/>
      <c r="K78" s="70">
        <f t="shared" si="20"/>
        <v>-30.509999999999991</v>
      </c>
      <c r="L78" s="284">
        <f t="shared" si="21"/>
        <v>0.2786046936352844</v>
      </c>
    </row>
    <row r="79" spans="1:20" ht="15.75" thickTop="1" x14ac:dyDescent="0.25">
      <c r="A79" s="71"/>
      <c r="B79" s="69"/>
      <c r="C79" s="212" t="s">
        <v>118</v>
      </c>
      <c r="D79" s="186">
        <v>28.79</v>
      </c>
      <c r="E79" s="165">
        <v>70.709999999999994</v>
      </c>
      <c r="F79" s="149">
        <v>105.9</v>
      </c>
      <c r="G79" s="171">
        <f t="shared" si="22"/>
        <v>-35.190000000000012</v>
      </c>
      <c r="H79" s="70">
        <f>SUM(H78:H78)</f>
        <v>79</v>
      </c>
      <c r="I79" s="268">
        <f>SUM(I78:I78)</f>
        <v>109.50999999999999</v>
      </c>
      <c r="J79" s="329"/>
      <c r="K79" s="70">
        <f t="shared" si="20"/>
        <v>-30.509999999999991</v>
      </c>
      <c r="L79" s="284">
        <f t="shared" si="21"/>
        <v>0.2786046936352844</v>
      </c>
    </row>
    <row r="80" spans="1:20" x14ac:dyDescent="0.25">
      <c r="A80" s="3" t="s">
        <v>48</v>
      </c>
      <c r="B80" s="15"/>
      <c r="C80" s="3"/>
      <c r="D80" s="37"/>
      <c r="E80" s="99"/>
      <c r="F80" s="83"/>
      <c r="G80" s="118"/>
      <c r="H80" s="70"/>
      <c r="J80" s="329"/>
      <c r="K80" s="70"/>
      <c r="L80" s="302"/>
    </row>
    <row r="81" spans="1:20" x14ac:dyDescent="0.25">
      <c r="A81" s="71"/>
      <c r="B81" s="9" t="s">
        <v>3</v>
      </c>
      <c r="C81" s="9" t="s">
        <v>49</v>
      </c>
      <c r="D81" s="39">
        <v>5.07</v>
      </c>
      <c r="E81" s="126">
        <v>21.98</v>
      </c>
      <c r="F81" s="95">
        <v>16.75</v>
      </c>
      <c r="G81" s="126">
        <f>E81-F81</f>
        <v>5.23</v>
      </c>
      <c r="H81" s="288">
        <v>25</v>
      </c>
      <c r="I81" s="282">
        <v>30.52</v>
      </c>
      <c r="J81" s="329">
        <f t="shared" si="19"/>
        <v>6.0197238658777117</v>
      </c>
      <c r="K81" s="70">
        <f t="shared" ref="K81:K89" si="23">H81-I81</f>
        <v>-5.52</v>
      </c>
      <c r="L81" s="284">
        <f t="shared" ref="L81:L89" si="24">(ABS(H81-I81))/I81</f>
        <v>0.18086500655307994</v>
      </c>
      <c r="M81" s="268">
        <v>23.47</v>
      </c>
      <c r="N81">
        <v>3.23</v>
      </c>
      <c r="O81" s="268">
        <v>9.07</v>
      </c>
      <c r="P81">
        <v>221.63</v>
      </c>
      <c r="Q81" s="268">
        <v>1526.8</v>
      </c>
      <c r="R81">
        <v>6.96</v>
      </c>
      <c r="S81" s="268">
        <v>58.96</v>
      </c>
      <c r="T81" t="s">
        <v>193</v>
      </c>
    </row>
    <row r="82" spans="1:20" x14ac:dyDescent="0.25">
      <c r="A82" s="71"/>
      <c r="B82" s="9" t="s">
        <v>86</v>
      </c>
      <c r="C82" s="9" t="s">
        <v>50</v>
      </c>
      <c r="D82" s="39">
        <v>1.23</v>
      </c>
      <c r="E82" s="126">
        <v>6.64</v>
      </c>
      <c r="F82" s="95">
        <v>5.35</v>
      </c>
      <c r="G82" s="126">
        <f t="shared" ref="G82:G94" si="25">E82-F82</f>
        <v>1.29</v>
      </c>
      <c r="H82" s="286">
        <v>4.8</v>
      </c>
      <c r="J82" s="329"/>
      <c r="K82" s="70">
        <f t="shared" si="23"/>
        <v>4.8</v>
      </c>
      <c r="L82" s="284" t="e">
        <f t="shared" si="24"/>
        <v>#DIV/0!</v>
      </c>
      <c r="M82" s="268">
        <v>24.4</v>
      </c>
      <c r="N82" s="70">
        <v>3.28</v>
      </c>
      <c r="O82" s="268">
        <v>8.1300000000000008</v>
      </c>
      <c r="P82">
        <v>182.76</v>
      </c>
      <c r="Q82" s="268">
        <v>1531.6</v>
      </c>
      <c r="R82">
        <v>5.7</v>
      </c>
      <c r="S82" s="268">
        <v>29</v>
      </c>
      <c r="T82" t="s">
        <v>189</v>
      </c>
    </row>
    <row r="83" spans="1:20" x14ac:dyDescent="0.25">
      <c r="A83" s="71"/>
      <c r="B83" s="9" t="s">
        <v>86</v>
      </c>
      <c r="C83" s="9" t="s">
        <v>51</v>
      </c>
      <c r="D83" s="39">
        <v>1.58</v>
      </c>
      <c r="E83" s="126">
        <v>7.57</v>
      </c>
      <c r="F83" s="95">
        <v>4.91</v>
      </c>
      <c r="G83" s="126">
        <f t="shared" si="25"/>
        <v>2.66</v>
      </c>
      <c r="H83" s="286">
        <v>3.6</v>
      </c>
      <c r="J83" s="329"/>
      <c r="K83" s="70">
        <f t="shared" si="23"/>
        <v>3.6</v>
      </c>
      <c r="L83" s="284" t="e">
        <f t="shared" si="24"/>
        <v>#DIV/0!</v>
      </c>
      <c r="M83" s="268">
        <v>24.4</v>
      </c>
      <c r="N83" s="70">
        <v>3.28</v>
      </c>
      <c r="O83" s="268">
        <v>8.1300000000000008</v>
      </c>
      <c r="P83" s="70">
        <v>182.76</v>
      </c>
      <c r="Q83" s="268">
        <v>1531.6</v>
      </c>
      <c r="R83">
        <v>3.59</v>
      </c>
      <c r="S83" s="268">
        <v>25.6</v>
      </c>
      <c r="T83" s="70" t="s">
        <v>189</v>
      </c>
    </row>
    <row r="84" spans="1:20" x14ac:dyDescent="0.25">
      <c r="A84" s="71"/>
      <c r="B84" s="9" t="s">
        <v>86</v>
      </c>
      <c r="C84" s="9" t="s">
        <v>11</v>
      </c>
      <c r="D84" s="39">
        <v>0.21</v>
      </c>
      <c r="E84" s="126">
        <v>1.69</v>
      </c>
      <c r="F84" s="95">
        <v>0.92</v>
      </c>
      <c r="G84" s="126">
        <f t="shared" si="25"/>
        <v>0.76999999999999991</v>
      </c>
      <c r="H84" s="286">
        <v>0.9</v>
      </c>
      <c r="J84" s="329"/>
      <c r="K84" s="70">
        <f t="shared" si="23"/>
        <v>0.9</v>
      </c>
      <c r="L84" s="284" t="e">
        <f t="shared" si="24"/>
        <v>#DIV/0!</v>
      </c>
      <c r="M84" s="268">
        <v>24.4</v>
      </c>
      <c r="N84" s="70">
        <v>3.28</v>
      </c>
      <c r="O84" s="268">
        <v>8.1300000000000008</v>
      </c>
      <c r="P84" s="70">
        <v>182.76</v>
      </c>
      <c r="Q84" s="268">
        <v>1531.6</v>
      </c>
      <c r="T84" s="70" t="s">
        <v>189</v>
      </c>
    </row>
    <row r="85" spans="1:20" x14ac:dyDescent="0.25">
      <c r="A85" s="1"/>
      <c r="B85" s="9" t="s">
        <v>86</v>
      </c>
      <c r="C85" s="9" t="s">
        <v>52</v>
      </c>
      <c r="D85" s="39">
        <v>0.68</v>
      </c>
      <c r="E85" s="126">
        <v>2.8</v>
      </c>
      <c r="F85" s="95">
        <v>0.75</v>
      </c>
      <c r="G85" s="126">
        <f t="shared" si="25"/>
        <v>2.0499999999999998</v>
      </c>
      <c r="H85" s="286">
        <v>2.5</v>
      </c>
      <c r="J85" s="329"/>
      <c r="K85" s="70">
        <f t="shared" si="23"/>
        <v>2.5</v>
      </c>
      <c r="L85" s="284" t="e">
        <f t="shared" si="24"/>
        <v>#DIV/0!</v>
      </c>
      <c r="M85" s="268">
        <v>24.4</v>
      </c>
      <c r="N85" s="70">
        <v>3.28</v>
      </c>
      <c r="O85" s="268">
        <v>8.1300000000000008</v>
      </c>
      <c r="P85" s="70">
        <v>182.76</v>
      </c>
      <c r="Q85" s="268">
        <v>1531.6</v>
      </c>
      <c r="R85">
        <v>4.33</v>
      </c>
      <c r="S85" s="268">
        <v>35.479999999999997</v>
      </c>
      <c r="T85" s="70" t="s">
        <v>189</v>
      </c>
    </row>
    <row r="86" spans="1:20" x14ac:dyDescent="0.25">
      <c r="A86" s="71"/>
      <c r="B86" s="9" t="s">
        <v>86</v>
      </c>
      <c r="C86" s="9" t="s">
        <v>53</v>
      </c>
      <c r="D86" s="39">
        <v>0.74</v>
      </c>
      <c r="E86" s="126">
        <v>4.0599999999999996</v>
      </c>
      <c r="F86" s="95">
        <v>6.08</v>
      </c>
      <c r="G86" s="126">
        <f t="shared" si="25"/>
        <v>-2.0200000000000005</v>
      </c>
      <c r="H86" s="286">
        <v>6.2</v>
      </c>
      <c r="J86" s="329"/>
      <c r="K86" s="70">
        <f t="shared" si="23"/>
        <v>6.2</v>
      </c>
      <c r="L86" s="284" t="e">
        <f t="shared" si="24"/>
        <v>#DIV/0!</v>
      </c>
      <c r="M86" s="268">
        <v>24.4</v>
      </c>
      <c r="N86" s="70">
        <v>3.28</v>
      </c>
      <c r="O86" s="268">
        <v>8.1300000000000008</v>
      </c>
      <c r="P86" s="70">
        <v>182.76</v>
      </c>
      <c r="Q86" s="268">
        <v>1531.6</v>
      </c>
      <c r="R86">
        <v>6.81</v>
      </c>
      <c r="S86" s="268">
        <v>52.62</v>
      </c>
      <c r="T86" s="70" t="s">
        <v>189</v>
      </c>
    </row>
    <row r="87" spans="1:20" x14ac:dyDescent="0.25">
      <c r="A87" s="71"/>
      <c r="B87" s="9" t="s">
        <v>86</v>
      </c>
      <c r="C87" s="9" t="s">
        <v>54</v>
      </c>
      <c r="D87" s="39">
        <v>1.1299999999999999</v>
      </c>
      <c r="E87" s="126">
        <v>6.08</v>
      </c>
      <c r="F87" s="142">
        <v>4.6900000000000004</v>
      </c>
      <c r="G87" s="126">
        <f t="shared" si="25"/>
        <v>1.3899999999999997</v>
      </c>
      <c r="H87" s="234">
        <v>4.4000000000000004</v>
      </c>
      <c r="J87" s="329"/>
      <c r="K87" s="70">
        <f t="shared" si="23"/>
        <v>4.4000000000000004</v>
      </c>
      <c r="L87" s="284" t="e">
        <f t="shared" si="24"/>
        <v>#DIV/0!</v>
      </c>
      <c r="M87" s="268">
        <v>24.4</v>
      </c>
      <c r="N87" s="70">
        <v>3.28</v>
      </c>
      <c r="O87" s="268">
        <v>8.1300000000000008</v>
      </c>
      <c r="P87" s="70">
        <v>182.76</v>
      </c>
      <c r="Q87" s="268">
        <v>1531.6</v>
      </c>
      <c r="T87" s="70" t="s">
        <v>189</v>
      </c>
    </row>
    <row r="88" spans="1:20" s="70" customFormat="1" x14ac:dyDescent="0.25">
      <c r="A88" s="71"/>
      <c r="B88" s="72" t="s">
        <v>86</v>
      </c>
      <c r="C88" s="72" t="s">
        <v>163</v>
      </c>
      <c r="D88" s="39">
        <v>5.57</v>
      </c>
      <c r="E88" s="126"/>
      <c r="F88" s="142"/>
      <c r="G88" s="126"/>
      <c r="H88" s="286">
        <v>22.4</v>
      </c>
      <c r="I88" s="282">
        <v>30.35</v>
      </c>
      <c r="J88" s="329">
        <f t="shared" si="19"/>
        <v>5.4488330341113107</v>
      </c>
      <c r="K88" s="70">
        <f>SUM(K82:K87)</f>
        <v>22.4</v>
      </c>
      <c r="L88" s="284">
        <f t="shared" si="24"/>
        <v>0.26194398682042841</v>
      </c>
      <c r="M88" s="268"/>
      <c r="O88" s="268"/>
      <c r="P88" s="70">
        <v>182.76</v>
      </c>
      <c r="Q88" s="268">
        <v>1531.6</v>
      </c>
      <c r="S88" s="268"/>
      <c r="T88" s="70" t="s">
        <v>189</v>
      </c>
    </row>
    <row r="89" spans="1:20" x14ac:dyDescent="0.25">
      <c r="A89" s="71"/>
      <c r="B89" s="9" t="s">
        <v>89</v>
      </c>
      <c r="C89" s="9" t="s">
        <v>55</v>
      </c>
      <c r="D89" s="39">
        <v>6.15</v>
      </c>
      <c r="E89" s="126">
        <v>28.64</v>
      </c>
      <c r="F89" s="95">
        <v>18.73</v>
      </c>
      <c r="G89" s="126">
        <f t="shared" si="25"/>
        <v>9.91</v>
      </c>
      <c r="H89" s="288">
        <v>31.5</v>
      </c>
      <c r="I89" s="282">
        <v>37.21</v>
      </c>
      <c r="J89" s="329">
        <f t="shared" si="19"/>
        <v>6.0504065040650401</v>
      </c>
      <c r="K89" s="70">
        <f t="shared" si="23"/>
        <v>-5.7100000000000009</v>
      </c>
      <c r="L89" s="284">
        <f t="shared" si="24"/>
        <v>0.15345337274926096</v>
      </c>
      <c r="M89" s="268">
        <v>21.5</v>
      </c>
      <c r="N89">
        <v>3.18</v>
      </c>
      <c r="O89" s="268">
        <v>8.5</v>
      </c>
      <c r="P89">
        <v>141.58000000000001</v>
      </c>
      <c r="Q89" s="268">
        <v>1484.8</v>
      </c>
      <c r="T89" s="70" t="s">
        <v>192</v>
      </c>
    </row>
    <row r="90" spans="1:20" x14ac:dyDescent="0.25">
      <c r="A90" s="71"/>
      <c r="B90" s="72" t="s">
        <v>139</v>
      </c>
      <c r="C90" s="72" t="s">
        <v>5</v>
      </c>
      <c r="D90" s="219" t="s">
        <v>109</v>
      </c>
      <c r="E90" s="126">
        <v>5.67</v>
      </c>
      <c r="F90" s="95">
        <v>16.98</v>
      </c>
      <c r="G90" s="126">
        <f t="shared" si="25"/>
        <v>-11.31</v>
      </c>
      <c r="H90" s="234">
        <v>0</v>
      </c>
      <c r="J90" s="329"/>
      <c r="K90" s="70"/>
      <c r="L90" s="302"/>
    </row>
    <row r="91" spans="1:20" x14ac:dyDescent="0.25">
      <c r="A91" s="71"/>
      <c r="B91" s="12"/>
      <c r="C91" s="151" t="s">
        <v>115</v>
      </c>
      <c r="D91" s="176">
        <v>5.07</v>
      </c>
      <c r="E91" s="187">
        <v>21.98</v>
      </c>
      <c r="F91" s="176">
        <v>16.75</v>
      </c>
      <c r="G91" s="161">
        <f t="shared" si="25"/>
        <v>5.23</v>
      </c>
      <c r="H91" s="70">
        <f>SUM(H81)</f>
        <v>25</v>
      </c>
      <c r="I91" s="268">
        <f>SUM(I81)</f>
        <v>30.52</v>
      </c>
      <c r="J91" s="329"/>
      <c r="K91" s="70">
        <f>H91-I91</f>
        <v>-5.52</v>
      </c>
      <c r="L91" s="284">
        <f>(ABS(H91-I91))/I91</f>
        <v>0.18086500655307994</v>
      </c>
    </row>
    <row r="92" spans="1:20" x14ac:dyDescent="0.25">
      <c r="A92" s="71"/>
      <c r="B92" s="12"/>
      <c r="C92" s="71" t="s">
        <v>119</v>
      </c>
      <c r="D92" s="149">
        <f>SUM(D82:D89)</f>
        <v>17.29</v>
      </c>
      <c r="E92" s="165">
        <f>SUM(E82:E86,E89:E90)</f>
        <v>57.07</v>
      </c>
      <c r="F92" s="149">
        <f>SUM(F82:F86,F89:F90)</f>
        <v>53.72</v>
      </c>
      <c r="G92" s="171">
        <f t="shared" si="25"/>
        <v>3.3500000000000014</v>
      </c>
      <c r="H92" s="70">
        <f>SUM(H88:H90)</f>
        <v>53.9</v>
      </c>
      <c r="I92" s="268">
        <f>SUM(I82:I90)</f>
        <v>67.56</v>
      </c>
      <c r="J92" s="329"/>
      <c r="K92" s="70">
        <f>H92-I92</f>
        <v>-13.660000000000004</v>
      </c>
      <c r="L92" s="284">
        <f>(ABS(H92-I92))/I92</f>
        <v>0.20219064535227951</v>
      </c>
    </row>
    <row r="93" spans="1:20" ht="15.75" thickBot="1" x14ac:dyDescent="0.3">
      <c r="A93" s="71"/>
      <c r="B93" s="69"/>
      <c r="C93" s="156" t="s">
        <v>117</v>
      </c>
      <c r="D93" s="183" t="s">
        <v>109</v>
      </c>
      <c r="E93" s="188">
        <v>0</v>
      </c>
      <c r="F93" s="183">
        <v>0</v>
      </c>
      <c r="G93" s="169">
        <v>0</v>
      </c>
      <c r="H93" s="70">
        <v>0</v>
      </c>
      <c r="I93" s="268">
        <v>0</v>
      </c>
      <c r="J93" s="329"/>
      <c r="K93" s="70"/>
      <c r="L93" s="284"/>
    </row>
    <row r="94" spans="1:20" ht="15.75" thickTop="1" x14ac:dyDescent="0.25">
      <c r="A94" s="71"/>
      <c r="B94" s="69"/>
      <c r="C94" s="79" t="s">
        <v>118</v>
      </c>
      <c r="D94" s="186">
        <f>SUM(D91,D92)</f>
        <v>22.36</v>
      </c>
      <c r="E94" s="165">
        <f>SUM(E91,E92)</f>
        <v>79.05</v>
      </c>
      <c r="F94" s="149">
        <f>SUM(F91,F92)</f>
        <v>70.47</v>
      </c>
      <c r="G94" s="171">
        <f t="shared" si="25"/>
        <v>8.5799999999999983</v>
      </c>
      <c r="H94" s="70">
        <f>SUM(H91:H93)</f>
        <v>78.900000000000006</v>
      </c>
      <c r="I94" s="268">
        <f>SUM(I91:I93)</f>
        <v>98.08</v>
      </c>
      <c r="J94" s="329"/>
      <c r="K94" s="70">
        <f>H94-I94</f>
        <v>-19.179999999999993</v>
      </c>
      <c r="L94" s="284">
        <f>(ABS(H94-I94))/I94</f>
        <v>0.19555464926590532</v>
      </c>
    </row>
    <row r="95" spans="1:20" x14ac:dyDescent="0.25">
      <c r="A95" s="3" t="s">
        <v>25</v>
      </c>
      <c r="B95" s="15"/>
      <c r="C95" s="3"/>
      <c r="D95" s="37"/>
      <c r="E95" s="99"/>
      <c r="F95" s="83"/>
      <c r="G95" s="116"/>
      <c r="H95" s="70"/>
      <c r="J95" s="329"/>
      <c r="K95" s="70"/>
      <c r="L95" s="302"/>
    </row>
    <row r="96" spans="1:20" s="255" customFormat="1" x14ac:dyDescent="0.25">
      <c r="A96" s="44"/>
      <c r="B96" s="123" t="s">
        <v>3</v>
      </c>
      <c r="C96" s="123" t="s">
        <v>56</v>
      </c>
      <c r="D96" s="214">
        <v>1.49</v>
      </c>
      <c r="E96" s="218">
        <v>6.36</v>
      </c>
      <c r="F96" s="207">
        <v>8.1</v>
      </c>
      <c r="G96" s="230">
        <f>E96-F96</f>
        <v>-1.7399999999999993</v>
      </c>
      <c r="H96" s="458">
        <v>7.8</v>
      </c>
      <c r="I96" s="325">
        <v>10.050000000000001</v>
      </c>
      <c r="J96" s="453">
        <f t="shared" si="19"/>
        <v>6.7449664429530207</v>
      </c>
      <c r="K96" s="255">
        <f>H96-I96</f>
        <v>-2.2500000000000009</v>
      </c>
      <c r="L96" s="457">
        <f>(ABS(H96-I96))/I96</f>
        <v>0.22388059701492544</v>
      </c>
      <c r="M96" s="292">
        <v>21.9</v>
      </c>
      <c r="N96" s="255">
        <v>3.34</v>
      </c>
      <c r="O96" s="292">
        <v>6.4</v>
      </c>
      <c r="P96" s="255">
        <v>121.5</v>
      </c>
      <c r="Q96" s="292">
        <v>1438.5</v>
      </c>
      <c r="R96" s="255">
        <v>7.83</v>
      </c>
      <c r="S96" s="292">
        <v>37.42</v>
      </c>
      <c r="T96" s="255" t="s">
        <v>186</v>
      </c>
    </row>
    <row r="97" spans="1:20" x14ac:dyDescent="0.25">
      <c r="A97" s="1" t="s">
        <v>93</v>
      </c>
      <c r="B97" s="8"/>
      <c r="C97" s="1"/>
      <c r="D97" s="87"/>
      <c r="E97" s="114"/>
      <c r="F97" s="65"/>
      <c r="G97" s="115"/>
      <c r="H97" s="70"/>
      <c r="J97" s="329"/>
      <c r="K97" s="70"/>
      <c r="L97" s="302"/>
    </row>
    <row r="98" spans="1:20" s="255" customFormat="1" x14ac:dyDescent="0.25">
      <c r="A98" s="44"/>
      <c r="B98" s="454" t="s">
        <v>7</v>
      </c>
      <c r="C98" s="454" t="s">
        <v>99</v>
      </c>
      <c r="D98" s="455">
        <v>1</v>
      </c>
      <c r="E98" s="456">
        <v>0</v>
      </c>
      <c r="F98" s="207">
        <v>4.84</v>
      </c>
      <c r="G98" s="323">
        <f>E98-F98</f>
        <v>-4.84</v>
      </c>
      <c r="H98" s="324">
        <v>5</v>
      </c>
      <c r="I98" s="325">
        <v>4.93</v>
      </c>
      <c r="J98" s="453">
        <f t="shared" si="19"/>
        <v>4.93</v>
      </c>
      <c r="K98" s="255">
        <f>H98-I98</f>
        <v>7.0000000000000284E-2</v>
      </c>
      <c r="L98" s="457">
        <f>(ABS(H98-I98))/I98</f>
        <v>1.4198782961460505E-2</v>
      </c>
      <c r="M98" s="292">
        <v>23</v>
      </c>
      <c r="N98" s="255">
        <v>3.2</v>
      </c>
      <c r="O98" s="292">
        <v>9.3000000000000007</v>
      </c>
      <c r="P98" s="255" t="s">
        <v>148</v>
      </c>
      <c r="Q98" s="292">
        <v>1420.5</v>
      </c>
      <c r="S98" s="292"/>
      <c r="T98" s="255" t="s">
        <v>192</v>
      </c>
    </row>
    <row r="99" spans="1:20" x14ac:dyDescent="0.25">
      <c r="A99" s="43" t="s">
        <v>103</v>
      </c>
      <c r="B99" s="8"/>
      <c r="C99" s="79"/>
      <c r="D99" s="64"/>
      <c r="E99" s="115"/>
      <c r="F99" s="80"/>
      <c r="G99" s="115"/>
      <c r="H99" s="70"/>
      <c r="J99" s="329"/>
      <c r="K99" s="70"/>
      <c r="L99" s="302"/>
    </row>
    <row r="100" spans="1:20" s="255" customFormat="1" x14ac:dyDescent="0.25">
      <c r="A100" s="44"/>
      <c r="B100" s="319" t="s">
        <v>7</v>
      </c>
      <c r="C100" s="319" t="s">
        <v>122</v>
      </c>
      <c r="D100" s="320">
        <v>3.98</v>
      </c>
      <c r="E100" s="321">
        <v>0</v>
      </c>
      <c r="F100" s="322">
        <v>5.52</v>
      </c>
      <c r="G100" s="323">
        <f>E100-F100</f>
        <v>-5.52</v>
      </c>
      <c r="H100" s="324">
        <v>10</v>
      </c>
      <c r="I100" s="325">
        <v>10.029999999999999</v>
      </c>
      <c r="J100" s="453">
        <f t="shared" si="19"/>
        <v>2.5201005025125625</v>
      </c>
      <c r="K100" s="255">
        <f>H100-I100</f>
        <v>-2.9999999999999361E-2</v>
      </c>
      <c r="L100" s="326">
        <f>(ABS(H100-I100))/I100</f>
        <v>2.9910269192422096E-3</v>
      </c>
      <c r="M100" s="292">
        <v>24.7</v>
      </c>
      <c r="N100" s="255">
        <v>3.5</v>
      </c>
      <c r="O100" s="292">
        <v>5.8</v>
      </c>
      <c r="P100" s="255">
        <v>162.1</v>
      </c>
      <c r="Q100" s="292">
        <v>1610.1</v>
      </c>
      <c r="S100" s="292"/>
      <c r="T100" s="255" t="s">
        <v>191</v>
      </c>
    </row>
    <row r="101" spans="1:20" s="70" customFormat="1" x14ac:dyDescent="0.25">
      <c r="A101" s="43" t="s">
        <v>149</v>
      </c>
      <c r="B101" s="130"/>
      <c r="C101" s="130"/>
      <c r="D101" s="131"/>
      <c r="E101" s="113"/>
      <c r="F101" s="97"/>
      <c r="G101" s="115"/>
      <c r="H101" s="290"/>
      <c r="I101" s="282"/>
      <c r="J101" s="329"/>
      <c r="K101" s="70">
        <f t="shared" ref="K101:K104" si="26">H101-I101</f>
        <v>0</v>
      </c>
      <c r="L101" s="303" t="e">
        <f t="shared" ref="L101:L104" si="27">(ABS(H101-I101))/I101</f>
        <v>#DIV/0!</v>
      </c>
      <c r="M101" s="268"/>
      <c r="O101" s="268"/>
      <c r="Q101" s="268"/>
      <c r="S101" s="268"/>
    </row>
    <row r="102" spans="1:20" s="70" customFormat="1" x14ac:dyDescent="0.25">
      <c r="A102" s="43"/>
      <c r="B102" s="94" t="s">
        <v>7</v>
      </c>
      <c r="C102" s="130" t="s">
        <v>99</v>
      </c>
      <c r="D102" s="131">
        <v>2</v>
      </c>
      <c r="E102" s="113"/>
      <c r="F102" s="97"/>
      <c r="G102" s="115"/>
      <c r="H102" s="290">
        <v>10</v>
      </c>
      <c r="I102" s="282">
        <v>11.69</v>
      </c>
      <c r="J102" s="329">
        <f t="shared" si="19"/>
        <v>5.8449999999999998</v>
      </c>
      <c r="K102" s="70">
        <f t="shared" si="26"/>
        <v>-1.6899999999999995</v>
      </c>
      <c r="L102" s="303">
        <f t="shared" si="27"/>
        <v>0.14456800684345592</v>
      </c>
      <c r="M102" s="268">
        <v>23</v>
      </c>
      <c r="N102">
        <v>3.2</v>
      </c>
      <c r="O102" s="268">
        <v>9.3000000000000007</v>
      </c>
      <c r="P102" s="70" t="s">
        <v>148</v>
      </c>
      <c r="Q102" s="268">
        <v>1420.5</v>
      </c>
      <c r="S102" s="268"/>
      <c r="T102" s="70" t="s">
        <v>192</v>
      </c>
    </row>
    <row r="103" spans="1:20" s="256" customFormat="1" x14ac:dyDescent="0.25">
      <c r="A103" s="13" t="s">
        <v>159</v>
      </c>
      <c r="B103" s="245"/>
      <c r="C103" s="245"/>
      <c r="D103" s="313"/>
      <c r="E103" s="314"/>
      <c r="F103" s="315"/>
      <c r="G103" s="116"/>
      <c r="H103" s="316"/>
      <c r="I103" s="317"/>
      <c r="J103" s="329"/>
      <c r="K103" s="70">
        <f t="shared" si="26"/>
        <v>0</v>
      </c>
      <c r="L103" s="303" t="e">
        <f t="shared" si="27"/>
        <v>#DIV/0!</v>
      </c>
      <c r="M103" s="318"/>
      <c r="O103" s="318"/>
      <c r="Q103" s="318"/>
      <c r="S103" s="318"/>
    </row>
    <row r="104" spans="1:20" s="255" customFormat="1" x14ac:dyDescent="0.25">
      <c r="A104" s="44"/>
      <c r="B104" s="319" t="s">
        <v>160</v>
      </c>
      <c r="C104" s="319" t="s">
        <v>122</v>
      </c>
      <c r="D104" s="320">
        <v>1.68</v>
      </c>
      <c r="E104" s="321"/>
      <c r="F104" s="322"/>
      <c r="G104" s="323"/>
      <c r="H104" s="324">
        <v>10</v>
      </c>
      <c r="I104" s="325">
        <v>8.4</v>
      </c>
      <c r="J104" s="329">
        <f t="shared" si="19"/>
        <v>5</v>
      </c>
      <c r="K104" s="255">
        <f t="shared" si="26"/>
        <v>1.5999999999999996</v>
      </c>
      <c r="L104" s="326">
        <f t="shared" si="27"/>
        <v>0.19047619047619044</v>
      </c>
      <c r="M104" s="292">
        <v>26.3</v>
      </c>
      <c r="N104" s="255">
        <v>3.74</v>
      </c>
      <c r="O104" s="292">
        <v>5.8</v>
      </c>
      <c r="P104" s="255">
        <v>127.68</v>
      </c>
      <c r="Q104" s="292">
        <v>1597</v>
      </c>
      <c r="S104" s="292"/>
      <c r="T104" s="255" t="s">
        <v>191</v>
      </c>
    </row>
    <row r="105" spans="1:20" x14ac:dyDescent="0.25">
      <c r="A105" s="43" t="s">
        <v>27</v>
      </c>
      <c r="B105" s="8"/>
      <c r="C105" s="1"/>
      <c r="D105" s="87"/>
      <c r="E105" s="114"/>
      <c r="F105" s="65"/>
      <c r="G105" s="111"/>
      <c r="H105" s="70"/>
      <c r="J105" s="329"/>
      <c r="K105" s="70"/>
      <c r="L105" s="302"/>
    </row>
    <row r="106" spans="1:20" x14ac:dyDescent="0.25">
      <c r="A106" s="71"/>
      <c r="B106" s="9" t="s">
        <v>3</v>
      </c>
      <c r="C106" s="9" t="s">
        <v>57</v>
      </c>
      <c r="D106" s="39">
        <v>7.0000000000000007E-2</v>
      </c>
      <c r="E106" s="126">
        <v>0.32</v>
      </c>
      <c r="F106" s="95">
        <v>0.25</v>
      </c>
      <c r="G106" s="126">
        <f>E106-F106</f>
        <v>7.0000000000000007E-2</v>
      </c>
      <c r="H106" s="290">
        <v>0.25</v>
      </c>
      <c r="I106" s="282">
        <v>0.8</v>
      </c>
      <c r="J106" s="329">
        <f t="shared" si="19"/>
        <v>11.428571428571429</v>
      </c>
      <c r="K106" s="70">
        <f t="shared" ref="K106:K111" si="28">H106-I106</f>
        <v>-0.55000000000000004</v>
      </c>
      <c r="L106" s="284">
        <f t="shared" ref="L106:L111" si="29">(ABS(H106-I106))/I106</f>
        <v>0.6875</v>
      </c>
      <c r="P106" t="s">
        <v>148</v>
      </c>
      <c r="Q106" s="268">
        <v>1687.5</v>
      </c>
      <c r="T106" s="70" t="s">
        <v>185</v>
      </c>
    </row>
    <row r="107" spans="1:20" x14ac:dyDescent="0.25">
      <c r="A107" s="1"/>
      <c r="B107" s="9"/>
      <c r="C107" s="9" t="s">
        <v>58</v>
      </c>
      <c r="D107" s="39">
        <v>2.36</v>
      </c>
      <c r="E107" s="126">
        <v>10.74</v>
      </c>
      <c r="F107" s="95">
        <v>9.5399999999999991</v>
      </c>
      <c r="G107" s="126">
        <f t="shared" ref="G107:G114" si="30">E107-F107</f>
        <v>1.2000000000000011</v>
      </c>
      <c r="H107" s="288">
        <v>8.1</v>
      </c>
      <c r="I107" s="282">
        <v>10.02</v>
      </c>
      <c r="J107" s="329">
        <f t="shared" si="19"/>
        <v>4.2457627118644066</v>
      </c>
      <c r="K107" s="70">
        <f t="shared" si="28"/>
        <v>-1.92</v>
      </c>
      <c r="L107" s="284">
        <f t="shared" si="29"/>
        <v>0.19161676646706588</v>
      </c>
      <c r="M107" s="268">
        <v>27.2</v>
      </c>
      <c r="N107">
        <v>3.62</v>
      </c>
      <c r="O107" s="268">
        <v>6.8</v>
      </c>
      <c r="P107">
        <v>131.77000000000001</v>
      </c>
      <c r="Q107" s="268">
        <v>1687.5</v>
      </c>
      <c r="R107">
        <v>3.68</v>
      </c>
      <c r="S107" s="268">
        <v>77.430000000000007</v>
      </c>
      <c r="T107" t="s">
        <v>185</v>
      </c>
    </row>
    <row r="108" spans="1:20" x14ac:dyDescent="0.25">
      <c r="A108" s="71"/>
      <c r="B108" s="9"/>
      <c r="C108" s="9" t="s">
        <v>59</v>
      </c>
      <c r="D108" s="39">
        <v>1.17</v>
      </c>
      <c r="E108" s="126">
        <v>5.42</v>
      </c>
      <c r="F108" s="95">
        <v>4.26</v>
      </c>
      <c r="G108" s="126">
        <f t="shared" si="30"/>
        <v>1.1600000000000001</v>
      </c>
      <c r="H108" s="288">
        <v>5.2</v>
      </c>
      <c r="I108" s="282">
        <v>4.7699999999999996</v>
      </c>
      <c r="J108" s="329">
        <f t="shared" si="19"/>
        <v>4.0769230769230766</v>
      </c>
      <c r="K108" s="70">
        <f t="shared" si="28"/>
        <v>0.4300000000000006</v>
      </c>
      <c r="L108" s="284">
        <f t="shared" si="29"/>
        <v>9.0146750524109143E-2</v>
      </c>
      <c r="M108" s="268">
        <v>28</v>
      </c>
      <c r="N108">
        <v>3.75</v>
      </c>
      <c r="O108" s="268">
        <v>6.4</v>
      </c>
      <c r="P108">
        <v>150.37</v>
      </c>
      <c r="Q108" s="268">
        <v>1687.5</v>
      </c>
      <c r="R108">
        <v>4.8099999999999996</v>
      </c>
      <c r="S108" s="268">
        <v>43.56</v>
      </c>
      <c r="T108" s="70" t="s">
        <v>185</v>
      </c>
    </row>
    <row r="109" spans="1:20" x14ac:dyDescent="0.25">
      <c r="A109" s="71"/>
      <c r="B109" s="9"/>
      <c r="C109" s="9" t="s">
        <v>60</v>
      </c>
      <c r="D109" s="39">
        <v>0.95</v>
      </c>
      <c r="E109" s="126">
        <v>5.52</v>
      </c>
      <c r="F109" s="95">
        <v>3.13</v>
      </c>
      <c r="G109" s="126">
        <f t="shared" si="30"/>
        <v>2.3899999999999997</v>
      </c>
      <c r="H109" s="234">
        <v>3.8</v>
      </c>
      <c r="I109" s="282">
        <v>3.88</v>
      </c>
      <c r="J109" s="329">
        <f t="shared" si="19"/>
        <v>4.0842105263157897</v>
      </c>
      <c r="K109" s="70">
        <f t="shared" si="28"/>
        <v>-8.0000000000000071E-2</v>
      </c>
      <c r="L109" s="284">
        <f t="shared" si="29"/>
        <v>2.0618556701030948E-2</v>
      </c>
      <c r="M109" s="268">
        <v>26.5</v>
      </c>
      <c r="N109">
        <v>3.67</v>
      </c>
      <c r="O109" s="268">
        <v>6.9</v>
      </c>
      <c r="P109">
        <v>151</v>
      </c>
      <c r="Q109" s="268">
        <v>1687.5</v>
      </c>
      <c r="R109">
        <v>3.37</v>
      </c>
      <c r="S109" s="268">
        <v>64.849999999999994</v>
      </c>
      <c r="T109" s="70" t="s">
        <v>185</v>
      </c>
    </row>
    <row r="110" spans="1:20" x14ac:dyDescent="0.25">
      <c r="A110" s="71"/>
      <c r="B110" s="18" t="s">
        <v>7</v>
      </c>
      <c r="C110" s="18" t="s">
        <v>122</v>
      </c>
      <c r="D110" s="129">
        <v>3.02</v>
      </c>
      <c r="E110" s="140">
        <v>0</v>
      </c>
      <c r="F110" s="97">
        <v>17.004999999999999</v>
      </c>
      <c r="G110" s="126">
        <f t="shared" si="30"/>
        <v>-17.004999999999999</v>
      </c>
      <c r="H110" s="290">
        <v>10</v>
      </c>
      <c r="I110" s="282">
        <v>9.19</v>
      </c>
      <c r="J110" s="329">
        <f t="shared" si="19"/>
        <v>3.0430463576158937</v>
      </c>
      <c r="K110" s="70">
        <f t="shared" si="28"/>
        <v>0.8100000000000005</v>
      </c>
      <c r="L110" s="284">
        <f t="shared" si="29"/>
        <v>8.8139281828074054E-2</v>
      </c>
      <c r="M110" s="268">
        <v>24.2</v>
      </c>
      <c r="N110">
        <v>3.85</v>
      </c>
      <c r="O110" s="268">
        <v>5.2</v>
      </c>
      <c r="P110">
        <v>203.68</v>
      </c>
      <c r="Q110" s="268">
        <v>1610.1</v>
      </c>
      <c r="T110" t="s">
        <v>191</v>
      </c>
    </row>
    <row r="111" spans="1:20" x14ac:dyDescent="0.25">
      <c r="A111" s="71"/>
      <c r="B111" s="12"/>
      <c r="C111" s="151" t="s">
        <v>115</v>
      </c>
      <c r="D111" s="176">
        <f>SUM(D106:D109)</f>
        <v>4.55</v>
      </c>
      <c r="E111" s="187">
        <f>SUM(E106:E109)</f>
        <v>22</v>
      </c>
      <c r="F111" s="176">
        <f>SUM(F106:F109)</f>
        <v>17.18</v>
      </c>
      <c r="G111" s="161">
        <f t="shared" si="30"/>
        <v>4.82</v>
      </c>
      <c r="H111" s="70">
        <f>SUM(H106:H109)</f>
        <v>17.350000000000001</v>
      </c>
      <c r="I111" s="268">
        <f>SUM(I106:I109)</f>
        <v>19.47</v>
      </c>
      <c r="J111" s="329"/>
      <c r="K111" s="70">
        <f t="shared" si="28"/>
        <v>-2.1199999999999974</v>
      </c>
      <c r="L111" s="284">
        <f t="shared" si="29"/>
        <v>0.10888546481766809</v>
      </c>
    </row>
    <row r="112" spans="1:20" x14ac:dyDescent="0.25">
      <c r="A112" s="71"/>
      <c r="B112" s="12"/>
      <c r="C112" s="71" t="s">
        <v>120</v>
      </c>
      <c r="D112" s="149" t="s">
        <v>109</v>
      </c>
      <c r="E112" s="165">
        <v>0</v>
      </c>
      <c r="F112" s="149">
        <v>0</v>
      </c>
      <c r="G112" s="171">
        <f t="shared" si="30"/>
        <v>0</v>
      </c>
      <c r="H112" s="288">
        <v>0</v>
      </c>
      <c r="I112" s="268">
        <v>0</v>
      </c>
      <c r="J112" s="329"/>
      <c r="K112" s="70"/>
      <c r="L112" s="284"/>
    </row>
    <row r="113" spans="1:20" ht="15.75" thickBot="1" x14ac:dyDescent="0.3">
      <c r="A113" s="71"/>
      <c r="B113" s="69"/>
      <c r="C113" s="156" t="s">
        <v>117</v>
      </c>
      <c r="D113" s="183">
        <v>12.06</v>
      </c>
      <c r="E113" s="188">
        <v>0</v>
      </c>
      <c r="F113" s="183">
        <v>17.010000000000002</v>
      </c>
      <c r="G113" s="169">
        <f t="shared" si="30"/>
        <v>-17.010000000000002</v>
      </c>
      <c r="H113" s="70">
        <f>H110</f>
        <v>10</v>
      </c>
      <c r="I113" s="268">
        <f>I110</f>
        <v>9.19</v>
      </c>
      <c r="J113" s="329"/>
      <c r="K113" s="70">
        <f>H113-I113</f>
        <v>0.8100000000000005</v>
      </c>
      <c r="L113" s="284">
        <f>(ABS(H113-I113))/I113</f>
        <v>8.8139281828074054E-2</v>
      </c>
    </row>
    <row r="114" spans="1:20" ht="15.75" thickTop="1" x14ac:dyDescent="0.25">
      <c r="A114" s="71"/>
      <c r="B114" s="69"/>
      <c r="C114" s="79" t="s">
        <v>118</v>
      </c>
      <c r="D114" s="186">
        <f>SUM(D111,D113)</f>
        <v>16.61</v>
      </c>
      <c r="E114" s="165">
        <v>22</v>
      </c>
      <c r="F114" s="149">
        <f>SUM(F111,F113)</f>
        <v>34.19</v>
      </c>
      <c r="G114" s="171">
        <f t="shared" si="30"/>
        <v>-12.189999999999998</v>
      </c>
      <c r="H114" s="70">
        <f>SUM(H111:H113)</f>
        <v>27.35</v>
      </c>
      <c r="I114" s="268">
        <f>SUM(I111:I113)</f>
        <v>28.659999999999997</v>
      </c>
      <c r="J114" s="329"/>
      <c r="K114" s="70">
        <f>H114-I114</f>
        <v>-1.3099999999999952</v>
      </c>
      <c r="L114" s="284">
        <f>(ABS(H114-I114))/I114</f>
        <v>4.5708304256803743E-2</v>
      </c>
    </row>
    <row r="115" spans="1:20" x14ac:dyDescent="0.25">
      <c r="A115" s="3" t="s">
        <v>28</v>
      </c>
      <c r="B115" s="15"/>
      <c r="C115" s="3"/>
      <c r="D115" s="37"/>
      <c r="E115" s="99"/>
      <c r="F115" s="83"/>
      <c r="G115" s="118"/>
      <c r="H115" s="70"/>
      <c r="J115" s="329"/>
      <c r="K115" s="70"/>
      <c r="L115" s="302"/>
    </row>
    <row r="116" spans="1:20" x14ac:dyDescent="0.25">
      <c r="A116" s="71"/>
      <c r="B116" s="9" t="s">
        <v>3</v>
      </c>
      <c r="C116" s="9" t="s">
        <v>53</v>
      </c>
      <c r="D116" s="39">
        <v>1.1000000000000001</v>
      </c>
      <c r="E116" s="126">
        <v>4.45</v>
      </c>
      <c r="F116" s="95">
        <v>4.53</v>
      </c>
      <c r="G116" s="126">
        <f>E116-F116</f>
        <v>-8.0000000000000071E-2</v>
      </c>
      <c r="H116" s="70">
        <v>4.5999999999999996</v>
      </c>
      <c r="I116" s="282">
        <v>5.36</v>
      </c>
      <c r="J116" s="329">
        <f t="shared" si="19"/>
        <v>4.872727272727273</v>
      </c>
      <c r="K116" s="70">
        <f t="shared" ref="K116:K121" si="31">H116-I116</f>
        <v>-0.76000000000000068</v>
      </c>
      <c r="L116" s="284">
        <f t="shared" ref="L116:L121" si="32">(ABS(H116-I116))/I116</f>
        <v>0.14179104477611951</v>
      </c>
      <c r="M116" s="268">
        <v>27.2</v>
      </c>
      <c r="N116" s="70">
        <v>3.68</v>
      </c>
      <c r="O116" s="268">
        <v>7.7</v>
      </c>
      <c r="P116">
        <v>224</v>
      </c>
      <c r="Q116" s="268">
        <v>1520.1</v>
      </c>
      <c r="T116" t="s">
        <v>185</v>
      </c>
    </row>
    <row r="117" spans="1:20" x14ac:dyDescent="0.25">
      <c r="A117" s="71"/>
      <c r="B117" s="9" t="s">
        <v>3</v>
      </c>
      <c r="C117" s="9" t="s">
        <v>61</v>
      </c>
      <c r="D117" s="39">
        <v>0.83</v>
      </c>
      <c r="E117" s="126">
        <v>4.0599999999999996</v>
      </c>
      <c r="F117" s="95">
        <v>4.49</v>
      </c>
      <c r="G117" s="126">
        <f t="shared" ref="G117:G123" si="33">E117-F117</f>
        <v>-0.4300000000000006</v>
      </c>
      <c r="H117" s="285">
        <v>3</v>
      </c>
      <c r="I117" s="282">
        <v>6.04</v>
      </c>
      <c r="J117" s="329">
        <f t="shared" si="19"/>
        <v>7.2771084337349405</v>
      </c>
      <c r="K117" s="70">
        <f t="shared" si="31"/>
        <v>-3.04</v>
      </c>
      <c r="L117" s="284">
        <f t="shared" si="32"/>
        <v>0.50331125827814571</v>
      </c>
      <c r="M117" s="268">
        <v>27.2</v>
      </c>
      <c r="N117" s="70">
        <v>3.68</v>
      </c>
      <c r="O117" s="268">
        <v>7.7</v>
      </c>
      <c r="P117">
        <v>224</v>
      </c>
      <c r="Q117" s="268">
        <v>1520.1</v>
      </c>
      <c r="T117" s="70" t="s">
        <v>185</v>
      </c>
    </row>
    <row r="118" spans="1:20" x14ac:dyDescent="0.25">
      <c r="A118" s="71"/>
      <c r="B118" s="72" t="s">
        <v>86</v>
      </c>
      <c r="C118" s="9"/>
      <c r="D118" s="39">
        <v>0.05</v>
      </c>
      <c r="E118" s="128">
        <v>0.24</v>
      </c>
      <c r="F118" s="95">
        <v>0.23</v>
      </c>
      <c r="G118" s="126">
        <f t="shared" si="33"/>
        <v>9.9999999999999811E-3</v>
      </c>
      <c r="H118" s="290">
        <v>0.23</v>
      </c>
      <c r="I118" s="282">
        <v>0.24</v>
      </c>
      <c r="J118" s="329">
        <f t="shared" si="19"/>
        <v>4.8</v>
      </c>
      <c r="K118" s="70">
        <f t="shared" si="31"/>
        <v>-9.9999999999999811E-3</v>
      </c>
      <c r="L118" s="284">
        <f t="shared" si="32"/>
        <v>4.1666666666666588E-2</v>
      </c>
      <c r="M118" s="268" t="s">
        <v>148</v>
      </c>
      <c r="N118" t="s">
        <v>148</v>
      </c>
      <c r="O118" s="268" t="s">
        <v>148</v>
      </c>
      <c r="P118" t="s">
        <v>148</v>
      </c>
      <c r="Q118" s="268">
        <v>1405.3</v>
      </c>
      <c r="T118" t="s">
        <v>189</v>
      </c>
    </row>
    <row r="119" spans="1:20" x14ac:dyDescent="0.25">
      <c r="A119" s="71"/>
      <c r="B119" s="9" t="s">
        <v>6</v>
      </c>
      <c r="C119" s="9"/>
      <c r="D119" s="39">
        <v>13.45</v>
      </c>
      <c r="E119" s="126">
        <v>58.79</v>
      </c>
      <c r="F119" s="95">
        <v>61.53</v>
      </c>
      <c r="G119" s="126">
        <f t="shared" si="33"/>
        <v>-2.740000000000002</v>
      </c>
      <c r="H119" s="289">
        <v>48.8</v>
      </c>
      <c r="I119" s="282">
        <v>51.54</v>
      </c>
      <c r="J119" s="329">
        <f t="shared" si="19"/>
        <v>3.8319702602230485</v>
      </c>
      <c r="K119" s="70">
        <f t="shared" si="31"/>
        <v>-2.740000000000002</v>
      </c>
      <c r="L119" s="284">
        <f t="shared" si="32"/>
        <v>5.316259216142806E-2</v>
      </c>
      <c r="M119" s="268">
        <v>25.7</v>
      </c>
      <c r="N119">
        <v>3.63</v>
      </c>
      <c r="O119" s="268">
        <v>8.43</v>
      </c>
      <c r="P119">
        <v>180.77</v>
      </c>
      <c r="Q119" s="268">
        <v>1482.1</v>
      </c>
      <c r="T119" t="s">
        <v>191</v>
      </c>
    </row>
    <row r="120" spans="1:20" x14ac:dyDescent="0.25">
      <c r="A120" s="71"/>
      <c r="B120" s="12"/>
      <c r="C120" s="151" t="s">
        <v>115</v>
      </c>
      <c r="D120" s="176">
        <f>SUM(D116:D117,D119)</f>
        <v>15.379999999999999</v>
      </c>
      <c r="E120" s="187">
        <f>SUM(E116:E117,E119)</f>
        <v>67.3</v>
      </c>
      <c r="F120" s="176">
        <f>SUM(F116:F117,F119)</f>
        <v>70.55</v>
      </c>
      <c r="G120" s="161">
        <f t="shared" si="33"/>
        <v>-3.25</v>
      </c>
      <c r="H120" s="285">
        <f>SUM(H116:H117,H119)</f>
        <v>56.4</v>
      </c>
      <c r="I120" s="291">
        <f>SUM(I116:I117,I119)</f>
        <v>62.94</v>
      </c>
      <c r="J120" s="329"/>
      <c r="K120" s="70">
        <f t="shared" si="31"/>
        <v>-6.5399999999999991</v>
      </c>
      <c r="L120" s="284">
        <f t="shared" si="32"/>
        <v>0.10390848427073403</v>
      </c>
    </row>
    <row r="121" spans="1:20" x14ac:dyDescent="0.25">
      <c r="A121" s="71"/>
      <c r="B121" s="12"/>
      <c r="C121" s="71" t="s">
        <v>119</v>
      </c>
      <c r="D121" s="149">
        <v>0.05</v>
      </c>
      <c r="E121" s="165">
        <v>0.24</v>
      </c>
      <c r="F121" s="149">
        <v>0.23</v>
      </c>
      <c r="G121" s="171">
        <f t="shared" si="33"/>
        <v>9.9999999999999811E-3</v>
      </c>
      <c r="H121" s="70">
        <f>H118</f>
        <v>0.23</v>
      </c>
      <c r="I121" s="268">
        <f>I118</f>
        <v>0.24</v>
      </c>
      <c r="J121" s="329"/>
      <c r="K121" s="70">
        <f t="shared" si="31"/>
        <v>-9.9999999999999811E-3</v>
      </c>
      <c r="L121" s="284">
        <f t="shared" si="32"/>
        <v>4.1666666666666588E-2</v>
      </c>
    </row>
    <row r="122" spans="1:20" ht="15.75" thickBot="1" x14ac:dyDescent="0.3">
      <c r="A122" s="71"/>
      <c r="B122" s="69"/>
      <c r="C122" s="156" t="s">
        <v>117</v>
      </c>
      <c r="D122" s="183" t="s">
        <v>109</v>
      </c>
      <c r="E122" s="188">
        <v>0</v>
      </c>
      <c r="F122" s="183">
        <v>0</v>
      </c>
      <c r="G122" s="169">
        <f t="shared" si="33"/>
        <v>0</v>
      </c>
      <c r="H122" s="70">
        <v>0</v>
      </c>
      <c r="I122" s="268">
        <v>0</v>
      </c>
      <c r="J122" s="329"/>
      <c r="K122" s="70"/>
      <c r="L122" s="284"/>
    </row>
    <row r="123" spans="1:20" ht="15.75" thickTop="1" x14ac:dyDescent="0.25">
      <c r="A123" s="71"/>
      <c r="B123" s="69"/>
      <c r="C123" s="79" t="s">
        <v>118</v>
      </c>
      <c r="D123" s="186">
        <f>SUM(D120:D121)</f>
        <v>15.43</v>
      </c>
      <c r="E123" s="165">
        <f t="shared" ref="E123:F123" si="34">SUM(E120:E121)</f>
        <v>67.539999999999992</v>
      </c>
      <c r="F123" s="149">
        <f t="shared" si="34"/>
        <v>70.78</v>
      </c>
      <c r="G123" s="171">
        <f t="shared" si="33"/>
        <v>-3.2400000000000091</v>
      </c>
      <c r="H123" s="285">
        <f>SUM(H120:H122)</f>
        <v>56.629999999999995</v>
      </c>
      <c r="I123" s="312">
        <f>SUM(I120:I122)</f>
        <v>63.18</v>
      </c>
      <c r="J123" s="329"/>
      <c r="K123" s="70">
        <f>H123-I123</f>
        <v>-6.5500000000000043</v>
      </c>
      <c r="L123" s="284">
        <f>(ABS(H123-I123))/I123</f>
        <v>0.10367204811649262</v>
      </c>
    </row>
    <row r="124" spans="1:20" x14ac:dyDescent="0.25">
      <c r="A124" s="3" t="s">
        <v>62</v>
      </c>
      <c r="B124" s="15"/>
      <c r="C124" s="3"/>
      <c r="D124" s="37"/>
      <c r="E124" s="99"/>
      <c r="F124" s="83"/>
      <c r="G124" s="118"/>
      <c r="H124" s="70"/>
      <c r="J124" s="329"/>
      <c r="K124" s="70"/>
      <c r="L124" s="302"/>
    </row>
    <row r="125" spans="1:20" x14ac:dyDescent="0.25">
      <c r="A125" s="71"/>
      <c r="B125" s="18" t="s">
        <v>7</v>
      </c>
      <c r="C125" s="18" t="s">
        <v>46</v>
      </c>
      <c r="D125" s="129">
        <v>11.2</v>
      </c>
      <c r="E125" s="140">
        <v>59.91</v>
      </c>
      <c r="F125" s="97">
        <v>66.959999999999994</v>
      </c>
      <c r="G125" s="126">
        <f>E125-F125</f>
        <v>-7.0499999999999972</v>
      </c>
      <c r="H125" s="286">
        <v>60</v>
      </c>
      <c r="I125" s="282">
        <v>58.81</v>
      </c>
      <c r="J125" s="329">
        <f t="shared" si="19"/>
        <v>5.2508928571428575</v>
      </c>
      <c r="K125" s="70">
        <f t="shared" ref="K125:K130" si="35">H125-I125</f>
        <v>1.1899999999999977</v>
      </c>
      <c r="L125" s="284">
        <f>(ABS(H125-I125))/I125</f>
        <v>2.0234653970413154E-2</v>
      </c>
      <c r="M125" s="268">
        <v>24.6</v>
      </c>
      <c r="N125">
        <v>3.4</v>
      </c>
      <c r="O125" s="268">
        <v>7.98</v>
      </c>
      <c r="P125">
        <v>245.09</v>
      </c>
      <c r="Q125" s="268">
        <v>1385.6</v>
      </c>
      <c r="T125" t="s">
        <v>187</v>
      </c>
    </row>
    <row r="126" spans="1:20" x14ac:dyDescent="0.25">
      <c r="A126" s="71"/>
      <c r="B126" s="18" t="s">
        <v>7</v>
      </c>
      <c r="C126" s="72" t="s">
        <v>99</v>
      </c>
      <c r="D126" s="129">
        <v>7</v>
      </c>
      <c r="E126" s="140">
        <v>0</v>
      </c>
      <c r="F126" s="95">
        <v>48.88</v>
      </c>
      <c r="G126" s="126">
        <f t="shared" ref="G126:G130" si="36">E126-F126</f>
        <v>-48.88</v>
      </c>
      <c r="H126" s="286">
        <v>30</v>
      </c>
      <c r="I126" s="282">
        <v>38.14</v>
      </c>
      <c r="J126" s="329">
        <f t="shared" si="19"/>
        <v>5.4485714285714284</v>
      </c>
      <c r="K126" s="70">
        <f t="shared" si="35"/>
        <v>-8.14</v>
      </c>
      <c r="L126" s="284">
        <f>(ABS(H126-I126))/I126</f>
        <v>0.21342422653382276</v>
      </c>
      <c r="M126" s="268">
        <v>24</v>
      </c>
      <c r="N126">
        <v>3.42</v>
      </c>
      <c r="O126" s="268">
        <v>8.2799999999999994</v>
      </c>
      <c r="P126">
        <v>241.46</v>
      </c>
      <c r="Q126" s="268">
        <v>1432.1</v>
      </c>
      <c r="T126" t="s">
        <v>192</v>
      </c>
    </row>
    <row r="127" spans="1:20" x14ac:dyDescent="0.25">
      <c r="A127" s="71"/>
      <c r="B127" s="12"/>
      <c r="C127" s="151" t="s">
        <v>115</v>
      </c>
      <c r="D127" s="195" t="s">
        <v>109</v>
      </c>
      <c r="E127" s="196">
        <v>0</v>
      </c>
      <c r="F127" s="195">
        <v>0</v>
      </c>
      <c r="G127" s="161">
        <f t="shared" si="36"/>
        <v>0</v>
      </c>
      <c r="H127" s="70">
        <v>0</v>
      </c>
      <c r="I127" s="268">
        <v>0</v>
      </c>
      <c r="J127" s="329"/>
      <c r="K127" s="70">
        <f t="shared" si="35"/>
        <v>0</v>
      </c>
      <c r="L127" s="284"/>
    </row>
    <row r="128" spans="1:20" x14ac:dyDescent="0.25">
      <c r="A128" s="71"/>
      <c r="B128" s="12"/>
      <c r="C128" s="71" t="s">
        <v>120</v>
      </c>
      <c r="D128" s="142" t="s">
        <v>109</v>
      </c>
      <c r="E128" s="140">
        <v>0</v>
      </c>
      <c r="F128" s="97">
        <v>0</v>
      </c>
      <c r="G128" s="171">
        <f t="shared" si="36"/>
        <v>0</v>
      </c>
      <c r="H128" s="70">
        <v>0</v>
      </c>
      <c r="I128" s="268">
        <v>0</v>
      </c>
      <c r="J128" s="329"/>
      <c r="K128" s="70">
        <f t="shared" si="35"/>
        <v>0</v>
      </c>
      <c r="L128" s="284"/>
    </row>
    <row r="129" spans="1:20" ht="15.75" thickBot="1" x14ac:dyDescent="0.3">
      <c r="A129" s="71"/>
      <c r="B129" s="69"/>
      <c r="C129" s="156" t="s">
        <v>117</v>
      </c>
      <c r="D129" s="194">
        <f>SUM(D125:D126)</f>
        <v>18.2</v>
      </c>
      <c r="E129" s="169">
        <v>59.91</v>
      </c>
      <c r="F129" s="170">
        <f>SUM(F125:F126)</f>
        <v>115.84</v>
      </c>
      <c r="G129" s="169">
        <f t="shared" si="36"/>
        <v>-55.930000000000007</v>
      </c>
      <c r="H129" s="70">
        <f>SUM(H125:H126)</f>
        <v>90</v>
      </c>
      <c r="I129" s="268">
        <f>SUM(I125:I126)</f>
        <v>96.95</v>
      </c>
      <c r="J129" s="329"/>
      <c r="K129" s="70">
        <f t="shared" si="35"/>
        <v>-6.9500000000000028</v>
      </c>
      <c r="L129" s="284">
        <f>(ABS(H129-I129))/I129</f>
        <v>7.1686436307374965E-2</v>
      </c>
    </row>
    <row r="130" spans="1:20" ht="15.75" thickTop="1" x14ac:dyDescent="0.25">
      <c r="A130" s="71"/>
      <c r="B130" s="69"/>
      <c r="C130" s="79" t="s">
        <v>118</v>
      </c>
      <c r="D130" s="134">
        <v>18.2</v>
      </c>
      <c r="E130" s="171">
        <v>59.91</v>
      </c>
      <c r="F130" s="158">
        <v>115.84</v>
      </c>
      <c r="G130" s="171">
        <f t="shared" si="36"/>
        <v>-55.930000000000007</v>
      </c>
      <c r="H130" s="70">
        <f>SUM(H127:H129)</f>
        <v>90</v>
      </c>
      <c r="I130" s="268">
        <f>SUM(I127:I129)</f>
        <v>96.95</v>
      </c>
      <c r="J130" s="329"/>
      <c r="K130" s="70">
        <f t="shared" si="35"/>
        <v>-6.9500000000000028</v>
      </c>
      <c r="L130" s="284">
        <f>(ABS(H130-I130))/I130</f>
        <v>7.1686436307374965E-2</v>
      </c>
    </row>
    <row r="131" spans="1:20" x14ac:dyDescent="0.25">
      <c r="A131" s="13" t="s">
        <v>30</v>
      </c>
      <c r="B131" s="15"/>
      <c r="C131" s="3"/>
      <c r="D131" s="37"/>
      <c r="E131" s="99"/>
      <c r="F131" s="83"/>
      <c r="G131" s="118"/>
      <c r="H131" s="70"/>
      <c r="J131" s="329"/>
      <c r="K131" s="70"/>
      <c r="L131" s="302"/>
    </row>
    <row r="132" spans="1:20" x14ac:dyDescent="0.25">
      <c r="A132" s="71"/>
      <c r="B132" s="9" t="s">
        <v>3</v>
      </c>
      <c r="C132" s="9" t="s">
        <v>57</v>
      </c>
      <c r="D132" s="39">
        <v>0.66</v>
      </c>
      <c r="E132" s="126">
        <v>3.36</v>
      </c>
      <c r="F132" s="95">
        <v>2.82</v>
      </c>
      <c r="G132" s="126">
        <f>E132-F132</f>
        <v>0.54</v>
      </c>
      <c r="H132" s="288">
        <v>3.3</v>
      </c>
      <c r="I132" s="282">
        <v>2.57</v>
      </c>
      <c r="J132" s="329">
        <f t="shared" si="19"/>
        <v>3.8939393939393936</v>
      </c>
      <c r="K132" s="70">
        <f t="shared" ref="K132:K141" si="37">H132-I132</f>
        <v>0.73</v>
      </c>
      <c r="L132" s="284">
        <f t="shared" ref="L132:L141" si="38">(ABS(H132-I132))/I132</f>
        <v>0.28404669260700388</v>
      </c>
      <c r="P132" t="s">
        <v>148</v>
      </c>
      <c r="Q132" s="268">
        <v>1612.1</v>
      </c>
      <c r="R132">
        <v>3.43</v>
      </c>
      <c r="S132" s="268">
        <v>74.150000000000006</v>
      </c>
      <c r="T132" s="70" t="s">
        <v>188</v>
      </c>
    </row>
    <row r="133" spans="1:20" x14ac:dyDescent="0.25">
      <c r="A133" s="1"/>
      <c r="B133" s="9" t="s">
        <v>3</v>
      </c>
      <c r="C133" s="9" t="s">
        <v>51</v>
      </c>
      <c r="D133" s="39">
        <v>2.79</v>
      </c>
      <c r="E133" s="126">
        <v>13.42</v>
      </c>
      <c r="F133" s="95">
        <v>16.260000000000002</v>
      </c>
      <c r="G133" s="126">
        <f t="shared" ref="G133:G144" si="39">E133-F133</f>
        <v>-2.8400000000000016</v>
      </c>
      <c r="H133" s="286">
        <v>7.5</v>
      </c>
      <c r="I133" s="282">
        <v>9.8000000000000007</v>
      </c>
      <c r="J133" s="329">
        <f t="shared" ref="J133:J182" si="40">I133/D133</f>
        <v>3.5125448028673838</v>
      </c>
      <c r="K133" s="70">
        <f t="shared" si="37"/>
        <v>-2.3000000000000007</v>
      </c>
      <c r="L133" s="284">
        <f t="shared" si="38"/>
        <v>0.23469387755102047</v>
      </c>
      <c r="M133" s="268">
        <v>28.3</v>
      </c>
      <c r="N133">
        <v>3.82</v>
      </c>
      <c r="O133" s="268">
        <v>5</v>
      </c>
      <c r="P133">
        <v>106.56</v>
      </c>
      <c r="Q133" s="268">
        <v>1552.8</v>
      </c>
      <c r="R133">
        <v>6.66</v>
      </c>
      <c r="S133" s="268">
        <v>31.89</v>
      </c>
      <c r="T133" t="s">
        <v>188</v>
      </c>
    </row>
    <row r="134" spans="1:20" x14ac:dyDescent="0.25">
      <c r="A134" s="71"/>
      <c r="B134" s="9" t="s">
        <v>3</v>
      </c>
      <c r="C134" s="9" t="s">
        <v>63</v>
      </c>
      <c r="D134" s="39">
        <v>2.7</v>
      </c>
      <c r="E134" s="126">
        <v>10.86</v>
      </c>
      <c r="F134" s="95">
        <v>8.07</v>
      </c>
      <c r="G134" s="126">
        <f t="shared" si="39"/>
        <v>2.7899999999999991</v>
      </c>
      <c r="H134" s="234">
        <v>7.5</v>
      </c>
      <c r="I134" s="282">
        <v>7.68</v>
      </c>
      <c r="J134" s="329">
        <f t="shared" si="40"/>
        <v>2.8444444444444441</v>
      </c>
      <c r="K134" s="70">
        <f t="shared" si="37"/>
        <v>-0.17999999999999972</v>
      </c>
      <c r="L134" s="284">
        <f t="shared" si="38"/>
        <v>2.3437499999999965E-2</v>
      </c>
      <c r="M134" s="268">
        <v>28.5</v>
      </c>
      <c r="N134">
        <v>3.85</v>
      </c>
      <c r="O134" s="268">
        <v>6.8</v>
      </c>
      <c r="P134">
        <v>183.13</v>
      </c>
      <c r="Q134" s="268">
        <v>1552.8</v>
      </c>
      <c r="R134">
        <v>4.0599999999999996</v>
      </c>
      <c r="S134" s="268">
        <v>37.770000000000003</v>
      </c>
      <c r="T134" s="70" t="s">
        <v>188</v>
      </c>
    </row>
    <row r="135" spans="1:20" x14ac:dyDescent="0.25">
      <c r="A135" s="71"/>
      <c r="B135" s="9" t="s">
        <v>3</v>
      </c>
      <c r="C135" s="9" t="s">
        <v>64</v>
      </c>
      <c r="D135" s="39">
        <v>0.85</v>
      </c>
      <c r="E135" s="126">
        <v>3.21</v>
      </c>
      <c r="F135" s="95">
        <v>1.4</v>
      </c>
      <c r="G135" s="126">
        <f t="shared" si="39"/>
        <v>1.81</v>
      </c>
      <c r="H135" s="234">
        <v>2</v>
      </c>
      <c r="I135" s="282">
        <v>1.3</v>
      </c>
      <c r="J135" s="329">
        <f t="shared" si="40"/>
        <v>1.5294117647058825</v>
      </c>
      <c r="K135" s="70">
        <f t="shared" si="37"/>
        <v>0.7</v>
      </c>
      <c r="L135" s="284">
        <f t="shared" si="38"/>
        <v>0.53846153846153844</v>
      </c>
      <c r="M135" s="268">
        <v>28.5</v>
      </c>
      <c r="N135" s="70">
        <v>3.85</v>
      </c>
      <c r="O135" s="268">
        <v>6.8</v>
      </c>
      <c r="P135" s="70">
        <v>183.13</v>
      </c>
      <c r="Q135" s="268">
        <v>1552.8</v>
      </c>
      <c r="R135">
        <v>2.41</v>
      </c>
      <c r="S135" s="268">
        <v>47.84</v>
      </c>
      <c r="T135" s="70" t="s">
        <v>188</v>
      </c>
    </row>
    <row r="136" spans="1:20" x14ac:dyDescent="0.25">
      <c r="A136" s="71"/>
      <c r="B136" s="9" t="s">
        <v>3</v>
      </c>
      <c r="C136" s="9" t="s">
        <v>45</v>
      </c>
      <c r="D136" s="39">
        <v>0.78</v>
      </c>
      <c r="E136" s="126">
        <v>2.7</v>
      </c>
      <c r="F136" s="95">
        <v>1.67</v>
      </c>
      <c r="G136" s="126">
        <f t="shared" si="39"/>
        <v>1.0300000000000002</v>
      </c>
      <c r="H136" s="288">
        <v>2.2000000000000002</v>
      </c>
      <c r="I136" s="282">
        <v>1.1000000000000001</v>
      </c>
      <c r="J136" s="329">
        <f t="shared" si="40"/>
        <v>1.4102564102564104</v>
      </c>
      <c r="K136" s="70">
        <f t="shared" si="37"/>
        <v>1.1000000000000001</v>
      </c>
      <c r="L136" s="284">
        <f t="shared" si="38"/>
        <v>1</v>
      </c>
      <c r="M136" s="268">
        <v>28.5</v>
      </c>
      <c r="N136" s="70">
        <v>3.85</v>
      </c>
      <c r="O136" s="268">
        <v>6.8</v>
      </c>
      <c r="P136" s="70">
        <v>183.13</v>
      </c>
      <c r="Q136" s="268">
        <v>1552.8</v>
      </c>
      <c r="R136">
        <v>2.4900000000000002</v>
      </c>
      <c r="S136" s="268">
        <v>37.61</v>
      </c>
      <c r="T136" s="70" t="s">
        <v>188</v>
      </c>
    </row>
    <row r="137" spans="1:20" x14ac:dyDescent="0.25">
      <c r="A137" s="1"/>
      <c r="B137" s="9" t="s">
        <v>3</v>
      </c>
      <c r="C137" s="9" t="s">
        <v>65</v>
      </c>
      <c r="D137" s="39">
        <v>4.92</v>
      </c>
      <c r="E137" s="126">
        <v>19.28</v>
      </c>
      <c r="F137" s="95">
        <v>21.55</v>
      </c>
      <c r="G137" s="126">
        <f t="shared" si="39"/>
        <v>-2.2699999999999996</v>
      </c>
      <c r="H137" s="234">
        <v>21.9</v>
      </c>
      <c r="I137" s="282">
        <v>15.29</v>
      </c>
      <c r="J137" s="329">
        <f t="shared" si="40"/>
        <v>3.1077235772357721</v>
      </c>
      <c r="K137" s="70">
        <f t="shared" si="37"/>
        <v>6.6099999999999994</v>
      </c>
      <c r="L137" s="284">
        <f t="shared" si="38"/>
        <v>0.43230869849574882</v>
      </c>
      <c r="M137" s="268">
        <v>29.97</v>
      </c>
      <c r="N137">
        <v>3.8</v>
      </c>
      <c r="O137" s="268">
        <v>4.8</v>
      </c>
      <c r="P137">
        <v>90.24</v>
      </c>
      <c r="Q137" s="268">
        <v>1655.3</v>
      </c>
      <c r="T137" t="s">
        <v>185</v>
      </c>
    </row>
    <row r="138" spans="1:20" s="70" customFormat="1" x14ac:dyDescent="0.25">
      <c r="A138" s="1"/>
      <c r="B138" s="9"/>
      <c r="C138" s="9" t="s">
        <v>183</v>
      </c>
      <c r="D138" s="39"/>
      <c r="E138" s="126"/>
      <c r="F138" s="95"/>
      <c r="G138" s="126"/>
      <c r="H138" s="234"/>
      <c r="I138" s="282"/>
      <c r="J138" s="329"/>
      <c r="L138" s="284"/>
      <c r="M138" s="268"/>
      <c r="O138" s="268"/>
      <c r="Q138" s="268"/>
      <c r="R138" s="70">
        <v>2.81</v>
      </c>
      <c r="S138" s="268">
        <v>32.99</v>
      </c>
    </row>
    <row r="139" spans="1:20" s="70" customFormat="1" x14ac:dyDescent="0.25">
      <c r="A139" s="1"/>
      <c r="B139" s="9"/>
      <c r="C139" s="9" t="s">
        <v>184</v>
      </c>
      <c r="D139" s="39"/>
      <c r="E139" s="126"/>
      <c r="F139" s="95"/>
      <c r="G139" s="126"/>
      <c r="H139" s="234"/>
      <c r="I139" s="282"/>
      <c r="J139" s="329"/>
      <c r="L139" s="284"/>
      <c r="M139" s="268"/>
      <c r="O139" s="268"/>
      <c r="Q139" s="268"/>
      <c r="R139" s="70">
        <v>2.91</v>
      </c>
      <c r="S139" s="268">
        <v>37.82</v>
      </c>
    </row>
    <row r="140" spans="1:20" x14ac:dyDescent="0.25">
      <c r="A140" s="1"/>
      <c r="B140" s="18" t="s">
        <v>7</v>
      </c>
      <c r="C140" s="18" t="s">
        <v>87</v>
      </c>
      <c r="D140" s="129">
        <v>6.41</v>
      </c>
      <c r="E140" s="140">
        <v>0</v>
      </c>
      <c r="F140" s="97">
        <v>23.13</v>
      </c>
      <c r="G140" s="126">
        <f t="shared" si="39"/>
        <v>-23.13</v>
      </c>
      <c r="H140" s="290">
        <v>23.13</v>
      </c>
      <c r="I140" s="282">
        <v>25.8</v>
      </c>
      <c r="J140" s="329">
        <f t="shared" si="40"/>
        <v>4.0249609984399379</v>
      </c>
      <c r="K140" s="70">
        <f t="shared" si="37"/>
        <v>-2.6700000000000017</v>
      </c>
      <c r="L140" s="303">
        <f t="shared" si="38"/>
        <v>0.10348837209302332</v>
      </c>
      <c r="M140" s="268">
        <v>27.35</v>
      </c>
      <c r="N140">
        <v>3.8</v>
      </c>
      <c r="O140" s="268">
        <v>6.5</v>
      </c>
      <c r="P140">
        <v>46.09</v>
      </c>
      <c r="Q140" s="268">
        <v>1616.2</v>
      </c>
      <c r="T140" t="s">
        <v>191</v>
      </c>
    </row>
    <row r="141" spans="1:20" x14ac:dyDescent="0.25">
      <c r="A141" s="71"/>
      <c r="B141" s="12"/>
      <c r="C141" s="151" t="s">
        <v>115</v>
      </c>
      <c r="D141" s="176">
        <f>SUM(D132:D137)</f>
        <v>12.7</v>
      </c>
      <c r="E141" s="187">
        <f>SUM(E132:E137)</f>
        <v>52.830000000000005</v>
      </c>
      <c r="F141" s="176">
        <f>SUM(F132:F137)</f>
        <v>51.769999999999996</v>
      </c>
      <c r="G141" s="161">
        <f t="shared" si="39"/>
        <v>1.0600000000000094</v>
      </c>
      <c r="H141" s="70">
        <f>SUM(H132:H137)</f>
        <v>44.4</v>
      </c>
      <c r="I141" s="268">
        <f>SUM(I132:I137)</f>
        <v>37.74</v>
      </c>
      <c r="J141" s="329"/>
      <c r="K141" s="70">
        <f t="shared" si="37"/>
        <v>6.6599999999999966</v>
      </c>
      <c r="L141" s="284">
        <f t="shared" si="38"/>
        <v>0.17647058823529402</v>
      </c>
    </row>
    <row r="142" spans="1:20" x14ac:dyDescent="0.25">
      <c r="A142" s="71"/>
      <c r="B142" s="12"/>
      <c r="C142" s="71" t="s">
        <v>121</v>
      </c>
      <c r="D142" s="149" t="s">
        <v>109</v>
      </c>
      <c r="E142" s="165">
        <v>0</v>
      </c>
      <c r="F142" s="149">
        <v>0</v>
      </c>
      <c r="G142" s="171">
        <f t="shared" si="39"/>
        <v>0</v>
      </c>
      <c r="H142" s="70">
        <v>0</v>
      </c>
      <c r="I142" s="268">
        <v>0</v>
      </c>
      <c r="J142" s="329"/>
      <c r="K142" s="70"/>
      <c r="L142" s="284"/>
    </row>
    <row r="143" spans="1:20" ht="15.75" thickBot="1" x14ac:dyDescent="0.3">
      <c r="A143" s="71"/>
      <c r="B143" s="69"/>
      <c r="C143" s="156" t="s">
        <v>117</v>
      </c>
      <c r="D143" s="183">
        <v>6.41</v>
      </c>
      <c r="E143" s="188">
        <v>0</v>
      </c>
      <c r="F143" s="183">
        <v>23.13</v>
      </c>
      <c r="G143" s="169">
        <f t="shared" si="39"/>
        <v>-23.13</v>
      </c>
      <c r="H143" s="70">
        <f>SUM(H140)</f>
        <v>23.13</v>
      </c>
      <c r="I143" s="268">
        <f>SUM(I140)</f>
        <v>25.8</v>
      </c>
      <c r="J143" s="329"/>
      <c r="K143" s="70">
        <f>H143-I143</f>
        <v>-2.6700000000000017</v>
      </c>
      <c r="L143" s="303">
        <f>(ABS(H143-I143))/I143</f>
        <v>0.10348837209302332</v>
      </c>
    </row>
    <row r="144" spans="1:20" ht="15.75" thickTop="1" x14ac:dyDescent="0.25">
      <c r="A144" s="71"/>
      <c r="B144" s="69"/>
      <c r="C144" s="79" t="s">
        <v>118</v>
      </c>
      <c r="D144" s="186">
        <f>SUM(D141,D143)</f>
        <v>19.11</v>
      </c>
      <c r="E144" s="165">
        <v>52.8</v>
      </c>
      <c r="F144" s="149">
        <f>SUM(F141,F143)</f>
        <v>74.899999999999991</v>
      </c>
      <c r="G144" s="171">
        <f t="shared" si="39"/>
        <v>-22.099999999999994</v>
      </c>
      <c r="H144" s="70">
        <f>SUM(H141:H143)</f>
        <v>67.53</v>
      </c>
      <c r="I144" s="268">
        <f>SUM(I141:I143)</f>
        <v>63.540000000000006</v>
      </c>
      <c r="J144" s="329"/>
      <c r="K144" s="70">
        <f>H144-I144</f>
        <v>3.9899999999999949</v>
      </c>
      <c r="L144" s="284">
        <f>(ABS(H144-I144))/I144</f>
        <v>6.2795089707270921E-2</v>
      </c>
    </row>
    <row r="145" spans="1:20" x14ac:dyDescent="0.25">
      <c r="A145" s="3" t="s">
        <v>33</v>
      </c>
      <c r="B145" s="15"/>
      <c r="C145" s="15"/>
      <c r="D145" s="42"/>
      <c r="E145" s="99"/>
      <c r="F145" s="83"/>
      <c r="G145" s="118"/>
      <c r="H145" s="70"/>
      <c r="J145" s="329"/>
      <c r="K145" s="70"/>
      <c r="L145" s="302"/>
    </row>
    <row r="146" spans="1:20" x14ac:dyDescent="0.25">
      <c r="A146" s="71"/>
      <c r="B146" s="72" t="s">
        <v>3</v>
      </c>
      <c r="C146" s="72" t="s">
        <v>52</v>
      </c>
      <c r="D146" s="39">
        <v>1.79</v>
      </c>
      <c r="E146" s="126">
        <v>5.91</v>
      </c>
      <c r="F146" s="95">
        <v>8.6199999999999992</v>
      </c>
      <c r="G146" s="126">
        <f>E146-F146</f>
        <v>-2.7099999999999991</v>
      </c>
      <c r="H146" s="70">
        <v>6.2</v>
      </c>
      <c r="I146" s="282">
        <v>7.67</v>
      </c>
      <c r="J146" s="329">
        <f t="shared" si="40"/>
        <v>4.2849162011173183</v>
      </c>
      <c r="K146" s="70">
        <f t="shared" ref="K146:K173" si="41">H146-I146</f>
        <v>-1.4699999999999998</v>
      </c>
      <c r="L146" s="284">
        <f t="shared" ref="L146:L178" si="42">(ABS(H146-I146))/I146</f>
        <v>0.19165580182529332</v>
      </c>
      <c r="M146" s="268">
        <v>24.1</v>
      </c>
      <c r="N146">
        <v>3.66</v>
      </c>
      <c r="O146" s="268">
        <v>5</v>
      </c>
      <c r="P146">
        <v>191.69</v>
      </c>
      <c r="Q146" s="268">
        <v>1535.4</v>
      </c>
      <c r="R146">
        <v>4.2</v>
      </c>
      <c r="S146" s="268">
        <v>31.11</v>
      </c>
      <c r="T146" s="70" t="s">
        <v>185</v>
      </c>
    </row>
    <row r="147" spans="1:20" x14ac:dyDescent="0.25">
      <c r="A147" s="71"/>
      <c r="B147" s="72" t="s">
        <v>3</v>
      </c>
      <c r="C147" s="72" t="s">
        <v>32</v>
      </c>
      <c r="D147" s="39">
        <v>2.4700000000000002</v>
      </c>
      <c r="E147" s="126">
        <v>7.04</v>
      </c>
      <c r="F147" s="95">
        <v>11.47</v>
      </c>
      <c r="G147" s="126">
        <f t="shared" ref="G147:G178" si="43">E147-F147</f>
        <v>-4.4300000000000006</v>
      </c>
      <c r="H147" s="288">
        <v>9.5</v>
      </c>
      <c r="I147" s="282">
        <v>9.4600000000000009</v>
      </c>
      <c r="J147" s="329">
        <f t="shared" si="40"/>
        <v>3.8299595141700404</v>
      </c>
      <c r="K147" s="70">
        <f t="shared" si="41"/>
        <v>3.9999999999999147E-2</v>
      </c>
      <c r="L147" s="284">
        <f t="shared" si="42"/>
        <v>4.2283298097250677E-3</v>
      </c>
      <c r="M147" s="268">
        <v>23.1</v>
      </c>
      <c r="N147">
        <v>3.67</v>
      </c>
      <c r="O147" s="268">
        <v>5.3</v>
      </c>
      <c r="P147" s="70">
        <v>191.69</v>
      </c>
      <c r="Q147" s="268">
        <v>1535.4</v>
      </c>
      <c r="R147">
        <v>3.68</v>
      </c>
      <c r="S147" s="268">
        <v>36.049999999999997</v>
      </c>
      <c r="T147" s="70" t="s">
        <v>185</v>
      </c>
    </row>
    <row r="148" spans="1:20" x14ac:dyDescent="0.25">
      <c r="A148" s="71"/>
      <c r="B148" s="9" t="s">
        <v>3</v>
      </c>
      <c r="C148" s="9" t="s">
        <v>54</v>
      </c>
      <c r="D148" s="39">
        <v>0.92</v>
      </c>
      <c r="E148" s="126">
        <v>2.96</v>
      </c>
      <c r="F148" s="95">
        <v>4.32</v>
      </c>
      <c r="G148" s="126">
        <f t="shared" si="43"/>
        <v>-1.3600000000000003</v>
      </c>
      <c r="H148" s="70">
        <v>2.9</v>
      </c>
      <c r="I148" s="282">
        <v>4.51</v>
      </c>
      <c r="J148" s="329">
        <f t="shared" si="40"/>
        <v>4.9021739130434776</v>
      </c>
      <c r="K148" s="70">
        <f t="shared" si="41"/>
        <v>-1.6099999999999999</v>
      </c>
      <c r="L148" s="284">
        <f t="shared" si="42"/>
        <v>0.35698447893569846</v>
      </c>
      <c r="M148" s="268">
        <v>25</v>
      </c>
      <c r="N148">
        <v>3.58</v>
      </c>
      <c r="O148" s="268">
        <v>6.35</v>
      </c>
      <c r="P148">
        <v>129.72999999999999</v>
      </c>
      <c r="Q148" s="268">
        <v>1535.4</v>
      </c>
      <c r="R148">
        <v>4.51</v>
      </c>
      <c r="S148" s="268">
        <v>109.09</v>
      </c>
      <c r="T148" s="70" t="s">
        <v>185</v>
      </c>
    </row>
    <row r="149" spans="1:20" x14ac:dyDescent="0.25">
      <c r="A149" s="71"/>
      <c r="B149" s="9" t="s">
        <v>3</v>
      </c>
      <c r="C149" s="9" t="s">
        <v>66</v>
      </c>
      <c r="D149" s="39">
        <v>0.55000000000000004</v>
      </c>
      <c r="E149" s="126">
        <v>1.84</v>
      </c>
      <c r="F149" s="95">
        <v>1.72</v>
      </c>
      <c r="G149" s="126">
        <f t="shared" si="43"/>
        <v>0.12000000000000011</v>
      </c>
      <c r="H149" s="70">
        <v>1.3</v>
      </c>
      <c r="I149" s="282">
        <v>1.1299999999999999</v>
      </c>
      <c r="J149" s="329">
        <f t="shared" si="40"/>
        <v>2.0545454545454542</v>
      </c>
      <c r="K149" s="70">
        <f t="shared" si="41"/>
        <v>0.17000000000000015</v>
      </c>
      <c r="L149" s="284">
        <f t="shared" si="42"/>
        <v>0.15044247787610635</v>
      </c>
      <c r="M149" s="268">
        <v>25</v>
      </c>
      <c r="N149" s="70">
        <v>3.58</v>
      </c>
      <c r="O149" s="268">
        <v>6.35</v>
      </c>
      <c r="P149" s="70">
        <v>129.72999999999999</v>
      </c>
      <c r="Q149" s="268">
        <v>1535.4</v>
      </c>
      <c r="R149">
        <v>3.08</v>
      </c>
      <c r="S149" s="268">
        <v>45.41</v>
      </c>
      <c r="T149" s="70" t="s">
        <v>185</v>
      </c>
    </row>
    <row r="150" spans="1:20" x14ac:dyDescent="0.25">
      <c r="A150" s="1"/>
      <c r="B150" s="9" t="s">
        <v>3</v>
      </c>
      <c r="C150" s="9" t="s">
        <v>67</v>
      </c>
      <c r="D150" s="39">
        <v>0.96</v>
      </c>
      <c r="E150" s="126">
        <v>2.36</v>
      </c>
      <c r="F150" s="95">
        <v>2.88</v>
      </c>
      <c r="G150" s="126">
        <f t="shared" si="43"/>
        <v>-0.52</v>
      </c>
      <c r="H150" s="70">
        <v>3</v>
      </c>
      <c r="I150" s="282">
        <v>2.46</v>
      </c>
      <c r="J150" s="329">
        <f t="shared" si="40"/>
        <v>2.5625</v>
      </c>
      <c r="K150" s="70">
        <f t="shared" si="41"/>
        <v>0.54</v>
      </c>
      <c r="L150" s="284">
        <f t="shared" si="42"/>
        <v>0.21951219512195125</v>
      </c>
      <c r="M150" s="268">
        <v>25</v>
      </c>
      <c r="N150" s="70">
        <v>3.58</v>
      </c>
      <c r="O150" s="268">
        <v>6.35</v>
      </c>
      <c r="P150" s="70">
        <v>129.72999999999999</v>
      </c>
      <c r="Q150" s="268">
        <v>1535.4</v>
      </c>
      <c r="R150">
        <v>1.54</v>
      </c>
      <c r="S150" s="268">
        <v>106.58</v>
      </c>
      <c r="T150" s="70" t="s">
        <v>185</v>
      </c>
    </row>
    <row r="151" spans="1:20" x14ac:dyDescent="0.25">
      <c r="A151" s="71"/>
      <c r="B151" s="9" t="s">
        <v>3</v>
      </c>
      <c r="C151" s="9" t="s">
        <v>68</v>
      </c>
      <c r="D151" s="39">
        <v>0.56999999999999995</v>
      </c>
      <c r="E151" s="126">
        <v>1.82</v>
      </c>
      <c r="F151" s="95">
        <v>2.1800000000000002</v>
      </c>
      <c r="G151" s="126">
        <f t="shared" si="43"/>
        <v>-0.3600000000000001</v>
      </c>
      <c r="H151" s="288">
        <v>1.8</v>
      </c>
      <c r="I151" s="282">
        <v>1.32</v>
      </c>
      <c r="J151" s="329">
        <f t="shared" si="40"/>
        <v>2.3157894736842106</v>
      </c>
      <c r="K151" s="70">
        <f t="shared" si="41"/>
        <v>0.48</v>
      </c>
      <c r="L151" s="284">
        <f t="shared" si="42"/>
        <v>0.36363636363636359</v>
      </c>
      <c r="M151" s="268">
        <v>25</v>
      </c>
      <c r="N151" s="70">
        <v>3.58</v>
      </c>
      <c r="O151" s="268">
        <v>6.35</v>
      </c>
      <c r="P151" s="70">
        <v>129.72999999999999</v>
      </c>
      <c r="Q151" s="268">
        <v>1535.4</v>
      </c>
      <c r="R151">
        <v>3.48</v>
      </c>
      <c r="S151" s="268">
        <v>38.74</v>
      </c>
      <c r="T151" s="70" t="s">
        <v>185</v>
      </c>
    </row>
    <row r="152" spans="1:20" x14ac:dyDescent="0.25">
      <c r="A152" s="71"/>
      <c r="B152" s="9" t="s">
        <v>3</v>
      </c>
      <c r="C152" s="72" t="s">
        <v>69</v>
      </c>
      <c r="D152" s="39">
        <v>0.9</v>
      </c>
      <c r="E152" s="126">
        <v>3.33</v>
      </c>
      <c r="F152" s="95">
        <v>5.25</v>
      </c>
      <c r="G152" s="126">
        <f t="shared" si="43"/>
        <v>-1.92</v>
      </c>
      <c r="H152" s="70">
        <v>4.3</v>
      </c>
      <c r="I152" s="282">
        <v>3.84</v>
      </c>
      <c r="J152" s="329">
        <f t="shared" si="40"/>
        <v>4.2666666666666666</v>
      </c>
      <c r="K152" s="70">
        <f t="shared" si="41"/>
        <v>0.45999999999999996</v>
      </c>
      <c r="L152" s="284">
        <f t="shared" si="42"/>
        <v>0.11979166666666666</v>
      </c>
      <c r="M152" s="268">
        <v>27</v>
      </c>
      <c r="N152">
        <v>3.59</v>
      </c>
      <c r="O152" s="268">
        <v>7.2</v>
      </c>
      <c r="P152">
        <v>121.87</v>
      </c>
      <c r="Q152" s="268">
        <v>1624.4</v>
      </c>
      <c r="R152">
        <v>4.76</v>
      </c>
      <c r="S152" s="268">
        <v>32.909999999999997</v>
      </c>
      <c r="T152" s="70" t="s">
        <v>185</v>
      </c>
    </row>
    <row r="153" spans="1:20" x14ac:dyDescent="0.25">
      <c r="A153" s="71"/>
      <c r="B153" s="9" t="s">
        <v>3</v>
      </c>
      <c r="C153" s="9" t="s">
        <v>70</v>
      </c>
      <c r="D153" s="39">
        <v>2.68</v>
      </c>
      <c r="E153" s="126">
        <v>8.52</v>
      </c>
      <c r="F153" s="95">
        <v>12</v>
      </c>
      <c r="G153" s="126">
        <f t="shared" si="43"/>
        <v>-3.4800000000000004</v>
      </c>
      <c r="H153" s="70">
        <v>9.5</v>
      </c>
      <c r="I153" s="282">
        <v>11.47</v>
      </c>
      <c r="J153" s="329">
        <f t="shared" si="40"/>
        <v>4.2798507462686564</v>
      </c>
      <c r="K153" s="70">
        <f t="shared" si="41"/>
        <v>-1.9700000000000006</v>
      </c>
      <c r="L153" s="284">
        <f t="shared" si="42"/>
        <v>0.17175239755884922</v>
      </c>
      <c r="M153" s="268">
        <v>24.1</v>
      </c>
      <c r="N153">
        <v>3.59</v>
      </c>
      <c r="O153" s="268">
        <v>5.5</v>
      </c>
      <c r="P153">
        <v>96.06</v>
      </c>
      <c r="Q153" s="268">
        <v>1545.8</v>
      </c>
      <c r="R153">
        <v>4.3499999999999996</v>
      </c>
      <c r="S153" s="268">
        <v>49.33</v>
      </c>
      <c r="T153" s="70" t="s">
        <v>185</v>
      </c>
    </row>
    <row r="154" spans="1:20" x14ac:dyDescent="0.25">
      <c r="A154" s="1"/>
      <c r="B154" s="9" t="s">
        <v>3</v>
      </c>
      <c r="C154" s="9" t="s">
        <v>71</v>
      </c>
      <c r="D154" s="39">
        <v>0.53</v>
      </c>
      <c r="E154" s="126">
        <v>2.74</v>
      </c>
      <c r="F154" s="95">
        <v>2.84</v>
      </c>
      <c r="G154" s="126">
        <f t="shared" si="43"/>
        <v>-9.9999999999999645E-2</v>
      </c>
      <c r="H154" s="70">
        <v>2</v>
      </c>
      <c r="I154" s="282">
        <v>3.75</v>
      </c>
      <c r="J154" s="329">
        <f t="shared" si="40"/>
        <v>7.0754716981132075</v>
      </c>
      <c r="K154">
        <f t="shared" si="41"/>
        <v>-1.75</v>
      </c>
      <c r="L154" s="284">
        <f t="shared" si="42"/>
        <v>0.46666666666666667</v>
      </c>
      <c r="M154" s="268">
        <v>24.8</v>
      </c>
      <c r="N154">
        <v>3.54</v>
      </c>
      <c r="O154" s="268">
        <v>5.8</v>
      </c>
      <c r="P154">
        <v>156.5</v>
      </c>
      <c r="Q154" s="268">
        <v>1566.5</v>
      </c>
      <c r="R154">
        <v>3.75</v>
      </c>
      <c r="S154" s="268">
        <v>39.340000000000003</v>
      </c>
      <c r="T154" s="70" t="s">
        <v>185</v>
      </c>
    </row>
    <row r="155" spans="1:20" x14ac:dyDescent="0.25">
      <c r="A155" s="71"/>
      <c r="B155" s="9" t="s">
        <v>3</v>
      </c>
      <c r="C155" s="9" t="s">
        <v>72</v>
      </c>
      <c r="D155" s="39">
        <v>1.25</v>
      </c>
      <c r="E155" s="126">
        <v>5.41</v>
      </c>
      <c r="F155" s="95">
        <v>6.22</v>
      </c>
      <c r="G155" s="126">
        <f t="shared" si="43"/>
        <v>-0.80999999999999961</v>
      </c>
      <c r="H155" s="70">
        <v>4.0999999999999996</v>
      </c>
      <c r="I155" s="282">
        <v>4.1100000000000003</v>
      </c>
      <c r="J155" s="329">
        <f t="shared" si="40"/>
        <v>3.2880000000000003</v>
      </c>
      <c r="K155" s="70">
        <f t="shared" si="41"/>
        <v>-1.0000000000000675E-2</v>
      </c>
      <c r="L155" s="284">
        <f t="shared" si="42"/>
        <v>2.4330900243310642E-3</v>
      </c>
      <c r="M155" s="268">
        <v>24.8</v>
      </c>
      <c r="N155">
        <v>3.54</v>
      </c>
      <c r="O155" s="268">
        <v>5.8</v>
      </c>
      <c r="P155" s="70">
        <v>156.5</v>
      </c>
      <c r="Q155" s="268">
        <v>1566.5</v>
      </c>
      <c r="R155">
        <v>5.14</v>
      </c>
      <c r="S155" s="268">
        <v>31.19</v>
      </c>
      <c r="T155" s="70" t="s">
        <v>185</v>
      </c>
    </row>
    <row r="156" spans="1:20" x14ac:dyDescent="0.25">
      <c r="A156" s="71"/>
      <c r="B156" s="9" t="s">
        <v>3</v>
      </c>
      <c r="C156" s="9" t="s">
        <v>73</v>
      </c>
      <c r="D156" s="39">
        <v>1.63</v>
      </c>
      <c r="E156" s="126">
        <v>6.38</v>
      </c>
      <c r="F156" s="95">
        <v>8.42</v>
      </c>
      <c r="G156" s="126">
        <f t="shared" si="43"/>
        <v>-2.04</v>
      </c>
      <c r="H156" s="288">
        <v>6.7</v>
      </c>
      <c r="I156" s="282">
        <v>6.91</v>
      </c>
      <c r="J156" s="329">
        <f t="shared" si="40"/>
        <v>4.2392638036809815</v>
      </c>
      <c r="K156" s="70">
        <f t="shared" si="41"/>
        <v>-0.20999999999999996</v>
      </c>
      <c r="L156" s="284">
        <f t="shared" si="42"/>
        <v>3.0390738060781471E-2</v>
      </c>
      <c r="M156" s="268">
        <v>24.1</v>
      </c>
      <c r="N156">
        <v>3.78</v>
      </c>
      <c r="O156" s="268">
        <v>5.6</v>
      </c>
      <c r="P156">
        <v>289.32</v>
      </c>
      <c r="Q156" s="268">
        <v>1566.5</v>
      </c>
      <c r="R156">
        <v>8.86</v>
      </c>
      <c r="S156" s="268">
        <v>24.43</v>
      </c>
      <c r="T156" s="70" t="s">
        <v>185</v>
      </c>
    </row>
    <row r="157" spans="1:20" x14ac:dyDescent="0.25">
      <c r="A157" s="71"/>
      <c r="B157" s="9" t="s">
        <v>3</v>
      </c>
      <c r="C157" s="9" t="s">
        <v>74</v>
      </c>
      <c r="D157" s="39">
        <v>1.72</v>
      </c>
      <c r="E157" s="126">
        <v>5.4</v>
      </c>
      <c r="F157" s="95">
        <v>6.16</v>
      </c>
      <c r="G157" s="126">
        <f t="shared" si="43"/>
        <v>-0.75999999999999979</v>
      </c>
      <c r="H157" s="288">
        <v>6</v>
      </c>
      <c r="I157" s="282">
        <v>7.39</v>
      </c>
      <c r="J157" s="329">
        <f t="shared" si="40"/>
        <v>4.2965116279069768</v>
      </c>
      <c r="K157" s="70">
        <f t="shared" si="41"/>
        <v>-1.3899999999999997</v>
      </c>
      <c r="L157" s="284">
        <f t="shared" si="42"/>
        <v>0.18809201623815963</v>
      </c>
      <c r="M157" s="268">
        <v>24.3</v>
      </c>
      <c r="N157">
        <v>3.64</v>
      </c>
      <c r="O157" s="268">
        <v>4.8499999999999996</v>
      </c>
      <c r="P157">
        <v>211.43</v>
      </c>
      <c r="Q157" s="268">
        <v>1566.5</v>
      </c>
      <c r="R157">
        <v>1.8</v>
      </c>
      <c r="S157" s="268">
        <v>122.3</v>
      </c>
      <c r="T157" s="70" t="s">
        <v>185</v>
      </c>
    </row>
    <row r="158" spans="1:20" x14ac:dyDescent="0.25">
      <c r="A158" s="1"/>
      <c r="B158" s="9" t="s">
        <v>3</v>
      </c>
      <c r="C158" s="9" t="s">
        <v>75</v>
      </c>
      <c r="D158" s="39">
        <v>1.57</v>
      </c>
      <c r="E158" s="126">
        <v>3.86</v>
      </c>
      <c r="F158" s="95">
        <v>6.93</v>
      </c>
      <c r="G158" s="126">
        <f t="shared" si="43"/>
        <v>-3.07</v>
      </c>
      <c r="H158" s="70">
        <v>3.7</v>
      </c>
      <c r="I158" s="282">
        <v>5.29</v>
      </c>
      <c r="J158" s="329">
        <f t="shared" si="40"/>
        <v>3.3694267515923566</v>
      </c>
      <c r="K158" s="70">
        <f t="shared" si="41"/>
        <v>-1.5899999999999999</v>
      </c>
      <c r="L158" s="284">
        <f t="shared" si="42"/>
        <v>0.30056710775047257</v>
      </c>
      <c r="M158" s="268">
        <v>24.1</v>
      </c>
      <c r="N158">
        <v>3.72</v>
      </c>
      <c r="O158" s="268">
        <v>4</v>
      </c>
      <c r="P158">
        <v>262.7</v>
      </c>
      <c r="Q158" s="268">
        <v>1566.5</v>
      </c>
      <c r="R158">
        <v>1.72</v>
      </c>
      <c r="S158" s="268">
        <v>95.66</v>
      </c>
      <c r="T158" s="70" t="s">
        <v>185</v>
      </c>
    </row>
    <row r="159" spans="1:20" x14ac:dyDescent="0.25">
      <c r="A159" s="71"/>
      <c r="B159" s="9" t="s">
        <v>3</v>
      </c>
      <c r="C159" s="9" t="s">
        <v>76</v>
      </c>
      <c r="D159" s="39">
        <v>1.01</v>
      </c>
      <c r="E159" s="126">
        <v>3.65</v>
      </c>
      <c r="F159" s="95">
        <v>6.29</v>
      </c>
      <c r="G159" s="126">
        <f t="shared" si="43"/>
        <v>-2.64</v>
      </c>
      <c r="H159" s="234">
        <v>3.6</v>
      </c>
      <c r="I159" s="282">
        <v>4.6399999999999997</v>
      </c>
      <c r="J159" s="329">
        <f t="shared" si="40"/>
        <v>4.5940594059405937</v>
      </c>
      <c r="K159" s="70">
        <f t="shared" si="41"/>
        <v>-1.0399999999999996</v>
      </c>
      <c r="L159" s="284">
        <f t="shared" si="42"/>
        <v>0.22413793103448268</v>
      </c>
      <c r="M159" s="268">
        <v>26.35</v>
      </c>
      <c r="N159">
        <v>3.7</v>
      </c>
      <c r="O159" s="268">
        <v>5.45</v>
      </c>
      <c r="P159">
        <v>220.72</v>
      </c>
    </row>
    <row r="160" spans="1:20" s="70" customFormat="1" x14ac:dyDescent="0.25">
      <c r="A160" s="71"/>
      <c r="B160" s="9"/>
      <c r="C160" s="9" t="s">
        <v>182</v>
      </c>
      <c r="D160" s="39"/>
      <c r="E160" s="126"/>
      <c r="F160" s="95"/>
      <c r="G160" s="126"/>
      <c r="H160" s="234"/>
      <c r="I160" s="282"/>
      <c r="J160" s="329"/>
      <c r="L160" s="284"/>
      <c r="M160" s="268"/>
      <c r="O160" s="268"/>
      <c r="Q160" s="268">
        <v>1539</v>
      </c>
      <c r="R160" s="70">
        <v>3.87</v>
      </c>
      <c r="S160" s="268">
        <v>37.53</v>
      </c>
      <c r="T160" s="70" t="s">
        <v>186</v>
      </c>
    </row>
    <row r="161" spans="1:21" s="70" customFormat="1" x14ac:dyDescent="0.25">
      <c r="A161" s="71"/>
      <c r="B161" s="9"/>
      <c r="C161" s="9" t="s">
        <v>181</v>
      </c>
      <c r="D161" s="39"/>
      <c r="E161" s="126"/>
      <c r="F161" s="95"/>
      <c r="G161" s="126"/>
      <c r="H161" s="234"/>
      <c r="I161" s="282"/>
      <c r="J161" s="329"/>
      <c r="L161" s="284"/>
      <c r="M161" s="268"/>
      <c r="O161" s="268"/>
      <c r="Q161" s="268">
        <v>1624.4</v>
      </c>
      <c r="R161" s="70">
        <v>4.8499999999999996</v>
      </c>
      <c r="S161" s="268">
        <v>32.799999999999997</v>
      </c>
      <c r="T161" s="70" t="s">
        <v>185</v>
      </c>
    </row>
    <row r="162" spans="1:21" x14ac:dyDescent="0.25">
      <c r="A162" s="71"/>
      <c r="B162" s="9" t="s">
        <v>3</v>
      </c>
      <c r="C162" s="9" t="s">
        <v>77</v>
      </c>
      <c r="D162" s="39">
        <v>1.5</v>
      </c>
      <c r="E162" s="126">
        <v>4.58</v>
      </c>
      <c r="F162" s="95">
        <v>8.81</v>
      </c>
      <c r="G162" s="126">
        <f t="shared" si="43"/>
        <v>-4.2300000000000004</v>
      </c>
      <c r="H162" s="288">
        <v>7.3</v>
      </c>
      <c r="I162" s="282">
        <v>5.47</v>
      </c>
      <c r="J162" s="329">
        <f t="shared" si="40"/>
        <v>3.6466666666666665</v>
      </c>
      <c r="K162" s="70">
        <f t="shared" si="41"/>
        <v>1.83</v>
      </c>
      <c r="L162" s="284">
        <f t="shared" si="42"/>
        <v>0.33455210237659966</v>
      </c>
      <c r="M162" s="268">
        <v>26.35</v>
      </c>
      <c r="N162" s="70">
        <v>3.7</v>
      </c>
      <c r="O162" s="268">
        <v>5.45</v>
      </c>
      <c r="P162">
        <v>156.94999999999999</v>
      </c>
    </row>
    <row r="163" spans="1:21" s="70" customFormat="1" x14ac:dyDescent="0.25">
      <c r="A163" s="71"/>
      <c r="B163" s="9"/>
      <c r="C163" s="9" t="s">
        <v>182</v>
      </c>
      <c r="D163" s="39"/>
      <c r="E163" s="126"/>
      <c r="F163" s="95"/>
      <c r="G163" s="126"/>
      <c r="H163" s="288"/>
      <c r="I163" s="282"/>
      <c r="J163" s="329"/>
      <c r="L163" s="284"/>
      <c r="M163" s="268"/>
      <c r="O163" s="268"/>
      <c r="Q163" s="268">
        <v>1539</v>
      </c>
      <c r="R163" s="70">
        <v>7.32</v>
      </c>
      <c r="S163" s="268">
        <v>37.53</v>
      </c>
      <c r="T163" s="70" t="s">
        <v>186</v>
      </c>
    </row>
    <row r="164" spans="1:21" s="70" customFormat="1" x14ac:dyDescent="0.25">
      <c r="A164" s="71"/>
      <c r="B164" s="9"/>
      <c r="C164" s="9" t="s">
        <v>181</v>
      </c>
      <c r="D164" s="39"/>
      <c r="E164" s="126"/>
      <c r="F164" s="95"/>
      <c r="G164" s="126"/>
      <c r="H164" s="288"/>
      <c r="I164" s="282"/>
      <c r="J164" s="329"/>
      <c r="L164" s="284"/>
      <c r="M164" s="268"/>
      <c r="O164" s="268"/>
      <c r="Q164" s="268">
        <v>1624.4</v>
      </c>
      <c r="R164" s="70">
        <v>5.2</v>
      </c>
      <c r="S164" s="268">
        <v>30.8</v>
      </c>
      <c r="T164" s="70" t="s">
        <v>185</v>
      </c>
    </row>
    <row r="165" spans="1:21" x14ac:dyDescent="0.25">
      <c r="A165" s="71"/>
      <c r="B165" s="9" t="s">
        <v>86</v>
      </c>
      <c r="C165" s="9" t="s">
        <v>49</v>
      </c>
      <c r="D165" s="39">
        <v>2.71</v>
      </c>
      <c r="E165" s="126">
        <v>10.52</v>
      </c>
      <c r="F165" s="95">
        <v>10.26</v>
      </c>
      <c r="G165" s="126">
        <f t="shared" si="43"/>
        <v>0.25999999999999979</v>
      </c>
      <c r="H165" s="234">
        <v>6.3</v>
      </c>
      <c r="I165" s="282">
        <v>9.73</v>
      </c>
      <c r="J165" s="329">
        <f t="shared" si="40"/>
        <v>3.5904059040590406</v>
      </c>
      <c r="K165" s="70">
        <f t="shared" si="41"/>
        <v>-3.4300000000000006</v>
      </c>
      <c r="L165" s="284">
        <f t="shared" si="42"/>
        <v>0.35251798561151082</v>
      </c>
      <c r="M165" s="268">
        <v>25.4</v>
      </c>
      <c r="N165">
        <v>3.52</v>
      </c>
      <c r="O165" s="268">
        <v>9.1</v>
      </c>
      <c r="P165">
        <v>234.9</v>
      </c>
      <c r="Q165" s="268">
        <v>1503.4</v>
      </c>
      <c r="R165">
        <v>2.41</v>
      </c>
      <c r="S165" s="268">
        <v>123.37</v>
      </c>
      <c r="T165" t="s">
        <v>189</v>
      </c>
      <c r="U165" t="s">
        <v>190</v>
      </c>
    </row>
    <row r="166" spans="1:21" x14ac:dyDescent="0.25">
      <c r="A166" s="1"/>
      <c r="B166" s="9" t="s">
        <v>86</v>
      </c>
      <c r="C166" s="9" t="s">
        <v>44</v>
      </c>
      <c r="D166" s="39">
        <v>1.04</v>
      </c>
      <c r="E166" s="126">
        <v>2.92</v>
      </c>
      <c r="F166" s="95">
        <v>3.6</v>
      </c>
      <c r="G166" s="126">
        <f t="shared" si="43"/>
        <v>-0.68000000000000016</v>
      </c>
      <c r="H166" s="234">
        <v>4.5</v>
      </c>
      <c r="I166" s="282">
        <v>3.67</v>
      </c>
      <c r="J166" s="329">
        <f t="shared" si="40"/>
        <v>3.5288461538461537</v>
      </c>
      <c r="K166" s="70">
        <f t="shared" si="41"/>
        <v>0.83000000000000007</v>
      </c>
      <c r="L166" s="284">
        <f t="shared" si="42"/>
        <v>0.226158038147139</v>
      </c>
      <c r="M166" s="268">
        <v>24</v>
      </c>
      <c r="N166">
        <v>3.62</v>
      </c>
      <c r="O166" s="268">
        <v>9.8000000000000007</v>
      </c>
      <c r="P166">
        <v>227.12</v>
      </c>
      <c r="Q166" s="268">
        <v>1429.5</v>
      </c>
      <c r="R166">
        <v>3.5</v>
      </c>
      <c r="S166" s="268">
        <v>46.67</v>
      </c>
      <c r="T166" s="70" t="s">
        <v>189</v>
      </c>
    </row>
    <row r="167" spans="1:21" x14ac:dyDescent="0.25">
      <c r="A167" s="71"/>
      <c r="B167" s="9" t="s">
        <v>86</v>
      </c>
      <c r="C167" s="9" t="s">
        <v>12</v>
      </c>
      <c r="D167" s="39">
        <v>1.31</v>
      </c>
      <c r="E167" s="126">
        <v>4.51</v>
      </c>
      <c r="F167" s="95">
        <v>6.61</v>
      </c>
      <c r="G167" s="126">
        <f t="shared" si="43"/>
        <v>-2.1000000000000005</v>
      </c>
      <c r="H167" s="234">
        <v>4.7</v>
      </c>
      <c r="I167" s="282">
        <v>7.92</v>
      </c>
      <c r="J167" s="329">
        <f t="shared" si="40"/>
        <v>6.0458015267175567</v>
      </c>
      <c r="K167" s="70">
        <f t="shared" si="41"/>
        <v>-3.2199999999999998</v>
      </c>
      <c r="L167" s="284">
        <f t="shared" si="42"/>
        <v>0.40656565656565652</v>
      </c>
      <c r="M167" s="268">
        <v>23.4</v>
      </c>
      <c r="N167">
        <v>3.6</v>
      </c>
      <c r="O167" s="268">
        <v>10.95</v>
      </c>
      <c r="P167">
        <v>212.79</v>
      </c>
      <c r="Q167" s="268">
        <v>1429.5</v>
      </c>
      <c r="R167">
        <v>5.72</v>
      </c>
      <c r="S167" s="268">
        <v>53.4</v>
      </c>
      <c r="T167" s="70" t="s">
        <v>189</v>
      </c>
    </row>
    <row r="168" spans="1:21" x14ac:dyDescent="0.25">
      <c r="A168" s="71"/>
      <c r="B168" s="9" t="s">
        <v>86</v>
      </c>
      <c r="C168" s="9" t="s">
        <v>36</v>
      </c>
      <c r="D168" s="39">
        <v>1.22</v>
      </c>
      <c r="E168" s="126">
        <v>3.83</v>
      </c>
      <c r="F168" s="95">
        <v>1.38</v>
      </c>
      <c r="G168" s="126">
        <f t="shared" si="43"/>
        <v>2.4500000000000002</v>
      </c>
      <c r="H168" s="288">
        <v>5</v>
      </c>
      <c r="I168" s="282">
        <v>3.81</v>
      </c>
      <c r="J168" s="329">
        <f t="shared" si="40"/>
        <v>3.1229508196721314</v>
      </c>
      <c r="K168" s="70">
        <f t="shared" si="41"/>
        <v>1.19</v>
      </c>
      <c r="L168" s="284">
        <f t="shared" si="42"/>
        <v>0.31233595800524933</v>
      </c>
      <c r="M168" s="268">
        <v>23.4</v>
      </c>
      <c r="N168" s="70">
        <v>3.6</v>
      </c>
      <c r="O168" s="268">
        <v>10.95</v>
      </c>
      <c r="P168" s="70">
        <v>212.79</v>
      </c>
      <c r="Q168" s="268">
        <v>1429.5</v>
      </c>
      <c r="R168">
        <v>3.11</v>
      </c>
      <c r="S168" s="268">
        <v>49.11</v>
      </c>
      <c r="T168" s="70" t="s">
        <v>189</v>
      </c>
    </row>
    <row r="169" spans="1:21" x14ac:dyDescent="0.25">
      <c r="A169" s="71"/>
      <c r="B169" s="9" t="s">
        <v>86</v>
      </c>
      <c r="C169" s="9" t="s">
        <v>63</v>
      </c>
      <c r="D169" s="39">
        <v>0.45</v>
      </c>
      <c r="E169" s="126">
        <v>3.21</v>
      </c>
      <c r="F169" s="95">
        <v>1.1000000000000001</v>
      </c>
      <c r="G169" s="126">
        <f t="shared" si="43"/>
        <v>2.11</v>
      </c>
      <c r="H169" s="234">
        <v>2</v>
      </c>
      <c r="I169" s="282">
        <v>1.81</v>
      </c>
      <c r="J169" s="329">
        <f t="shared" si="40"/>
        <v>4.0222222222222221</v>
      </c>
      <c r="K169" s="70">
        <f t="shared" si="41"/>
        <v>0.18999999999999995</v>
      </c>
      <c r="L169" s="303">
        <f t="shared" si="42"/>
        <v>0.1049723756906077</v>
      </c>
      <c r="M169" s="268">
        <v>23.4</v>
      </c>
      <c r="N169" s="70">
        <v>3.6</v>
      </c>
      <c r="O169" s="268">
        <v>10.95</v>
      </c>
      <c r="P169" s="70">
        <v>212.79</v>
      </c>
      <c r="Q169" s="268">
        <v>1429.5</v>
      </c>
      <c r="R169">
        <v>4.1500000000000004</v>
      </c>
      <c r="S169" s="268">
        <v>51.19</v>
      </c>
      <c r="T169" s="70" t="s">
        <v>189</v>
      </c>
    </row>
    <row r="170" spans="1:21" x14ac:dyDescent="0.25">
      <c r="A170" s="1"/>
      <c r="B170" s="9" t="s">
        <v>86</v>
      </c>
      <c r="C170" s="9" t="s">
        <v>64</v>
      </c>
      <c r="D170" s="39">
        <v>0.32</v>
      </c>
      <c r="E170" s="126">
        <v>0.41</v>
      </c>
      <c r="F170" s="95">
        <v>3.22</v>
      </c>
      <c r="G170" s="126">
        <f t="shared" si="43"/>
        <v>-2.81</v>
      </c>
      <c r="H170" s="234">
        <v>1.6</v>
      </c>
      <c r="I170" s="282">
        <v>0.94</v>
      </c>
      <c r="J170" s="329">
        <f t="shared" si="40"/>
        <v>2.9374999999999996</v>
      </c>
      <c r="K170" s="70">
        <f t="shared" si="41"/>
        <v>0.66000000000000014</v>
      </c>
      <c r="L170" s="284">
        <f t="shared" si="42"/>
        <v>0.70212765957446832</v>
      </c>
      <c r="M170" s="268">
        <v>23.4</v>
      </c>
      <c r="N170" s="70">
        <v>3.6</v>
      </c>
      <c r="O170" s="268">
        <v>10.95</v>
      </c>
      <c r="P170">
        <v>227.12</v>
      </c>
      <c r="Q170" s="268">
        <v>1429.5</v>
      </c>
      <c r="R170">
        <v>2.74</v>
      </c>
      <c r="S170" s="268">
        <v>56.63</v>
      </c>
      <c r="T170" s="70" t="s">
        <v>189</v>
      </c>
    </row>
    <row r="171" spans="1:21" s="70" customFormat="1" x14ac:dyDescent="0.25">
      <c r="A171" s="1"/>
      <c r="B171" s="18" t="s">
        <v>7</v>
      </c>
      <c r="C171" s="18" t="s">
        <v>180</v>
      </c>
      <c r="D171" s="39"/>
      <c r="E171" s="126"/>
      <c r="F171" s="95"/>
      <c r="G171" s="126"/>
      <c r="H171" s="234"/>
      <c r="I171" s="282"/>
      <c r="J171" s="329"/>
      <c r="L171" s="284"/>
      <c r="M171" s="268"/>
      <c r="O171" s="268"/>
      <c r="Q171" s="268">
        <v>1418.4</v>
      </c>
      <c r="S171" s="268"/>
      <c r="T171" s="70" t="s">
        <v>187</v>
      </c>
    </row>
    <row r="172" spans="1:21" x14ac:dyDescent="0.25">
      <c r="A172" s="71"/>
      <c r="B172" s="18" t="s">
        <v>7</v>
      </c>
      <c r="C172" s="18" t="s">
        <v>179</v>
      </c>
      <c r="D172" s="129">
        <v>5.0999999999999996</v>
      </c>
      <c r="E172" s="140">
        <v>15.46</v>
      </c>
      <c r="F172" s="97">
        <v>29.34</v>
      </c>
      <c r="G172" s="126">
        <f t="shared" si="43"/>
        <v>-13.879999999999999</v>
      </c>
      <c r="H172" s="234">
        <v>28.8</v>
      </c>
      <c r="I172" s="282">
        <v>30.54</v>
      </c>
      <c r="J172" s="329">
        <f t="shared" si="40"/>
        <v>5.9882352941176471</v>
      </c>
      <c r="K172" s="70">
        <f t="shared" si="41"/>
        <v>-1.7399999999999984</v>
      </c>
      <c r="L172" s="284">
        <f t="shared" si="42"/>
        <v>5.6974459724950834E-2</v>
      </c>
      <c r="M172" s="268">
        <v>24.5</v>
      </c>
      <c r="N172">
        <v>3.43</v>
      </c>
      <c r="O172" s="268">
        <v>7.4</v>
      </c>
      <c r="P172">
        <v>316.67</v>
      </c>
      <c r="Q172" s="268">
        <v>1394.7</v>
      </c>
      <c r="T172" t="s">
        <v>187</v>
      </c>
    </row>
    <row r="173" spans="1:21" x14ac:dyDescent="0.25">
      <c r="A173" s="71"/>
      <c r="B173" s="18" t="s">
        <v>7</v>
      </c>
      <c r="C173" s="18" t="s">
        <v>42</v>
      </c>
      <c r="D173" s="129">
        <v>4</v>
      </c>
      <c r="E173" s="140">
        <v>7.7</v>
      </c>
      <c r="F173" s="97">
        <v>18.02</v>
      </c>
      <c r="G173" s="126">
        <f t="shared" si="43"/>
        <v>-10.32</v>
      </c>
      <c r="H173" s="290">
        <v>12</v>
      </c>
      <c r="I173" s="282">
        <v>22.5</v>
      </c>
      <c r="J173" s="329">
        <f t="shared" si="40"/>
        <v>5.625</v>
      </c>
      <c r="K173" s="70">
        <f t="shared" si="41"/>
        <v>-10.5</v>
      </c>
      <c r="L173" s="284">
        <f t="shared" si="42"/>
        <v>0.46666666666666667</v>
      </c>
      <c r="M173" s="268">
        <v>22.74</v>
      </c>
      <c r="N173">
        <v>3.53</v>
      </c>
      <c r="O173" s="268">
        <v>5.94</v>
      </c>
      <c r="P173">
        <v>335.2</v>
      </c>
      <c r="Q173" s="268">
        <v>1416.1</v>
      </c>
      <c r="T173" s="70" t="s">
        <v>187</v>
      </c>
    </row>
    <row r="174" spans="1:21" x14ac:dyDescent="0.25">
      <c r="A174" s="71"/>
      <c r="B174" s="18" t="s">
        <v>7</v>
      </c>
      <c r="C174" s="18" t="s">
        <v>47</v>
      </c>
      <c r="D174" s="129">
        <v>4.5</v>
      </c>
      <c r="E174" s="140">
        <v>16.260000000000002</v>
      </c>
      <c r="F174" s="97">
        <v>23.8</v>
      </c>
      <c r="G174" s="126">
        <f t="shared" si="43"/>
        <v>-7.5399999999999991</v>
      </c>
      <c r="H174" s="290">
        <v>16</v>
      </c>
      <c r="I174" s="282">
        <v>22.76</v>
      </c>
      <c r="J174" s="329">
        <f t="shared" si="40"/>
        <v>5.0577777777777779</v>
      </c>
      <c r="K174" s="70" t="e">
        <f>H1451.3=H174-I174</f>
        <v>#NAME?</v>
      </c>
      <c r="L174" s="284">
        <f t="shared" si="42"/>
        <v>0.29701230228471004</v>
      </c>
      <c r="M174" s="268">
        <v>24.35</v>
      </c>
      <c r="N174">
        <v>3.47</v>
      </c>
      <c r="O174" s="268">
        <v>7.3</v>
      </c>
      <c r="P174">
        <v>231.71</v>
      </c>
      <c r="Q174" s="268">
        <v>1429.9</v>
      </c>
      <c r="T174" t="s">
        <v>187</v>
      </c>
    </row>
    <row r="175" spans="1:21" x14ac:dyDescent="0.25">
      <c r="A175" s="71"/>
      <c r="B175" s="12"/>
      <c r="C175" s="151" t="s">
        <v>115</v>
      </c>
      <c r="D175" s="176">
        <f>SUM(D146:D162)</f>
        <v>20.05</v>
      </c>
      <c r="E175" s="187">
        <f>SUM(E146:E162)</f>
        <v>65.800000000000011</v>
      </c>
      <c r="F175" s="176">
        <f>SUM(F146:F162)</f>
        <v>94.11</v>
      </c>
      <c r="G175" s="161">
        <f t="shared" si="43"/>
        <v>-28.309999999999988</v>
      </c>
      <c r="H175" s="70">
        <f>SUM(H146:H162)</f>
        <v>71.900000000000006</v>
      </c>
      <c r="I175" s="268">
        <f>SUM(I146:I162)</f>
        <v>79.42</v>
      </c>
      <c r="J175" s="329"/>
      <c r="K175" s="70">
        <f>H175-I175</f>
        <v>-7.519999999999996</v>
      </c>
      <c r="L175" s="284">
        <f t="shared" si="42"/>
        <v>9.4686476957945048E-2</v>
      </c>
    </row>
    <row r="176" spans="1:21" x14ac:dyDescent="0.25">
      <c r="A176" s="71"/>
      <c r="B176" s="12"/>
      <c r="C176" s="71" t="s">
        <v>119</v>
      </c>
      <c r="D176" s="149">
        <f>SUM(D165:D170)</f>
        <v>7.0500000000000007</v>
      </c>
      <c r="E176" s="165">
        <f>SUM(E165:E170)</f>
        <v>25.400000000000002</v>
      </c>
      <c r="F176" s="149">
        <f>SUM(F165:F170)</f>
        <v>26.169999999999998</v>
      </c>
      <c r="G176" s="171">
        <f t="shared" si="43"/>
        <v>-0.76999999999999602</v>
      </c>
      <c r="H176" s="70">
        <f>SUM(H165:H170)</f>
        <v>24.1</v>
      </c>
      <c r="I176" s="268">
        <f>SUM(I165:I170)</f>
        <v>27.88</v>
      </c>
      <c r="J176" s="329"/>
      <c r="K176" s="70">
        <f>H176-I176</f>
        <v>-3.7799999999999976</v>
      </c>
      <c r="L176" s="284">
        <f t="shared" si="42"/>
        <v>0.1355810616929698</v>
      </c>
    </row>
    <row r="177" spans="1:20" ht="15.75" thickBot="1" x14ac:dyDescent="0.3">
      <c r="A177" s="71"/>
      <c r="B177" s="69"/>
      <c r="C177" s="156" t="s">
        <v>117</v>
      </c>
      <c r="D177" s="183">
        <f>SUM(D172:D174)</f>
        <v>13.6</v>
      </c>
      <c r="E177" s="188">
        <f>SUM(E172:E174)</f>
        <v>39.42</v>
      </c>
      <c r="F177" s="183">
        <f>SUM(F172:F174)</f>
        <v>71.16</v>
      </c>
      <c r="G177" s="169">
        <f t="shared" si="43"/>
        <v>-31.739999999999995</v>
      </c>
      <c r="H177" s="70">
        <f>SUM(H172:H174)</f>
        <v>56.8</v>
      </c>
      <c r="I177" s="268">
        <f>SUM(I172:I174)</f>
        <v>75.8</v>
      </c>
      <c r="J177" s="329"/>
      <c r="K177" s="70">
        <f>H177-I177</f>
        <v>-19</v>
      </c>
      <c r="L177" s="284">
        <f t="shared" si="42"/>
        <v>0.2506596306068602</v>
      </c>
    </row>
    <row r="178" spans="1:20" ht="15.75" thickTop="1" x14ac:dyDescent="0.25">
      <c r="A178" s="43"/>
      <c r="B178" s="8"/>
      <c r="C178" s="79" t="s">
        <v>118</v>
      </c>
      <c r="D178" s="186">
        <f>SUM(D175:D177)</f>
        <v>40.700000000000003</v>
      </c>
      <c r="E178" s="165">
        <f>SUM(E175:E177)</f>
        <v>130.62</v>
      </c>
      <c r="F178" s="149">
        <f>SUM(F175:F177)</f>
        <v>191.44</v>
      </c>
      <c r="G178" s="171">
        <f t="shared" si="43"/>
        <v>-60.819999999999993</v>
      </c>
      <c r="H178" s="70">
        <f>SUM(H175:H177)</f>
        <v>152.80000000000001</v>
      </c>
      <c r="I178" s="268">
        <f>SUM(I175:I177)</f>
        <v>183.1</v>
      </c>
      <c r="J178" s="329"/>
      <c r="K178" s="70">
        <f>H178-I178</f>
        <v>-30.299999999999983</v>
      </c>
      <c r="L178" s="284">
        <f t="shared" si="42"/>
        <v>0.16548334243582732</v>
      </c>
    </row>
    <row r="179" spans="1:20" x14ac:dyDescent="0.25">
      <c r="A179" s="3" t="s">
        <v>34</v>
      </c>
      <c r="B179" s="15"/>
      <c r="C179" s="3"/>
      <c r="D179" s="37"/>
      <c r="E179" s="99"/>
      <c r="F179" s="83"/>
      <c r="G179" s="118"/>
      <c r="H179" s="70"/>
      <c r="J179" s="329"/>
      <c r="K179" s="70"/>
      <c r="L179" s="302"/>
    </row>
    <row r="180" spans="1:20" x14ac:dyDescent="0.25">
      <c r="A180" s="71"/>
      <c r="B180" s="9" t="s">
        <v>3</v>
      </c>
      <c r="C180" s="9" t="s">
        <v>50</v>
      </c>
      <c r="D180" s="39">
        <v>2.69</v>
      </c>
      <c r="E180" s="126">
        <v>5.45</v>
      </c>
      <c r="F180" s="95">
        <v>10.72</v>
      </c>
      <c r="G180" s="126">
        <f t="shared" ref="G180:G186" si="44">E180-F180</f>
        <v>-5.2700000000000005</v>
      </c>
      <c r="H180" s="286">
        <v>7.8</v>
      </c>
      <c r="I180" s="282">
        <v>7.65</v>
      </c>
      <c r="J180" s="329">
        <f t="shared" si="40"/>
        <v>2.8438661710037176</v>
      </c>
      <c r="K180" s="70">
        <f>H180-I180</f>
        <v>0.14999999999999947</v>
      </c>
      <c r="L180" s="284">
        <f>(ABS(H180-I180))/I180</f>
        <v>1.9607843137254832E-2</v>
      </c>
      <c r="M180" s="268">
        <v>27.55</v>
      </c>
      <c r="N180">
        <v>3.86</v>
      </c>
      <c r="O180" s="268">
        <v>5.35</v>
      </c>
      <c r="P180">
        <v>225.59</v>
      </c>
      <c r="Q180" s="268">
        <v>1539</v>
      </c>
      <c r="T180" t="s">
        <v>188</v>
      </c>
    </row>
    <row r="181" spans="1:20" x14ac:dyDescent="0.25">
      <c r="A181" s="71"/>
      <c r="B181" s="9" t="s">
        <v>6</v>
      </c>
      <c r="C181" s="9" t="s">
        <v>38</v>
      </c>
      <c r="D181" s="39">
        <v>1.6</v>
      </c>
      <c r="E181" s="126">
        <v>3.47</v>
      </c>
      <c r="F181" s="95">
        <v>2.33</v>
      </c>
      <c r="G181" s="126">
        <f t="shared" si="44"/>
        <v>1.1400000000000001</v>
      </c>
      <c r="H181" s="288">
        <v>7.9</v>
      </c>
      <c r="I181" s="282">
        <v>1.9</v>
      </c>
      <c r="J181" s="329">
        <f t="shared" si="40"/>
        <v>1.1874999999999998</v>
      </c>
      <c r="K181" s="70">
        <f>H181-I181</f>
        <v>6</v>
      </c>
      <c r="L181" s="284">
        <f>(ABS(H181-I181))/I181</f>
        <v>3.1578947368421053</v>
      </c>
      <c r="P181" t="s">
        <v>148</v>
      </c>
      <c r="Q181" s="268">
        <v>1597</v>
      </c>
      <c r="T181" t="s">
        <v>191</v>
      </c>
    </row>
    <row r="182" spans="1:20" x14ac:dyDescent="0.25">
      <c r="A182" s="71"/>
      <c r="B182" s="18" t="s">
        <v>7</v>
      </c>
      <c r="C182" s="18" t="s">
        <v>122</v>
      </c>
      <c r="D182" s="39">
        <v>2.85</v>
      </c>
      <c r="E182" s="128">
        <v>0</v>
      </c>
      <c r="F182" s="95">
        <v>9.82</v>
      </c>
      <c r="G182" s="126">
        <f t="shared" si="44"/>
        <v>-9.82</v>
      </c>
      <c r="H182" s="290">
        <v>10</v>
      </c>
      <c r="I182" s="282">
        <v>10.039999999999999</v>
      </c>
      <c r="J182" s="329">
        <f t="shared" si="40"/>
        <v>3.5228070175438591</v>
      </c>
      <c r="K182" s="70">
        <f>H182-I182</f>
        <v>-3.9999999999999147E-2</v>
      </c>
      <c r="L182" s="284">
        <f>(ABS(H182-I182))/I182</f>
        <v>3.9840637450198361E-3</v>
      </c>
      <c r="M182" s="268">
        <v>24.7</v>
      </c>
      <c r="N182">
        <v>4.0199999999999996</v>
      </c>
      <c r="O182" s="268">
        <v>5.0999999999999996</v>
      </c>
      <c r="P182">
        <v>217.11</v>
      </c>
      <c r="Q182" s="268">
        <v>1604.1</v>
      </c>
      <c r="T182" s="70" t="s">
        <v>191</v>
      </c>
    </row>
    <row r="183" spans="1:20" x14ac:dyDescent="0.25">
      <c r="A183" s="71"/>
      <c r="B183" s="12"/>
      <c r="C183" s="151" t="s">
        <v>115</v>
      </c>
      <c r="D183" s="163">
        <f>SUM(D180:D181)</f>
        <v>4.29</v>
      </c>
      <c r="E183" s="161">
        <f t="shared" ref="E183:F183" si="45">SUM(E180:E181)</f>
        <v>8.92</v>
      </c>
      <c r="F183" s="163">
        <f t="shared" si="45"/>
        <v>13.05</v>
      </c>
      <c r="G183" s="161">
        <f t="shared" si="44"/>
        <v>-4.1300000000000008</v>
      </c>
      <c r="H183" s="70">
        <f>SUM(H180:H181)</f>
        <v>15.7</v>
      </c>
      <c r="I183" s="268">
        <f>SUM(I180:I181)</f>
        <v>9.5500000000000007</v>
      </c>
      <c r="J183" s="329"/>
      <c r="K183" s="70">
        <f>H183-I183</f>
        <v>6.1499999999999986</v>
      </c>
      <c r="L183" s="284">
        <f>(ABS(H183-I183))/I183</f>
        <v>0.64397905759162288</v>
      </c>
    </row>
    <row r="184" spans="1:20" x14ac:dyDescent="0.25">
      <c r="A184" s="71"/>
      <c r="B184" s="12"/>
      <c r="C184" s="71" t="s">
        <v>116</v>
      </c>
      <c r="D184" s="158" t="s">
        <v>109</v>
      </c>
      <c r="E184" s="165">
        <v>0</v>
      </c>
      <c r="F184" s="149">
        <v>0</v>
      </c>
      <c r="G184" s="171">
        <f t="shared" si="44"/>
        <v>0</v>
      </c>
      <c r="H184" s="70">
        <v>0</v>
      </c>
      <c r="I184" s="268">
        <v>0</v>
      </c>
      <c r="J184" s="329"/>
      <c r="K184" s="70"/>
      <c r="L184" s="284"/>
    </row>
    <row r="185" spans="1:20" ht="15.75" thickBot="1" x14ac:dyDescent="0.3">
      <c r="A185" s="71"/>
      <c r="B185" s="69"/>
      <c r="C185" s="156" t="s">
        <v>117</v>
      </c>
      <c r="D185" s="170">
        <v>8.5500000000000007</v>
      </c>
      <c r="E185" s="169">
        <v>0</v>
      </c>
      <c r="F185" s="170">
        <v>9.92</v>
      </c>
      <c r="G185" s="169">
        <f t="shared" si="44"/>
        <v>-9.92</v>
      </c>
      <c r="H185" s="70">
        <f>H182</f>
        <v>10</v>
      </c>
      <c r="I185" s="268">
        <f>I182</f>
        <v>10.039999999999999</v>
      </c>
      <c r="J185" s="329"/>
      <c r="K185" s="70">
        <f>H185-I185</f>
        <v>-3.9999999999999147E-2</v>
      </c>
      <c r="L185" s="284">
        <f>(ABS(H185-I185))/I185</f>
        <v>3.9840637450198361E-3</v>
      </c>
    </row>
    <row r="186" spans="1:20" ht="15.75" thickTop="1" x14ac:dyDescent="0.25">
      <c r="A186" s="71"/>
      <c r="B186" s="69"/>
      <c r="C186" s="79" t="s">
        <v>9</v>
      </c>
      <c r="D186" s="158">
        <f>SUM(D183,D185)</f>
        <v>12.84</v>
      </c>
      <c r="E186" s="171">
        <v>8.92</v>
      </c>
      <c r="F186" s="158">
        <f>SUM(F183,F185)</f>
        <v>22.97</v>
      </c>
      <c r="G186" s="171">
        <f t="shared" si="44"/>
        <v>-14.049999999999999</v>
      </c>
      <c r="H186" s="70">
        <f>SUM(H183:H185)</f>
        <v>25.7</v>
      </c>
      <c r="I186" s="268">
        <f>SUM(I183:I185)</f>
        <v>19.59</v>
      </c>
      <c r="J186" s="329"/>
      <c r="K186" s="70">
        <f>H186-I186</f>
        <v>6.1099999999999994</v>
      </c>
      <c r="L186" s="284">
        <f>(ABS(H186-I186))/I186</f>
        <v>0.31189382337927513</v>
      </c>
    </row>
    <row r="187" spans="1:20" x14ac:dyDescent="0.25">
      <c r="E187" s="292"/>
      <c r="G187" s="292"/>
      <c r="H187" s="70"/>
      <c r="J187" s="329"/>
      <c r="K187" s="70"/>
      <c r="L187" s="284"/>
    </row>
    <row r="188" spans="1:20" s="69" customFormat="1" ht="15.75" customHeight="1" x14ac:dyDescent="0.25">
      <c r="A188" s="20"/>
      <c r="B188" s="15"/>
      <c r="C188" s="59" t="s">
        <v>124</v>
      </c>
      <c r="D188" s="224" t="e">
        <f>SUM(D22:D22,D31:D34,D41:D42,#REF!,D66:D67,D89:D90,D94,D109,D118:D119,D137,D173:D174,D61)</f>
        <v>#REF!</v>
      </c>
      <c r="E188" s="187" t="e">
        <f>SUM(E22,E31:E34,E41:E42,#REF!,E66:E67,E89:E90,E94,E109,E118:E119,E137,E173:E174,E61,E181)</f>
        <v>#REF!</v>
      </c>
      <c r="F188" s="298">
        <f>SUM(F24:F25,F35:F36,F43:F44,F58:F59,F68:F69,F63,F91:F92,F96,F111,F120:F121,F141,F175:F176,F183)</f>
        <v>725.83999999999992</v>
      </c>
      <c r="G188" s="299">
        <f>SUM(G24:G25,G35:G36,G43:G44,G58:G59,G68:G69,G63,G91:G92,G96,G111,G120:G121,G141,G175:G176,G183)</f>
        <v>-85.519999999999968</v>
      </c>
      <c r="H188" s="306">
        <f>SUM(H24:H25,H35:H36,H43:H44,H58:H59,H68:H69,H63,H91:H92,H96,H111,H120:H121,H141,H175:H176,H183)</f>
        <v>680.58</v>
      </c>
      <c r="I188" s="299">
        <f>SUM(I24:I25,I35:I36,I43:I44,I58:I59,I68:I69,I63,I91:I92,I96,I111,I120:I121,I141,I175:I176,I183)</f>
        <v>728.3</v>
      </c>
      <c r="J188" s="329"/>
      <c r="K188" s="70">
        <f>H188-I188</f>
        <v>-47.719999999999914</v>
      </c>
      <c r="L188" s="284">
        <f>(ABS(H188-I188))/I188</f>
        <v>6.5522449540024605E-2</v>
      </c>
      <c r="M188" s="119"/>
      <c r="O188" s="119"/>
      <c r="Q188" s="119"/>
      <c r="S188" s="119"/>
    </row>
    <row r="189" spans="1:20" s="69" customFormat="1" ht="15.75" customHeight="1" x14ac:dyDescent="0.25">
      <c r="A189" s="22"/>
      <c r="C189" s="223" t="s">
        <v>123</v>
      </c>
      <c r="D189" s="225" t="e">
        <f>SUM(D24,D58,D68,#REF!,D96,D98,D111,D127,D141,D175,D183)</f>
        <v>#REF!</v>
      </c>
      <c r="E189" s="165" t="e">
        <f>SUM(E24,E58,E68,#REF!,E127,E175)</f>
        <v>#REF!</v>
      </c>
      <c r="F189" s="297">
        <f>SUM(F26,F37,F60,F70,F78,F98,F100,F113,F129,F143,F177,F185)</f>
        <v>550.71999999999991</v>
      </c>
      <c r="G189" s="300" t="e">
        <f>SUM(G26,G37,G60,G70,G78,G98,G100,G113,G129,G143,G177,G185)</f>
        <v>#REF!</v>
      </c>
      <c r="H189" s="307">
        <f>SUM(H26,H37,H60,H70,H78,H98,H100,H113,H129,H143,H177,H185,H104)</f>
        <v>485.78000000000003</v>
      </c>
      <c r="I189" s="300">
        <f>SUM(I26,I37,I60,I70,I78,I98,I100,I113,I129,I143,I177,I185,I102,I104)</f>
        <v>608.62</v>
      </c>
      <c r="J189" s="329"/>
      <c r="K189" s="70">
        <f>H189-I189</f>
        <v>-122.83999999999997</v>
      </c>
      <c r="L189" s="284">
        <f>(ABS(H189-I189))/I189</f>
        <v>0.2018336564687325</v>
      </c>
      <c r="M189" s="119"/>
      <c r="O189" s="119"/>
      <c r="Q189" s="119"/>
      <c r="S189" s="119"/>
    </row>
    <row r="190" spans="1:20" s="69" customFormat="1" ht="15.75" customHeight="1" thickBot="1" x14ac:dyDescent="0.3">
      <c r="A190" s="23"/>
      <c r="B190" s="10"/>
      <c r="C190" s="60" t="s">
        <v>97</v>
      </c>
      <c r="D190" s="226" t="e">
        <f>SUM(D188,D189)</f>
        <v>#REF!</v>
      </c>
      <c r="E190" s="188" t="e">
        <f>SUM(E188:E189)</f>
        <v>#REF!</v>
      </c>
      <c r="F190" s="229">
        <f>SUM(F188:F189)</f>
        <v>1276.56</v>
      </c>
      <c r="G190" s="233" t="e">
        <f>E190-F190</f>
        <v>#REF!</v>
      </c>
      <c r="H190" s="308">
        <f>SUM(H188:H189)</f>
        <v>1166.3600000000001</v>
      </c>
      <c r="I190" s="233">
        <f>SUM(I188:I189)</f>
        <v>1336.92</v>
      </c>
      <c r="J190" s="158"/>
      <c r="K190" s="70">
        <f>H190-I190</f>
        <v>-170.55999999999995</v>
      </c>
      <c r="L190" s="284">
        <f>(ABS(H190-I190))/I190</f>
        <v>0.12757681835861528</v>
      </c>
      <c r="M190" s="119"/>
      <c r="O190" s="119"/>
      <c r="Q190" s="119"/>
      <c r="S190" s="119"/>
    </row>
    <row r="191" spans="1:20" ht="15.75" thickTop="1" x14ac:dyDescent="0.25">
      <c r="H191" s="70"/>
      <c r="J191" s="309"/>
      <c r="K191" s="309"/>
      <c r="L191" s="302"/>
    </row>
    <row r="192" spans="1:20" x14ac:dyDescent="0.25">
      <c r="G192" s="71" t="s">
        <v>140</v>
      </c>
      <c r="H192" s="293">
        <f>SUM(H186,H178,H144,H130,H123,H114,H104)</f>
        <v>430.01</v>
      </c>
      <c r="I192" s="294"/>
      <c r="J192" s="330"/>
      <c r="K192" s="310">
        <f>SUM(K186,K178,K144,K130,K123,K114)</f>
        <v>-35.009999999999991</v>
      </c>
      <c r="L192" s="302"/>
    </row>
    <row r="193" spans="7:12" x14ac:dyDescent="0.25">
      <c r="G193" s="71" t="s">
        <v>141</v>
      </c>
      <c r="H193" s="71">
        <f>SUM(H27,H38,H46,H61,H63,H71,H79,H94,H96,H98,H100,H102)</f>
        <v>711.34999999999991</v>
      </c>
      <c r="I193" s="295"/>
      <c r="J193" s="331"/>
      <c r="K193" s="311">
        <f>SUM(K27,K38,K46,K61,K63,K70,K79,K94,K96,K98,K100)</f>
        <v>-131.39000000000001</v>
      </c>
      <c r="L193" s="302"/>
    </row>
  </sheetData>
  <customSheetViews>
    <customSheetView guid="{F76F088D-E257-4637-81FB-2D037F8BCE3A}">
      <selection activeCell="I1" sqref="I1:J1048576"/>
      <pageMargins left="0.7" right="0.7" top="0.75" bottom="0.75" header="0.3" footer="0.3"/>
      <pageSetup orientation="portrait" r:id="rId1"/>
    </customSheetView>
  </customSheetViews>
  <mergeCells count="1">
    <mergeCell ref="B2:C2"/>
  </mergeCells>
  <conditionalFormatting sqref="L4:L193">
    <cfRule type="containsText" dxfId="31" priority="38" operator="containsText" text="BLANK">
      <formula>NOT(ISERROR(SEARCH("BLANK",L4)))</formula>
    </cfRule>
    <cfRule type="cellIs" dxfId="30" priority="39" operator="equal">
      <formula>0.1</formula>
    </cfRule>
    <cfRule type="cellIs" dxfId="29" priority="43" operator="between">
      <formula>0.11</formula>
      <formula>0.39</formula>
    </cfRule>
    <cfRule type="cellIs" dxfId="28" priority="44" operator="lessThan">
      <formula>0.1</formula>
    </cfRule>
    <cfRule type="cellIs" dxfId="27" priority="45" operator="greaterThan">
      <formula>0.4</formula>
    </cfRule>
  </conditionalFormatting>
  <conditionalFormatting sqref="L3:L193">
    <cfRule type="cellIs" dxfId="26" priority="42" operator="greaterThan">
      <formula>0.4</formula>
    </cfRule>
  </conditionalFormatting>
  <conditionalFormatting sqref="L3:L193">
    <cfRule type="cellIs" dxfId="25" priority="41" operator="equal">
      <formula>0.4</formula>
    </cfRule>
  </conditionalFormatting>
  <conditionalFormatting sqref="L3">
    <cfRule type="containsText" dxfId="24" priority="40" operator="containsText" text="blank">
      <formula>NOT(ISERROR(SEARCH("blank",L3)))</formula>
    </cfRule>
  </conditionalFormatting>
  <conditionalFormatting sqref="L23">
    <cfRule type="cellIs" dxfId="23" priority="33" operator="between">
      <formula>0.11</formula>
      <formula>0.01</formula>
    </cfRule>
    <cfRule type="cellIs" dxfId="22" priority="34" operator="equal">
      <formula>0.11</formula>
    </cfRule>
    <cfRule type="cellIs" dxfId="21" priority="35" operator="equal">
      <formula>0.11</formula>
    </cfRule>
    <cfRule type="cellIs" dxfId="20" priority="36" operator="equal">
      <formula>0.11</formula>
    </cfRule>
    <cfRule type="cellIs" dxfId="19" priority="37" operator="between">
      <formula>0.11</formula>
      <formula>0.39</formula>
    </cfRule>
  </conditionalFormatting>
  <conditionalFormatting sqref="R1:R1048576">
    <cfRule type="cellIs" dxfId="18" priority="4" operator="lessThan">
      <formula>5</formula>
    </cfRule>
    <cfRule type="cellIs" dxfId="17" priority="5" operator="greaterThan">
      <formula>10</formula>
    </cfRule>
    <cfRule type="cellIs" dxfId="16" priority="6" operator="between">
      <formula>5</formula>
      <formula>10</formula>
    </cfRule>
  </conditionalFormatting>
  <conditionalFormatting sqref="S1:S1048576">
    <cfRule type="cellIs" dxfId="15" priority="1" operator="lessThan">
      <formula>9.07</formula>
    </cfRule>
    <cfRule type="cellIs" dxfId="14" priority="2" operator="greaterThan">
      <formula>58.97</formula>
    </cfRule>
    <cfRule type="cellIs" dxfId="13" priority="3" operator="between">
      <formula>9.07</formula>
      <formula>58.97</formula>
    </cfRule>
  </conditionalFormatting>
  <pageMargins left="0.7" right="0.7" top="0.75" bottom="0.75" header="0.3" footer="0.3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4"/>
  <sheetViews>
    <sheetView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188" sqref="E188"/>
    </sheetView>
  </sheetViews>
  <sheetFormatPr defaultColWidth="8.85546875" defaultRowHeight="15" x14ac:dyDescent="0.25"/>
  <cols>
    <col min="1" max="1" width="8.85546875" style="70"/>
    <col min="2" max="2" width="9.42578125" style="70" customWidth="1"/>
    <col min="3" max="3" width="11.5703125" style="70" customWidth="1"/>
    <col min="4" max="4" width="8.85546875" style="70"/>
    <col min="5" max="5" width="17.7109375" style="70" customWidth="1"/>
    <col min="6" max="6" width="10.42578125" style="282" customWidth="1"/>
    <col min="7" max="7" width="8.28515625" style="327" customWidth="1"/>
    <col min="8" max="8" width="11.7109375" style="268" customWidth="1"/>
    <col min="9" max="9" width="5.7109375" style="268" customWidth="1"/>
    <col min="10" max="10" width="5.140625" style="70" customWidth="1"/>
    <col min="11" max="11" width="5" style="268" customWidth="1"/>
    <col min="12" max="12" width="5" style="70" customWidth="1"/>
    <col min="13" max="13" width="5.28515625" style="268" customWidth="1"/>
    <col min="14" max="16384" width="8.85546875" style="70"/>
  </cols>
  <sheetData>
    <row r="1" spans="1:17" x14ac:dyDescent="0.25">
      <c r="A1" s="333"/>
      <c r="B1" s="334"/>
      <c r="C1" s="334"/>
      <c r="D1" s="335"/>
      <c r="E1" s="334"/>
      <c r="F1" s="336">
        <v>2015</v>
      </c>
      <c r="G1" s="337">
        <v>2015</v>
      </c>
      <c r="H1" s="338">
        <v>2015</v>
      </c>
      <c r="I1" s="339" t="s">
        <v>145</v>
      </c>
      <c r="J1" s="340" t="s">
        <v>146</v>
      </c>
      <c r="K1" s="336" t="s">
        <v>147</v>
      </c>
      <c r="L1" s="340" t="s">
        <v>165</v>
      </c>
      <c r="M1" s="336" t="s">
        <v>166</v>
      </c>
      <c r="N1" s="334"/>
      <c r="O1" s="334"/>
      <c r="P1" s="334"/>
      <c r="Q1" s="334"/>
    </row>
    <row r="2" spans="1:17" x14ac:dyDescent="0.25">
      <c r="A2" s="333" t="s">
        <v>0</v>
      </c>
      <c r="B2" s="465" t="s">
        <v>1</v>
      </c>
      <c r="C2" s="465"/>
      <c r="D2" s="341" t="s">
        <v>82</v>
      </c>
      <c r="E2" s="342" t="s">
        <v>126</v>
      </c>
      <c r="F2" s="343" t="s">
        <v>108</v>
      </c>
      <c r="G2" s="344" t="s">
        <v>164</v>
      </c>
      <c r="H2" s="345" t="s">
        <v>173</v>
      </c>
      <c r="I2" s="346"/>
      <c r="J2" s="334"/>
      <c r="K2" s="346"/>
      <c r="L2" s="334"/>
      <c r="M2" s="346"/>
      <c r="N2" s="334"/>
      <c r="O2" s="334"/>
      <c r="P2" s="334"/>
      <c r="Q2" s="334"/>
    </row>
    <row r="3" spans="1:17" x14ac:dyDescent="0.25">
      <c r="A3" s="347" t="s">
        <v>2</v>
      </c>
      <c r="B3" s="348"/>
      <c r="C3" s="348"/>
      <c r="D3" s="349"/>
      <c r="E3" s="334"/>
      <c r="F3" s="336"/>
      <c r="G3" s="337"/>
      <c r="H3" s="345"/>
      <c r="I3" s="346"/>
      <c r="J3" s="334"/>
      <c r="K3" s="346"/>
      <c r="L3" s="334"/>
      <c r="M3" s="346"/>
      <c r="N3" s="334"/>
      <c r="O3" s="334"/>
      <c r="P3" s="334"/>
      <c r="Q3" s="334"/>
    </row>
    <row r="4" spans="1:17" x14ac:dyDescent="0.25">
      <c r="A4" s="350"/>
      <c r="B4" s="351" t="s">
        <v>3</v>
      </c>
      <c r="C4" s="351" t="s">
        <v>10</v>
      </c>
      <c r="D4" s="352">
        <v>0.75</v>
      </c>
      <c r="E4" s="334">
        <v>3.4</v>
      </c>
      <c r="F4" s="336">
        <v>3.7</v>
      </c>
      <c r="G4" s="353">
        <f t="shared" ref="G4:G23" si="0">F4/D4</f>
        <v>4.9333333333333336</v>
      </c>
      <c r="H4" s="354">
        <f t="shared" ref="H4:H27" si="1">(ABS(E4-F4))/F4</f>
        <v>8.1081081081081155E-2</v>
      </c>
      <c r="I4" s="346">
        <v>23.6</v>
      </c>
      <c r="J4" s="334">
        <v>3.51</v>
      </c>
      <c r="K4" s="346">
        <v>12.6</v>
      </c>
      <c r="L4" s="334">
        <v>114.25</v>
      </c>
      <c r="M4" s="346"/>
      <c r="N4" s="334"/>
      <c r="O4" s="334"/>
      <c r="P4" s="334"/>
      <c r="Q4" s="334"/>
    </row>
    <row r="5" spans="1:17" x14ac:dyDescent="0.25">
      <c r="A5" s="350"/>
      <c r="B5" s="351" t="s">
        <v>3</v>
      </c>
      <c r="C5" s="351" t="s">
        <v>11</v>
      </c>
      <c r="D5" s="349">
        <v>1.4</v>
      </c>
      <c r="E5" s="355">
        <v>10</v>
      </c>
      <c r="F5" s="336">
        <v>10</v>
      </c>
      <c r="G5" s="353">
        <f t="shared" si="0"/>
        <v>7.1428571428571432</v>
      </c>
      <c r="H5" s="354">
        <f t="shared" si="1"/>
        <v>0</v>
      </c>
      <c r="I5" s="346">
        <v>22.45</v>
      </c>
      <c r="J5" s="334">
        <v>3.51</v>
      </c>
      <c r="K5" s="346">
        <v>7.8</v>
      </c>
      <c r="L5" s="334">
        <v>191</v>
      </c>
      <c r="M5" s="346"/>
      <c r="N5" s="334"/>
      <c r="O5" s="334"/>
      <c r="P5" s="334"/>
      <c r="Q5" s="334"/>
    </row>
    <row r="6" spans="1:17" x14ac:dyDescent="0.25">
      <c r="A6" s="333"/>
      <c r="B6" s="351" t="s">
        <v>3</v>
      </c>
      <c r="C6" s="351" t="s">
        <v>12</v>
      </c>
      <c r="D6" s="349">
        <v>0.72</v>
      </c>
      <c r="E6" s="355">
        <v>6</v>
      </c>
      <c r="F6" s="336">
        <v>7.28</v>
      </c>
      <c r="G6" s="353">
        <f t="shared" si="0"/>
        <v>10.111111111111112</v>
      </c>
      <c r="H6" s="354">
        <f t="shared" si="1"/>
        <v>0.17582417582417587</v>
      </c>
      <c r="I6" s="346">
        <v>22.45</v>
      </c>
      <c r="J6" s="334">
        <v>3.51</v>
      </c>
      <c r="K6" s="346">
        <v>7.8</v>
      </c>
      <c r="L6" s="334">
        <v>238.72</v>
      </c>
      <c r="M6" s="346"/>
      <c r="N6" s="334"/>
      <c r="O6" s="334"/>
      <c r="P6" s="334"/>
      <c r="Q6" s="334"/>
    </row>
    <row r="7" spans="1:17" x14ac:dyDescent="0.25">
      <c r="A7" s="333"/>
      <c r="B7" s="351" t="s">
        <v>3</v>
      </c>
      <c r="C7" s="351" t="s">
        <v>14</v>
      </c>
      <c r="D7" s="349">
        <v>2.39</v>
      </c>
      <c r="E7" s="334">
        <v>14</v>
      </c>
      <c r="F7" s="336">
        <v>15.76</v>
      </c>
      <c r="G7" s="353">
        <f t="shared" si="0"/>
        <v>6.5941422594142258</v>
      </c>
      <c r="H7" s="354">
        <f t="shared" si="1"/>
        <v>0.11167512690355329</v>
      </c>
      <c r="I7" s="346">
        <v>25.4</v>
      </c>
      <c r="J7" s="334">
        <v>3.56</v>
      </c>
      <c r="K7" s="346">
        <v>6.1</v>
      </c>
      <c r="L7" s="334">
        <v>259.3</v>
      </c>
      <c r="M7" s="346"/>
      <c r="N7" s="334"/>
      <c r="O7" s="334"/>
      <c r="P7" s="334"/>
      <c r="Q7" s="334"/>
    </row>
    <row r="8" spans="1:17" x14ac:dyDescent="0.25">
      <c r="A8" s="333"/>
      <c r="B8" s="351" t="s">
        <v>3</v>
      </c>
      <c r="C8" s="351" t="s">
        <v>16</v>
      </c>
      <c r="D8" s="349">
        <v>2.35</v>
      </c>
      <c r="E8" s="334">
        <v>15</v>
      </c>
      <c r="F8" s="336">
        <v>13.97</v>
      </c>
      <c r="G8" s="353">
        <f t="shared" si="0"/>
        <v>5.94468085106383</v>
      </c>
      <c r="H8" s="354">
        <f t="shared" si="1"/>
        <v>7.3729420186113045E-2</v>
      </c>
      <c r="I8" s="346">
        <v>23.2</v>
      </c>
      <c r="J8" s="334">
        <v>3.41</v>
      </c>
      <c r="K8" s="346">
        <v>7.9</v>
      </c>
      <c r="L8" s="334">
        <v>223.36</v>
      </c>
      <c r="M8" s="346"/>
      <c r="N8" s="334"/>
      <c r="O8" s="334"/>
      <c r="P8" s="334"/>
      <c r="Q8" s="334"/>
    </row>
    <row r="9" spans="1:17" x14ac:dyDescent="0.25">
      <c r="A9" s="333"/>
      <c r="B9" s="351" t="s">
        <v>3</v>
      </c>
      <c r="C9" s="351" t="s">
        <v>150</v>
      </c>
      <c r="D9" s="349">
        <v>0.9</v>
      </c>
      <c r="E9" s="334">
        <v>3.3</v>
      </c>
      <c r="F9" s="336">
        <v>6.91</v>
      </c>
      <c r="G9" s="353">
        <f t="shared" si="0"/>
        <v>7.677777777777778</v>
      </c>
      <c r="H9" s="354">
        <f t="shared" si="1"/>
        <v>0.52243125904486254</v>
      </c>
      <c r="I9" s="346">
        <v>25.1</v>
      </c>
      <c r="J9" s="334">
        <v>3.54</v>
      </c>
      <c r="K9" s="346">
        <v>6.2</v>
      </c>
      <c r="L9" s="334">
        <v>184.3</v>
      </c>
      <c r="M9" s="346"/>
      <c r="N9" s="334"/>
      <c r="O9" s="334"/>
      <c r="P9" s="334"/>
      <c r="Q9" s="334"/>
    </row>
    <row r="10" spans="1:17" x14ac:dyDescent="0.25">
      <c r="A10" s="333"/>
      <c r="B10" s="351"/>
      <c r="C10" s="351" t="s">
        <v>151</v>
      </c>
      <c r="D10" s="349">
        <v>0.9</v>
      </c>
      <c r="E10" s="334">
        <v>5.7</v>
      </c>
      <c r="F10" s="336">
        <v>6.66</v>
      </c>
      <c r="G10" s="353">
        <f t="shared" si="0"/>
        <v>7.4</v>
      </c>
      <c r="H10" s="354">
        <f t="shared" si="1"/>
        <v>0.14414414414414414</v>
      </c>
      <c r="I10" s="346">
        <v>23.7</v>
      </c>
      <c r="J10" s="334">
        <v>3.54</v>
      </c>
      <c r="K10" s="346">
        <v>6.3</v>
      </c>
      <c r="L10" s="334">
        <v>176.9</v>
      </c>
      <c r="M10" s="346"/>
      <c r="N10" s="334"/>
      <c r="O10" s="334"/>
      <c r="P10" s="334"/>
      <c r="Q10" s="334"/>
    </row>
    <row r="11" spans="1:17" x14ac:dyDescent="0.25">
      <c r="A11" s="333"/>
      <c r="B11" s="351" t="s">
        <v>3</v>
      </c>
      <c r="C11" s="351" t="s">
        <v>152</v>
      </c>
      <c r="D11" s="349">
        <v>0.96</v>
      </c>
      <c r="E11" s="356">
        <v>3.8</v>
      </c>
      <c r="F11" s="336">
        <v>4.8499999999999996</v>
      </c>
      <c r="G11" s="353">
        <f t="shared" si="0"/>
        <v>5.052083333333333</v>
      </c>
      <c r="H11" s="354">
        <f t="shared" si="1"/>
        <v>0.21649484536082472</v>
      </c>
      <c r="I11" s="346">
        <v>25.1</v>
      </c>
      <c r="J11" s="334">
        <v>3.54</v>
      </c>
      <c r="K11" s="346">
        <v>6.2</v>
      </c>
      <c r="L11" s="334">
        <v>184.3</v>
      </c>
      <c r="M11" s="346"/>
      <c r="N11" s="334"/>
      <c r="O11" s="334"/>
      <c r="P11" s="334"/>
      <c r="Q11" s="334"/>
    </row>
    <row r="12" spans="1:17" x14ac:dyDescent="0.25">
      <c r="A12" s="333"/>
      <c r="B12" s="351"/>
      <c r="C12" s="351" t="s">
        <v>153</v>
      </c>
      <c r="D12" s="349">
        <v>0.96</v>
      </c>
      <c r="E12" s="356">
        <v>7.5</v>
      </c>
      <c r="F12" s="336">
        <v>6.87</v>
      </c>
      <c r="G12" s="353">
        <f t="shared" si="0"/>
        <v>7.15625</v>
      </c>
      <c r="H12" s="354">
        <f t="shared" si="1"/>
        <v>9.170305676855893E-2</v>
      </c>
      <c r="I12" s="346">
        <v>23.7</v>
      </c>
      <c r="J12" s="334">
        <v>3.54</v>
      </c>
      <c r="K12" s="346">
        <v>6.3</v>
      </c>
      <c r="L12" s="334">
        <v>176.9</v>
      </c>
      <c r="M12" s="346"/>
      <c r="N12" s="334"/>
      <c r="O12" s="334"/>
      <c r="P12" s="334"/>
      <c r="Q12" s="334"/>
    </row>
    <row r="13" spans="1:17" x14ac:dyDescent="0.25">
      <c r="A13" s="333"/>
      <c r="B13" s="351" t="s">
        <v>3</v>
      </c>
      <c r="C13" s="351" t="s">
        <v>154</v>
      </c>
      <c r="D13" s="349">
        <v>0.71499999999999997</v>
      </c>
      <c r="E13" s="356">
        <v>2.5</v>
      </c>
      <c r="F13" s="336">
        <v>4.1900000000000004</v>
      </c>
      <c r="G13" s="353">
        <f t="shared" si="0"/>
        <v>5.8601398601398609</v>
      </c>
      <c r="H13" s="354">
        <f t="shared" si="1"/>
        <v>0.40334128878281628</v>
      </c>
      <c r="I13" s="346">
        <v>25.1</v>
      </c>
      <c r="J13" s="334">
        <v>3.54</v>
      </c>
      <c r="K13" s="346">
        <v>6.2</v>
      </c>
      <c r="L13" s="334">
        <v>184.3</v>
      </c>
      <c r="M13" s="346"/>
      <c r="N13" s="334"/>
      <c r="O13" s="334"/>
      <c r="P13" s="334"/>
      <c r="Q13" s="334"/>
    </row>
    <row r="14" spans="1:17" x14ac:dyDescent="0.25">
      <c r="A14" s="333"/>
      <c r="B14" s="351"/>
      <c r="C14" s="351" t="s">
        <v>155</v>
      </c>
      <c r="D14" s="349">
        <v>0.71499999999999997</v>
      </c>
      <c r="E14" s="356">
        <v>5.6</v>
      </c>
      <c r="F14" s="336">
        <v>8.25</v>
      </c>
      <c r="G14" s="353">
        <f t="shared" si="0"/>
        <v>11.538461538461538</v>
      </c>
      <c r="H14" s="354">
        <f t="shared" si="1"/>
        <v>0.32121212121212128</v>
      </c>
      <c r="I14" s="346">
        <v>23.7</v>
      </c>
      <c r="J14" s="334">
        <v>3.54</v>
      </c>
      <c r="K14" s="346">
        <v>6.3</v>
      </c>
      <c r="L14" s="334">
        <v>176.9</v>
      </c>
      <c r="M14" s="346"/>
      <c r="N14" s="334"/>
      <c r="O14" s="334"/>
      <c r="P14" s="334"/>
      <c r="Q14" s="334"/>
    </row>
    <row r="15" spans="1:17" x14ac:dyDescent="0.25">
      <c r="A15" s="333"/>
      <c r="B15" s="351" t="s">
        <v>3</v>
      </c>
      <c r="C15" s="351" t="s">
        <v>156</v>
      </c>
      <c r="D15" s="349">
        <v>0.51500000000000001</v>
      </c>
      <c r="E15" s="356">
        <v>2.9</v>
      </c>
      <c r="F15" s="357">
        <v>2.8</v>
      </c>
      <c r="G15" s="353">
        <f t="shared" si="0"/>
        <v>5.4368932038834945</v>
      </c>
      <c r="H15" s="354">
        <f t="shared" si="1"/>
        <v>3.5714285714285747E-2</v>
      </c>
      <c r="I15" s="346">
        <v>25.1</v>
      </c>
      <c r="J15" s="334">
        <v>3.54</v>
      </c>
      <c r="K15" s="346">
        <v>6.2</v>
      </c>
      <c r="L15" s="334">
        <v>184.3</v>
      </c>
      <c r="M15" s="346"/>
      <c r="N15" s="334"/>
      <c r="O15" s="334"/>
      <c r="P15" s="334"/>
      <c r="Q15" s="334"/>
    </row>
    <row r="16" spans="1:17" x14ac:dyDescent="0.25">
      <c r="A16" s="333"/>
      <c r="B16" s="334"/>
      <c r="C16" s="351" t="s">
        <v>157</v>
      </c>
      <c r="D16" s="349">
        <v>0.51500000000000001</v>
      </c>
      <c r="E16" s="356">
        <v>2</v>
      </c>
      <c r="F16" s="336">
        <v>2.61</v>
      </c>
      <c r="G16" s="353">
        <f t="shared" si="0"/>
        <v>5.0679611650485432</v>
      </c>
      <c r="H16" s="354">
        <f t="shared" si="1"/>
        <v>0.23371647509578541</v>
      </c>
      <c r="I16" s="346">
        <v>23.7</v>
      </c>
      <c r="J16" s="334">
        <v>3.54</v>
      </c>
      <c r="K16" s="346">
        <v>6.3</v>
      </c>
      <c r="L16" s="334">
        <v>176.9</v>
      </c>
      <c r="M16" s="346"/>
      <c r="N16" s="334"/>
      <c r="O16" s="334"/>
      <c r="P16" s="334"/>
      <c r="Q16" s="334"/>
    </row>
    <row r="17" spans="1:17" x14ac:dyDescent="0.25">
      <c r="A17" s="333"/>
      <c r="B17" s="358" t="s">
        <v>84</v>
      </c>
      <c r="C17" s="351" t="s">
        <v>85</v>
      </c>
      <c r="D17" s="349">
        <v>0.85</v>
      </c>
      <c r="E17" s="334">
        <v>2.7</v>
      </c>
      <c r="F17" s="336">
        <v>2.83</v>
      </c>
      <c r="G17" s="353">
        <f t="shared" si="0"/>
        <v>3.3294117647058825</v>
      </c>
      <c r="H17" s="354">
        <f t="shared" si="1"/>
        <v>4.5936395759717273E-2</v>
      </c>
      <c r="I17" s="346">
        <v>24.2</v>
      </c>
      <c r="J17" s="334">
        <v>3.55</v>
      </c>
      <c r="K17" s="346">
        <v>8</v>
      </c>
      <c r="L17" s="334">
        <v>184.3</v>
      </c>
      <c r="M17" s="346">
        <v>1373.1</v>
      </c>
      <c r="N17" s="334"/>
      <c r="O17" s="334"/>
      <c r="P17" s="334"/>
      <c r="Q17" s="334"/>
    </row>
    <row r="18" spans="1:17" x14ac:dyDescent="0.25">
      <c r="A18" s="333"/>
      <c r="B18" s="358" t="s">
        <v>86</v>
      </c>
      <c r="C18" s="351" t="s">
        <v>158</v>
      </c>
      <c r="D18" s="349">
        <v>1.1100000000000001</v>
      </c>
      <c r="E18" s="334">
        <v>1</v>
      </c>
      <c r="F18" s="336">
        <v>1.36</v>
      </c>
      <c r="G18" s="353">
        <f t="shared" si="0"/>
        <v>1.2252252252252251</v>
      </c>
      <c r="H18" s="354">
        <f t="shared" si="1"/>
        <v>0.26470588235294124</v>
      </c>
      <c r="I18" s="346">
        <v>24.2</v>
      </c>
      <c r="J18" s="334">
        <v>3.55</v>
      </c>
      <c r="K18" s="346">
        <v>8</v>
      </c>
      <c r="L18" s="334" t="s">
        <v>148</v>
      </c>
      <c r="M18" s="346">
        <v>1396</v>
      </c>
      <c r="N18" s="334"/>
      <c r="O18" s="334"/>
      <c r="P18" s="334"/>
      <c r="Q18" s="334"/>
    </row>
    <row r="19" spans="1:17" x14ac:dyDescent="0.25">
      <c r="A19" s="333"/>
      <c r="B19" s="358" t="s">
        <v>7</v>
      </c>
      <c r="C19" s="351" t="s">
        <v>110</v>
      </c>
      <c r="D19" s="359">
        <v>2</v>
      </c>
      <c r="E19" s="360">
        <v>10</v>
      </c>
      <c r="F19" s="336">
        <v>14.28</v>
      </c>
      <c r="G19" s="353">
        <f t="shared" si="0"/>
        <v>7.14</v>
      </c>
      <c r="H19" s="354">
        <f t="shared" si="1"/>
        <v>0.29971988795518206</v>
      </c>
      <c r="I19" s="346">
        <v>23.4</v>
      </c>
      <c r="J19" s="334">
        <v>3.4</v>
      </c>
      <c r="K19" s="346">
        <v>4.2</v>
      </c>
      <c r="L19" s="334">
        <v>249.64</v>
      </c>
      <c r="M19" s="346">
        <v>1423</v>
      </c>
      <c r="N19" s="334" t="s">
        <v>5</v>
      </c>
      <c r="O19" s="334"/>
      <c r="P19" s="334"/>
      <c r="Q19" s="334"/>
    </row>
    <row r="20" spans="1:17" x14ac:dyDescent="0.25">
      <c r="A20" s="333"/>
      <c r="B20" s="358" t="s">
        <v>7</v>
      </c>
      <c r="C20" s="351" t="s">
        <v>172</v>
      </c>
      <c r="D20" s="359">
        <v>1.5</v>
      </c>
      <c r="E20" s="360">
        <v>7.5</v>
      </c>
      <c r="F20" s="336">
        <v>7.76</v>
      </c>
      <c r="G20" s="353">
        <f t="shared" si="0"/>
        <v>5.1733333333333329</v>
      </c>
      <c r="H20" s="354">
        <f t="shared" si="1"/>
        <v>3.3505154639175229E-2</v>
      </c>
      <c r="I20" s="346">
        <v>23.8</v>
      </c>
      <c r="J20" s="334">
        <v>3.45</v>
      </c>
      <c r="K20" s="346">
        <v>7.9</v>
      </c>
      <c r="L20" s="334">
        <v>292.19</v>
      </c>
      <c r="M20" s="346"/>
      <c r="N20" s="334"/>
      <c r="O20" s="334"/>
      <c r="P20" s="334"/>
      <c r="Q20" s="334"/>
    </row>
    <row r="21" spans="1:17" x14ac:dyDescent="0.25">
      <c r="A21" s="333"/>
      <c r="B21" s="358" t="s">
        <v>7</v>
      </c>
      <c r="C21" s="351" t="s">
        <v>100</v>
      </c>
      <c r="D21" s="359">
        <v>1.25</v>
      </c>
      <c r="E21" s="360">
        <v>5</v>
      </c>
      <c r="F21" s="336">
        <v>6.27</v>
      </c>
      <c r="G21" s="353">
        <f t="shared" si="0"/>
        <v>5.016</v>
      </c>
      <c r="H21" s="354">
        <f t="shared" si="1"/>
        <v>0.20255183413078146</v>
      </c>
      <c r="I21" s="346">
        <v>21.9</v>
      </c>
      <c r="J21" s="334">
        <v>3.36</v>
      </c>
      <c r="K21" s="346">
        <v>6.7</v>
      </c>
      <c r="L21" s="334">
        <v>218.66</v>
      </c>
      <c r="M21" s="346"/>
      <c r="N21" s="334"/>
      <c r="O21" s="334"/>
      <c r="P21" s="334"/>
      <c r="Q21" s="334"/>
    </row>
    <row r="22" spans="1:17" x14ac:dyDescent="0.25">
      <c r="A22" s="333"/>
      <c r="B22" s="358" t="s">
        <v>7</v>
      </c>
      <c r="C22" s="361" t="s">
        <v>87</v>
      </c>
      <c r="D22" s="359">
        <v>10.5</v>
      </c>
      <c r="E22" s="360">
        <v>56.35</v>
      </c>
      <c r="F22" s="336">
        <v>57.71</v>
      </c>
      <c r="G22" s="353">
        <f t="shared" si="0"/>
        <v>5.4961904761904758</v>
      </c>
      <c r="H22" s="354">
        <f t="shared" si="1"/>
        <v>2.3566106394039152E-2</v>
      </c>
      <c r="I22" s="346">
        <v>24.3</v>
      </c>
      <c r="J22" s="334">
        <v>3.71</v>
      </c>
      <c r="K22" s="346">
        <v>5.9</v>
      </c>
      <c r="L22" s="334">
        <v>166.49</v>
      </c>
      <c r="M22" s="346"/>
      <c r="N22" s="334"/>
      <c r="O22" s="334"/>
      <c r="P22" s="334"/>
      <c r="Q22" s="334"/>
    </row>
    <row r="23" spans="1:17" x14ac:dyDescent="0.25">
      <c r="A23" s="333"/>
      <c r="B23" s="358" t="s">
        <v>144</v>
      </c>
      <c r="C23" s="361" t="s">
        <v>122</v>
      </c>
      <c r="D23" s="359">
        <v>1.66</v>
      </c>
      <c r="E23" s="360">
        <v>8</v>
      </c>
      <c r="F23" s="336">
        <v>8.98</v>
      </c>
      <c r="G23" s="353">
        <f t="shared" si="0"/>
        <v>5.4096385542168681</v>
      </c>
      <c r="H23" s="354">
        <f t="shared" si="1"/>
        <v>0.10913140311804014</v>
      </c>
      <c r="I23" s="346">
        <v>23.7</v>
      </c>
      <c r="J23" s="334">
        <v>3.49</v>
      </c>
      <c r="K23" s="346">
        <v>7.3</v>
      </c>
      <c r="L23" s="334">
        <v>226.84</v>
      </c>
      <c r="M23" s="346"/>
      <c r="N23" s="334"/>
      <c r="O23" s="334"/>
      <c r="P23" s="334"/>
      <c r="Q23" s="334"/>
    </row>
    <row r="24" spans="1:17" x14ac:dyDescent="0.25">
      <c r="A24" s="333"/>
      <c r="B24" s="362"/>
      <c r="C24" s="363" t="s">
        <v>115</v>
      </c>
      <c r="D24" s="364">
        <f>SUM(D4:D16)</f>
        <v>13.790000000000003</v>
      </c>
      <c r="E24" s="334">
        <f>SUM(E4:E17)</f>
        <v>84.399999999999991</v>
      </c>
      <c r="F24" s="346">
        <f>SUM(F4:F16)</f>
        <v>93.85</v>
      </c>
      <c r="G24" s="353"/>
      <c r="H24" s="365">
        <f t="shared" si="1"/>
        <v>0.10069259456579652</v>
      </c>
      <c r="I24" s="346"/>
      <c r="J24" s="334"/>
      <c r="K24" s="346"/>
      <c r="L24" s="334"/>
      <c r="M24" s="346"/>
      <c r="N24" s="334"/>
      <c r="O24" s="334"/>
      <c r="P24" s="334"/>
      <c r="Q24" s="334"/>
    </row>
    <row r="25" spans="1:17" x14ac:dyDescent="0.25">
      <c r="A25" s="333"/>
      <c r="B25" s="362"/>
      <c r="C25" s="366" t="s">
        <v>119</v>
      </c>
      <c r="D25" s="367">
        <v>0.85</v>
      </c>
      <c r="E25" s="334">
        <f>SUM(E17:E18)</f>
        <v>3.7</v>
      </c>
      <c r="F25" s="346">
        <f>SUM(F17:F18)</f>
        <v>4.1900000000000004</v>
      </c>
      <c r="G25" s="353"/>
      <c r="H25" s="354">
        <f t="shared" si="1"/>
        <v>0.11694510739856806</v>
      </c>
      <c r="I25" s="346"/>
      <c r="J25" s="334"/>
      <c r="K25" s="346"/>
      <c r="L25" s="334"/>
      <c r="M25" s="346"/>
      <c r="N25" s="334"/>
      <c r="O25" s="334"/>
      <c r="P25" s="334"/>
      <c r="Q25" s="334"/>
    </row>
    <row r="26" spans="1:17" ht="15.75" thickBot="1" x14ac:dyDescent="0.3">
      <c r="A26" s="333"/>
      <c r="B26" s="334"/>
      <c r="C26" s="368" t="s">
        <v>117</v>
      </c>
      <c r="D26" s="369">
        <f>SUM(D19:D22)</f>
        <v>15.25</v>
      </c>
      <c r="E26" s="334">
        <f>SUM(E19:E22)</f>
        <v>78.849999999999994</v>
      </c>
      <c r="F26" s="370">
        <f>SUM(F19:F23)</f>
        <v>95</v>
      </c>
      <c r="G26" s="353"/>
      <c r="H26" s="354">
        <f t="shared" si="1"/>
        <v>0.17000000000000007</v>
      </c>
      <c r="I26" s="346"/>
      <c r="J26" s="334"/>
      <c r="K26" s="346"/>
      <c r="L26" s="334"/>
      <c r="M26" s="346"/>
      <c r="N26" s="334"/>
      <c r="O26" s="334"/>
      <c r="P26" s="334"/>
      <c r="Q26" s="334"/>
    </row>
    <row r="27" spans="1:17" ht="15.75" thickTop="1" x14ac:dyDescent="0.25">
      <c r="A27" s="333"/>
      <c r="B27" s="334"/>
      <c r="C27" s="371" t="s">
        <v>118</v>
      </c>
      <c r="D27" s="372">
        <f>SUM(D4:D22)</f>
        <v>31</v>
      </c>
      <c r="E27" s="334">
        <f>SUM(E24:E26)</f>
        <v>166.95</v>
      </c>
      <c r="F27" s="346">
        <f>SUM(F24:F26)</f>
        <v>193.04</v>
      </c>
      <c r="G27" s="353"/>
      <c r="H27" s="354">
        <f t="shared" si="1"/>
        <v>0.13515333609614591</v>
      </c>
      <c r="I27" s="346"/>
      <c r="J27" s="334"/>
      <c r="K27" s="346"/>
      <c r="L27" s="334"/>
      <c r="M27" s="346"/>
      <c r="N27" s="334"/>
      <c r="O27" s="334"/>
      <c r="P27" s="334"/>
      <c r="Q27" s="334"/>
    </row>
    <row r="28" spans="1:17" x14ac:dyDescent="0.25">
      <c r="A28" s="347" t="s">
        <v>13</v>
      </c>
      <c r="B28" s="373"/>
      <c r="C28" s="373"/>
      <c r="D28" s="347"/>
      <c r="E28" s="334"/>
      <c r="F28" s="336"/>
      <c r="G28" s="353"/>
      <c r="H28" s="374"/>
      <c r="I28" s="346"/>
      <c r="J28" s="334"/>
      <c r="K28" s="346"/>
      <c r="L28" s="334"/>
      <c r="M28" s="346"/>
      <c r="N28" s="334"/>
      <c r="O28" s="334"/>
      <c r="P28" s="334"/>
      <c r="Q28" s="334"/>
    </row>
    <row r="29" spans="1:17" x14ac:dyDescent="0.25">
      <c r="A29" s="333"/>
      <c r="B29" s="351" t="s">
        <v>3</v>
      </c>
      <c r="C29" s="351" t="s">
        <v>29</v>
      </c>
      <c r="D29" s="375">
        <v>4.32</v>
      </c>
      <c r="E29" s="376">
        <v>36</v>
      </c>
      <c r="F29" s="336">
        <v>36.72</v>
      </c>
      <c r="G29" s="353">
        <f>F29/D29</f>
        <v>8.5</v>
      </c>
      <c r="H29" s="354">
        <f t="shared" ref="H29:H36" si="2">(ABS(E29-F29))/F29</f>
        <v>1.960784313725487E-2</v>
      </c>
      <c r="I29" s="346">
        <v>22</v>
      </c>
      <c r="J29" s="334">
        <v>3.41</v>
      </c>
      <c r="K29" s="346">
        <v>8.8699999999999992</v>
      </c>
      <c r="L29" s="334">
        <v>203.82</v>
      </c>
      <c r="M29" s="346"/>
      <c r="N29" s="334"/>
      <c r="O29" s="334"/>
      <c r="P29" s="334"/>
      <c r="Q29" s="334"/>
    </row>
    <row r="30" spans="1:17" x14ac:dyDescent="0.25">
      <c r="A30" s="333"/>
      <c r="B30" s="351" t="s">
        <v>3</v>
      </c>
      <c r="C30" s="351" t="s">
        <v>31</v>
      </c>
      <c r="D30" s="375">
        <v>1.92</v>
      </c>
      <c r="E30" s="376">
        <v>16</v>
      </c>
      <c r="F30" s="336">
        <v>13.52</v>
      </c>
      <c r="G30" s="353">
        <f>F30/D30</f>
        <v>7.041666666666667</v>
      </c>
      <c r="H30" s="354">
        <f t="shared" si="2"/>
        <v>0.18343195266272194</v>
      </c>
      <c r="I30" s="346">
        <v>21.6</v>
      </c>
      <c r="J30" s="334">
        <v>3.57</v>
      </c>
      <c r="K30" s="346">
        <v>5.6</v>
      </c>
      <c r="L30" s="334">
        <v>203.82</v>
      </c>
      <c r="M30" s="346"/>
      <c r="N30" s="334"/>
      <c r="O30" s="334"/>
      <c r="P30" s="334"/>
      <c r="Q30" s="334"/>
    </row>
    <row r="31" spans="1:17" x14ac:dyDescent="0.25">
      <c r="A31" s="333"/>
      <c r="B31" s="351" t="s">
        <v>86</v>
      </c>
      <c r="C31" s="351" t="s">
        <v>32</v>
      </c>
      <c r="D31" s="377">
        <v>3.29</v>
      </c>
      <c r="E31" s="356">
        <v>27.8</v>
      </c>
      <c r="F31" s="336">
        <v>19.64</v>
      </c>
      <c r="G31" s="353">
        <f>F31/D31</f>
        <v>5.9696048632218845</v>
      </c>
      <c r="H31" s="354">
        <f t="shared" si="2"/>
        <v>0.41547861507128309</v>
      </c>
      <c r="I31" s="346">
        <v>19.649999999999999</v>
      </c>
      <c r="J31" s="334">
        <v>3.5</v>
      </c>
      <c r="K31" s="346">
        <v>7.2</v>
      </c>
      <c r="L31" s="334">
        <v>215.74</v>
      </c>
      <c r="M31" s="346"/>
      <c r="N31" s="334" t="s">
        <v>169</v>
      </c>
      <c r="O31" s="378">
        <v>1405.3</v>
      </c>
      <c r="P31" s="334" t="s">
        <v>170</v>
      </c>
      <c r="Q31" s="334">
        <v>1508.7</v>
      </c>
    </row>
    <row r="32" spans="1:17" x14ac:dyDescent="0.25">
      <c r="A32" s="333"/>
      <c r="B32" s="351" t="s">
        <v>84</v>
      </c>
      <c r="C32" s="351" t="s">
        <v>88</v>
      </c>
      <c r="D32" s="377">
        <v>4.63</v>
      </c>
      <c r="E32" s="355">
        <v>14</v>
      </c>
      <c r="F32" s="336">
        <v>13.2</v>
      </c>
      <c r="G32" s="353">
        <f>F32/D32</f>
        <v>2.8509719222462202</v>
      </c>
      <c r="H32" s="354">
        <f t="shared" si="2"/>
        <v>6.0606060606060663E-2</v>
      </c>
      <c r="I32" s="346">
        <v>20.5</v>
      </c>
      <c r="J32" s="334">
        <v>3.67</v>
      </c>
      <c r="K32" s="346">
        <v>6.8</v>
      </c>
      <c r="L32" s="334">
        <v>244.82</v>
      </c>
      <c r="M32" s="346">
        <v>1330.2</v>
      </c>
      <c r="N32" s="334"/>
      <c r="O32" s="334"/>
      <c r="P32" s="334"/>
      <c r="Q32" s="334"/>
    </row>
    <row r="33" spans="1:17" x14ac:dyDescent="0.25">
      <c r="A33" s="333"/>
      <c r="B33" s="362"/>
      <c r="C33" s="363" t="s">
        <v>115</v>
      </c>
      <c r="D33" s="379">
        <f>SUM(D29:D30)</f>
        <v>6.24</v>
      </c>
      <c r="E33" s="334">
        <f>SUM(E29:E30)</f>
        <v>52</v>
      </c>
      <c r="F33" s="346">
        <f>SUM(F29:F30)</f>
        <v>50.239999999999995</v>
      </c>
      <c r="G33" s="353"/>
      <c r="H33" s="354">
        <f t="shared" si="2"/>
        <v>3.5031847133758065E-2</v>
      </c>
      <c r="I33" s="346"/>
      <c r="J33" s="334"/>
      <c r="K33" s="346"/>
      <c r="L33" s="334"/>
      <c r="M33" s="346"/>
      <c r="N33" s="334"/>
      <c r="O33" s="334"/>
      <c r="P33" s="334"/>
      <c r="Q33" s="334"/>
    </row>
    <row r="34" spans="1:17" x14ac:dyDescent="0.25">
      <c r="A34" s="333"/>
      <c r="B34" s="362"/>
      <c r="C34" s="333" t="s">
        <v>120</v>
      </c>
      <c r="D34" s="380">
        <f>SUM(D31:D32)</f>
        <v>7.92</v>
      </c>
      <c r="E34" s="334">
        <f>SUM(E31:E32)</f>
        <v>41.8</v>
      </c>
      <c r="F34" s="346">
        <f>SUM(F31:F32)</f>
        <v>32.840000000000003</v>
      </c>
      <c r="G34" s="353"/>
      <c r="H34" s="354">
        <f t="shared" si="2"/>
        <v>0.27283800243605338</v>
      </c>
      <c r="I34" s="346"/>
      <c r="J34" s="334"/>
      <c r="K34" s="346"/>
      <c r="L34" s="334"/>
      <c r="M34" s="346"/>
      <c r="N34" s="334"/>
      <c r="O34" s="334"/>
      <c r="P34" s="334"/>
      <c r="Q34" s="334"/>
    </row>
    <row r="35" spans="1:17" ht="15.75" thickBot="1" x14ac:dyDescent="0.3">
      <c r="A35" s="333"/>
      <c r="B35" s="334"/>
      <c r="C35" s="381" t="s">
        <v>117</v>
      </c>
      <c r="D35" s="382">
        <v>0</v>
      </c>
      <c r="E35" s="334">
        <v>0</v>
      </c>
      <c r="F35" s="346">
        <v>0</v>
      </c>
      <c r="G35" s="353"/>
      <c r="H35" s="354" t="e">
        <f t="shared" si="2"/>
        <v>#DIV/0!</v>
      </c>
      <c r="I35" s="346"/>
      <c r="J35" s="334"/>
      <c r="K35" s="346"/>
      <c r="L35" s="334"/>
      <c r="M35" s="346"/>
      <c r="N35" s="334"/>
      <c r="O35" s="334"/>
      <c r="P35" s="334"/>
      <c r="Q35" s="334"/>
    </row>
    <row r="36" spans="1:17" ht="15.75" thickTop="1" x14ac:dyDescent="0.25">
      <c r="A36" s="333"/>
      <c r="B36" s="334"/>
      <c r="C36" s="383" t="s">
        <v>118</v>
      </c>
      <c r="D36" s="380">
        <f>SUM(D33:D34)</f>
        <v>14.16</v>
      </c>
      <c r="E36" s="334">
        <f>SUM(E33:E34)</f>
        <v>93.8</v>
      </c>
      <c r="F36" s="346">
        <f>SUM(F33:F34)</f>
        <v>83.08</v>
      </c>
      <c r="G36" s="353"/>
      <c r="H36" s="354">
        <f t="shared" si="2"/>
        <v>0.12903225806451613</v>
      </c>
      <c r="I36" s="346"/>
      <c r="J36" s="334"/>
      <c r="K36" s="346"/>
      <c r="L36" s="334"/>
      <c r="M36" s="346"/>
      <c r="N36" s="334"/>
      <c r="O36" s="334"/>
      <c r="P36" s="334"/>
      <c r="Q36" s="334"/>
    </row>
    <row r="37" spans="1:17" x14ac:dyDescent="0.25">
      <c r="A37" s="347" t="s">
        <v>15</v>
      </c>
      <c r="B37" s="373"/>
      <c r="C37" s="347"/>
      <c r="D37" s="384"/>
      <c r="E37" s="334"/>
      <c r="F37" s="336"/>
      <c r="G37" s="353"/>
      <c r="H37" s="385"/>
      <c r="I37" s="346"/>
      <c r="J37" s="334"/>
      <c r="K37" s="346"/>
      <c r="L37" s="334"/>
      <c r="M37" s="346"/>
      <c r="N37" s="334"/>
      <c r="O37" s="334"/>
      <c r="P37" s="334"/>
      <c r="Q37" s="334"/>
    </row>
    <row r="38" spans="1:17" x14ac:dyDescent="0.25">
      <c r="A38" s="333"/>
      <c r="B38" s="351" t="s">
        <v>3</v>
      </c>
      <c r="C38" s="351" t="s">
        <v>36</v>
      </c>
      <c r="D38" s="377">
        <v>4.04</v>
      </c>
      <c r="E38" s="334">
        <v>16.2</v>
      </c>
      <c r="F38" s="336">
        <v>26.77</v>
      </c>
      <c r="G38" s="353">
        <f>F38/D38</f>
        <v>6.6262376237623757</v>
      </c>
      <c r="H38" s="386">
        <f>(ABS(E38-F38))/F38</f>
        <v>0.39484497571908855</v>
      </c>
      <c r="I38" s="346">
        <v>23.75</v>
      </c>
      <c r="J38" s="334">
        <v>3.34</v>
      </c>
      <c r="K38" s="346">
        <v>8.25</v>
      </c>
      <c r="L38" s="334">
        <v>157.74</v>
      </c>
      <c r="M38" s="346"/>
      <c r="N38" s="334"/>
      <c r="O38" s="334"/>
      <c r="P38" s="334"/>
      <c r="Q38" s="334"/>
    </row>
    <row r="39" spans="1:17" x14ac:dyDescent="0.25">
      <c r="A39" s="333"/>
      <c r="B39" s="351" t="s">
        <v>86</v>
      </c>
      <c r="C39" s="351" t="s">
        <v>37</v>
      </c>
      <c r="D39" s="377">
        <v>5.04</v>
      </c>
      <c r="E39" s="334">
        <v>30.1</v>
      </c>
      <c r="F39" s="336">
        <v>32.630000000000003</v>
      </c>
      <c r="G39" s="353">
        <f>F39/D39</f>
        <v>6.4742063492063497</v>
      </c>
      <c r="H39" s="354">
        <f>(ABS(E39-F39))/F39</f>
        <v>7.7536009806926168E-2</v>
      </c>
      <c r="I39" s="346">
        <v>23</v>
      </c>
      <c r="J39" s="334">
        <v>3.2</v>
      </c>
      <c r="K39" s="346">
        <v>8.4</v>
      </c>
      <c r="L39" s="334">
        <v>180.19</v>
      </c>
      <c r="M39" s="346"/>
      <c r="N39" s="334"/>
      <c r="O39" s="334"/>
      <c r="P39" s="334"/>
      <c r="Q39" s="334"/>
    </row>
    <row r="40" spans="1:17" x14ac:dyDescent="0.25">
      <c r="A40" s="333"/>
      <c r="B40" s="351" t="s">
        <v>6</v>
      </c>
      <c r="C40" s="351" t="s">
        <v>38</v>
      </c>
      <c r="D40" s="377">
        <v>1.65</v>
      </c>
      <c r="E40" s="355">
        <v>12</v>
      </c>
      <c r="F40" s="336">
        <v>12.47</v>
      </c>
      <c r="G40" s="353">
        <f>F40/D40</f>
        <v>7.5575757575757585</v>
      </c>
      <c r="H40" s="354">
        <f>(ABS(E40-F40))/F40</f>
        <v>3.7690457097032927E-2</v>
      </c>
      <c r="I40" s="346">
        <v>24</v>
      </c>
      <c r="J40" s="334">
        <v>3.26</v>
      </c>
      <c r="K40" s="346">
        <v>9.8000000000000007</v>
      </c>
      <c r="L40" s="334">
        <v>241.52</v>
      </c>
      <c r="M40" s="346">
        <v>1597</v>
      </c>
      <c r="N40" s="334"/>
      <c r="O40" s="334"/>
      <c r="P40" s="334"/>
      <c r="Q40" s="334"/>
    </row>
    <row r="41" spans="1:17" x14ac:dyDescent="0.25">
      <c r="A41" s="333"/>
      <c r="B41" s="362"/>
      <c r="C41" s="363" t="s">
        <v>115</v>
      </c>
      <c r="D41" s="387">
        <f>SUM(D38,D40)</f>
        <v>5.6899999999999995</v>
      </c>
      <c r="E41" s="334">
        <f>SUM(E38,E40)</f>
        <v>28.2</v>
      </c>
      <c r="F41" s="346">
        <f>SUM(F38,F40)</f>
        <v>39.24</v>
      </c>
      <c r="G41" s="353"/>
      <c r="H41" s="354">
        <f>(ABS(E41-F41))/F41</f>
        <v>0.28134556574923553</v>
      </c>
      <c r="I41" s="346"/>
      <c r="J41" s="334"/>
      <c r="K41" s="346"/>
      <c r="L41" s="334"/>
      <c r="M41" s="346"/>
      <c r="N41" s="334"/>
      <c r="O41" s="334"/>
      <c r="P41" s="334"/>
      <c r="Q41" s="334"/>
    </row>
    <row r="42" spans="1:17" x14ac:dyDescent="0.25">
      <c r="A42" s="333"/>
      <c r="B42" s="362"/>
      <c r="C42" s="333" t="s">
        <v>119</v>
      </c>
      <c r="D42" s="388">
        <v>5.04</v>
      </c>
      <c r="E42" s="334">
        <f>E39</f>
        <v>30.1</v>
      </c>
      <c r="F42" s="346">
        <f>F39</f>
        <v>32.630000000000003</v>
      </c>
      <c r="G42" s="353"/>
      <c r="H42" s="354">
        <f>(ABS(E42-F42))/F42</f>
        <v>7.7536009806926168E-2</v>
      </c>
      <c r="I42" s="346"/>
      <c r="J42" s="334"/>
      <c r="K42" s="346"/>
      <c r="L42" s="334"/>
      <c r="M42" s="346"/>
      <c r="N42" s="334"/>
      <c r="O42" s="334"/>
      <c r="P42" s="334"/>
      <c r="Q42" s="334"/>
    </row>
    <row r="43" spans="1:17" ht="15.75" thickBot="1" x14ac:dyDescent="0.3">
      <c r="A43" s="333"/>
      <c r="B43" s="334"/>
      <c r="C43" s="381" t="s">
        <v>117</v>
      </c>
      <c r="D43" s="389" t="s">
        <v>109</v>
      </c>
      <c r="E43" s="334">
        <v>0</v>
      </c>
      <c r="F43" s="346">
        <v>0</v>
      </c>
      <c r="G43" s="353"/>
      <c r="H43" s="385"/>
      <c r="I43" s="346"/>
      <c r="J43" s="334"/>
      <c r="K43" s="346"/>
      <c r="L43" s="334"/>
      <c r="M43" s="346"/>
      <c r="N43" s="334"/>
      <c r="O43" s="334"/>
      <c r="P43" s="334"/>
      <c r="Q43" s="334"/>
    </row>
    <row r="44" spans="1:17" ht="15.75" thickTop="1" x14ac:dyDescent="0.25">
      <c r="A44" s="333"/>
      <c r="B44" s="334"/>
      <c r="C44" s="383" t="s">
        <v>118</v>
      </c>
      <c r="D44" s="380">
        <f>SUM(D41,D42)</f>
        <v>10.73</v>
      </c>
      <c r="E44" s="334">
        <f>SUM(E41:E43)</f>
        <v>58.3</v>
      </c>
      <c r="F44" s="346">
        <f>SUM(F41:F43)</f>
        <v>71.87</v>
      </c>
      <c r="G44" s="353"/>
      <c r="H44" s="354">
        <f>(ABS(E44-F44))/F44</f>
        <v>0.18881313482677065</v>
      </c>
      <c r="I44" s="346"/>
      <c r="J44" s="334"/>
      <c r="K44" s="346"/>
      <c r="L44" s="334"/>
      <c r="M44" s="346"/>
      <c r="N44" s="334"/>
      <c r="O44" s="334"/>
      <c r="P44" s="334"/>
      <c r="Q44" s="334"/>
    </row>
    <row r="45" spans="1:17" x14ac:dyDescent="0.25">
      <c r="A45" s="347" t="s">
        <v>17</v>
      </c>
      <c r="B45" s="373"/>
      <c r="C45" s="347"/>
      <c r="D45" s="384"/>
      <c r="E45" s="334"/>
      <c r="F45" s="336"/>
      <c r="G45" s="353"/>
      <c r="H45" s="385"/>
      <c r="I45" s="346"/>
      <c r="J45" s="334"/>
      <c r="K45" s="346"/>
      <c r="L45" s="334"/>
      <c r="M45" s="346"/>
      <c r="N45" s="334"/>
      <c r="O45" s="334"/>
      <c r="P45" s="334"/>
      <c r="Q45" s="334"/>
    </row>
    <row r="46" spans="1:17" x14ac:dyDescent="0.25">
      <c r="A46" s="333"/>
      <c r="B46" s="351" t="s">
        <v>3</v>
      </c>
      <c r="C46" s="351" t="s">
        <v>39</v>
      </c>
      <c r="D46" s="349">
        <v>1.89</v>
      </c>
      <c r="E46" s="376">
        <v>9</v>
      </c>
      <c r="F46" s="336">
        <v>10.07</v>
      </c>
      <c r="G46" s="353">
        <f t="shared" ref="G46:G55" si="3">F46/D46</f>
        <v>5.3280423280423284</v>
      </c>
      <c r="H46" s="354">
        <f>(ABS(E46-F46))/F46</f>
        <v>0.10625620655412117</v>
      </c>
      <c r="I46" s="346">
        <v>23.8</v>
      </c>
      <c r="J46" s="334">
        <v>3.36</v>
      </c>
      <c r="K46" s="346">
        <v>6.3</v>
      </c>
      <c r="L46" s="334">
        <v>189.87</v>
      </c>
      <c r="M46" s="346"/>
      <c r="N46" s="334"/>
      <c r="O46" s="334"/>
      <c r="P46" s="334"/>
      <c r="Q46" s="334"/>
    </row>
    <row r="47" spans="1:17" x14ac:dyDescent="0.25">
      <c r="A47" s="333"/>
      <c r="B47" s="351" t="s">
        <v>86</v>
      </c>
      <c r="C47" s="351" t="s">
        <v>31</v>
      </c>
      <c r="D47" s="349">
        <v>0.57999999999999996</v>
      </c>
      <c r="E47" s="376">
        <v>3</v>
      </c>
      <c r="F47" s="336">
        <v>3.99</v>
      </c>
      <c r="G47" s="353">
        <f t="shared" si="3"/>
        <v>6.8793103448275872</v>
      </c>
      <c r="H47" s="354">
        <f>(ABS(E47-F47))/F47</f>
        <v>0.24812030075187974</v>
      </c>
      <c r="I47" s="346">
        <v>23.5</v>
      </c>
      <c r="J47" s="334">
        <v>3.66</v>
      </c>
      <c r="K47" s="346">
        <v>4.5999999999999996</v>
      </c>
      <c r="L47" s="334">
        <v>236.63</v>
      </c>
      <c r="M47" s="346">
        <v>1393.1</v>
      </c>
      <c r="N47" s="334"/>
      <c r="O47" s="334"/>
      <c r="P47" s="334"/>
      <c r="Q47" s="334"/>
    </row>
    <row r="48" spans="1:17" x14ac:dyDescent="0.25">
      <c r="A48" s="333"/>
      <c r="B48" s="351" t="s">
        <v>4</v>
      </c>
      <c r="C48" s="351" t="s">
        <v>40</v>
      </c>
      <c r="D48" s="349">
        <v>9.11</v>
      </c>
      <c r="E48" s="360">
        <v>25</v>
      </c>
      <c r="F48" s="336">
        <v>22.92</v>
      </c>
      <c r="G48" s="353">
        <f t="shared" si="3"/>
        <v>2.5159165751920969</v>
      </c>
      <c r="H48" s="354">
        <f>(ABS(E48-F48))/F48</f>
        <v>9.0750436300174445E-2</v>
      </c>
      <c r="I48" s="346">
        <v>24.05</v>
      </c>
      <c r="J48" s="334">
        <v>3.63</v>
      </c>
      <c r="K48" s="346">
        <v>6.2</v>
      </c>
      <c r="L48" s="334">
        <v>203.12</v>
      </c>
      <c r="M48" s="346">
        <v>1342.3</v>
      </c>
      <c r="N48" s="334"/>
      <c r="O48" s="334"/>
      <c r="P48" s="334"/>
      <c r="Q48" s="334"/>
    </row>
    <row r="49" spans="1:17" x14ac:dyDescent="0.25">
      <c r="A49" s="333"/>
      <c r="B49" s="351" t="s">
        <v>89</v>
      </c>
      <c r="C49" s="351" t="s">
        <v>90</v>
      </c>
      <c r="D49" s="349">
        <v>7.34</v>
      </c>
      <c r="E49" s="355">
        <v>38</v>
      </c>
      <c r="F49" s="336">
        <v>46.96</v>
      </c>
      <c r="G49" s="353">
        <f t="shared" si="3"/>
        <v>6.3978201634877383</v>
      </c>
      <c r="H49" s="354">
        <f>(ABS(E49-F49))/F49</f>
        <v>0.19080068143100512</v>
      </c>
      <c r="I49" s="346">
        <v>24.3</v>
      </c>
      <c r="J49" s="334">
        <v>3.75</v>
      </c>
      <c r="K49" s="346">
        <v>4.9000000000000004</v>
      </c>
      <c r="L49" s="334">
        <v>223.19</v>
      </c>
      <c r="M49" s="346">
        <v>1481.3</v>
      </c>
      <c r="N49" s="334"/>
      <c r="O49" s="334"/>
      <c r="P49" s="334"/>
      <c r="Q49" s="334"/>
    </row>
    <row r="50" spans="1:17" x14ac:dyDescent="0.25">
      <c r="A50" s="350"/>
      <c r="B50" s="390" t="s">
        <v>7</v>
      </c>
      <c r="C50" s="390" t="s">
        <v>41</v>
      </c>
      <c r="D50" s="391">
        <v>2</v>
      </c>
      <c r="E50" s="360">
        <v>8</v>
      </c>
      <c r="F50" s="336">
        <v>8.5</v>
      </c>
      <c r="G50" s="353">
        <f t="shared" si="3"/>
        <v>4.25</v>
      </c>
      <c r="H50" s="385"/>
      <c r="I50" s="346">
        <v>23.5</v>
      </c>
      <c r="J50" s="334">
        <v>3.54</v>
      </c>
      <c r="K50" s="346">
        <v>6.9</v>
      </c>
      <c r="L50" s="334">
        <v>159.38999999999999</v>
      </c>
      <c r="M50" s="346"/>
      <c r="N50" s="334"/>
      <c r="O50" s="334"/>
      <c r="P50" s="334"/>
      <c r="Q50" s="334"/>
    </row>
    <row r="51" spans="1:17" x14ac:dyDescent="0.25">
      <c r="A51" s="333"/>
      <c r="B51" s="390" t="s">
        <v>7</v>
      </c>
      <c r="C51" s="390" t="s">
        <v>42</v>
      </c>
      <c r="D51" s="391">
        <v>2</v>
      </c>
      <c r="E51" s="360">
        <v>8</v>
      </c>
      <c r="F51" s="336">
        <v>12.64</v>
      </c>
      <c r="G51" s="353">
        <f t="shared" si="3"/>
        <v>6.32</v>
      </c>
      <c r="H51" s="354">
        <f t="shared" ref="H51:H59" si="4">(ABS(E51-F51))/F51</f>
        <v>0.36708860759493672</v>
      </c>
      <c r="I51" s="346">
        <v>21.7</v>
      </c>
      <c r="J51" s="334">
        <v>3.99</v>
      </c>
      <c r="K51" s="346">
        <v>4</v>
      </c>
      <c r="L51" s="334">
        <v>378.84</v>
      </c>
      <c r="M51" s="346"/>
      <c r="N51" s="334"/>
      <c r="O51" s="334"/>
      <c r="P51" s="334"/>
      <c r="Q51" s="334"/>
    </row>
    <row r="52" spans="1:17" x14ac:dyDescent="0.25">
      <c r="A52" s="333"/>
      <c r="B52" s="390" t="s">
        <v>7</v>
      </c>
      <c r="C52" s="390" t="s">
        <v>43</v>
      </c>
      <c r="D52" s="391">
        <v>4</v>
      </c>
      <c r="E52" s="360">
        <v>16</v>
      </c>
      <c r="F52" s="336">
        <v>26.79</v>
      </c>
      <c r="G52" s="353">
        <f t="shared" si="3"/>
        <v>6.6974999999999998</v>
      </c>
      <c r="H52" s="354">
        <f t="shared" si="4"/>
        <v>0.40276222471071293</v>
      </c>
      <c r="I52" s="346">
        <v>24</v>
      </c>
      <c r="J52" s="334">
        <v>3.37</v>
      </c>
      <c r="K52" s="346">
        <v>8.1</v>
      </c>
      <c r="L52" s="334">
        <v>184.52</v>
      </c>
      <c r="M52" s="346"/>
      <c r="N52" s="334"/>
      <c r="O52" s="334"/>
      <c r="P52" s="334"/>
      <c r="Q52" s="334"/>
    </row>
    <row r="53" spans="1:17" x14ac:dyDescent="0.25">
      <c r="A53" s="333"/>
      <c r="B53" s="390" t="s">
        <v>7</v>
      </c>
      <c r="C53" s="390" t="s">
        <v>91</v>
      </c>
      <c r="D53" s="391">
        <v>4.25</v>
      </c>
      <c r="E53" s="360">
        <v>15</v>
      </c>
      <c r="F53" s="336">
        <v>20.67</v>
      </c>
      <c r="G53" s="353">
        <f t="shared" si="3"/>
        <v>4.8635294117647065</v>
      </c>
      <c r="H53" s="354">
        <f t="shared" si="4"/>
        <v>0.27431059506531208</v>
      </c>
      <c r="I53" s="346">
        <v>23.65</v>
      </c>
      <c r="J53" s="334">
        <v>3.57</v>
      </c>
      <c r="K53" s="346">
        <v>5.15</v>
      </c>
      <c r="L53" s="334">
        <v>270.02999999999997</v>
      </c>
      <c r="M53" s="346"/>
      <c r="N53" s="334"/>
      <c r="O53" s="334"/>
      <c r="P53" s="334"/>
      <c r="Q53" s="334"/>
    </row>
    <row r="54" spans="1:17" x14ac:dyDescent="0.25">
      <c r="A54" s="333"/>
      <c r="B54" s="390" t="s">
        <v>7</v>
      </c>
      <c r="C54" s="351" t="s">
        <v>99</v>
      </c>
      <c r="D54" s="391">
        <v>3</v>
      </c>
      <c r="E54" s="360">
        <v>16</v>
      </c>
      <c r="F54" s="336">
        <v>16.84</v>
      </c>
      <c r="G54" s="353">
        <f t="shared" si="3"/>
        <v>5.6133333333333333</v>
      </c>
      <c r="H54" s="354">
        <f t="shared" si="4"/>
        <v>4.9881235154394292E-2</v>
      </c>
      <c r="I54" s="346">
        <v>23.6</v>
      </c>
      <c r="J54" s="334">
        <v>3.72</v>
      </c>
      <c r="K54" s="346">
        <v>5.9</v>
      </c>
      <c r="L54" s="334">
        <v>224.02</v>
      </c>
      <c r="M54" s="346">
        <v>1411.2</v>
      </c>
      <c r="N54" s="334" t="s">
        <v>5</v>
      </c>
      <c r="O54" s="334"/>
      <c r="P54" s="334"/>
      <c r="Q54" s="334"/>
    </row>
    <row r="55" spans="1:17" x14ac:dyDescent="0.25">
      <c r="A55" s="333"/>
      <c r="B55" s="390" t="s">
        <v>7</v>
      </c>
      <c r="C55" s="351" t="s">
        <v>100</v>
      </c>
      <c r="D55" s="391">
        <v>6.5</v>
      </c>
      <c r="E55" s="360">
        <v>15</v>
      </c>
      <c r="F55" s="336">
        <v>14.48</v>
      </c>
      <c r="G55" s="353">
        <f t="shared" si="3"/>
        <v>2.2276923076923079</v>
      </c>
      <c r="H55" s="386">
        <f t="shared" si="4"/>
        <v>3.5911602209944722E-2</v>
      </c>
      <c r="I55" s="346">
        <v>23.5</v>
      </c>
      <c r="J55" s="334">
        <v>3.51</v>
      </c>
      <c r="K55" s="346">
        <v>4.4000000000000004</v>
      </c>
      <c r="L55" s="334">
        <v>224.02</v>
      </c>
      <c r="M55" s="346"/>
      <c r="N55" s="334"/>
      <c r="O55" s="334"/>
      <c r="P55" s="334"/>
      <c r="Q55" s="334"/>
    </row>
    <row r="56" spans="1:17" x14ac:dyDescent="0.25">
      <c r="A56" s="334"/>
      <c r="B56" s="362"/>
      <c r="C56" s="363" t="s">
        <v>115</v>
      </c>
      <c r="D56" s="392">
        <f>SUM(D46)</f>
        <v>1.89</v>
      </c>
      <c r="E56" s="334">
        <f>SUM(E48,E46)</f>
        <v>34</v>
      </c>
      <c r="F56" s="346">
        <f>SUM(F48,F46)</f>
        <v>32.99</v>
      </c>
      <c r="G56" s="353"/>
      <c r="H56" s="354">
        <f t="shared" si="4"/>
        <v>3.0615337981206366E-2</v>
      </c>
      <c r="I56" s="346"/>
      <c r="J56" s="334"/>
      <c r="K56" s="346"/>
      <c r="L56" s="334"/>
      <c r="M56" s="346"/>
      <c r="N56" s="334"/>
      <c r="O56" s="334"/>
      <c r="P56" s="334"/>
      <c r="Q56" s="334"/>
    </row>
    <row r="57" spans="1:17" x14ac:dyDescent="0.25">
      <c r="A57" s="333"/>
      <c r="B57" s="362"/>
      <c r="C57" s="393" t="s">
        <v>119</v>
      </c>
      <c r="D57" s="372">
        <f>SUM(D47,D49)</f>
        <v>7.92</v>
      </c>
      <c r="E57" s="334">
        <f>SUM(E47,E49)</f>
        <v>41</v>
      </c>
      <c r="F57" s="346">
        <f>SUM(F47,F49)</f>
        <v>50.95</v>
      </c>
      <c r="G57" s="353"/>
      <c r="H57" s="354">
        <f t="shared" si="4"/>
        <v>0.19528949950932292</v>
      </c>
      <c r="I57" s="346"/>
      <c r="J57" s="334"/>
      <c r="K57" s="346"/>
      <c r="L57" s="334"/>
      <c r="M57" s="346"/>
      <c r="N57" s="334"/>
      <c r="O57" s="334"/>
      <c r="P57" s="334"/>
      <c r="Q57" s="334"/>
    </row>
    <row r="58" spans="1:17" ht="15.75" thickBot="1" x14ac:dyDescent="0.3">
      <c r="A58" s="333"/>
      <c r="B58" s="334"/>
      <c r="C58" s="368" t="s">
        <v>117</v>
      </c>
      <c r="D58" s="394">
        <f>SUM(D50:D55)</f>
        <v>21.75</v>
      </c>
      <c r="E58" s="334">
        <f>SUM(E50:E55)</f>
        <v>78</v>
      </c>
      <c r="F58" s="346">
        <f>SUM(F50:F55)</f>
        <v>99.92</v>
      </c>
      <c r="G58" s="353"/>
      <c r="H58" s="354">
        <f t="shared" si="4"/>
        <v>0.21937550040032028</v>
      </c>
      <c r="I58" s="346"/>
      <c r="J58" s="334"/>
      <c r="K58" s="346"/>
      <c r="L58" s="334"/>
      <c r="M58" s="346"/>
      <c r="N58" s="334"/>
      <c r="O58" s="334"/>
      <c r="P58" s="334"/>
      <c r="Q58" s="334"/>
    </row>
    <row r="59" spans="1:17" ht="15.75" thickTop="1" x14ac:dyDescent="0.25">
      <c r="A59" s="333"/>
      <c r="B59" s="334"/>
      <c r="C59" s="371" t="s">
        <v>9</v>
      </c>
      <c r="D59" s="395">
        <f>SUM(D56:D58)</f>
        <v>31.560000000000002</v>
      </c>
      <c r="E59" s="334">
        <f>SUM(E56:E58)</f>
        <v>153</v>
      </c>
      <c r="F59" s="370">
        <f>SUM(F56:F58)</f>
        <v>183.86</v>
      </c>
      <c r="G59" s="353"/>
      <c r="H59" s="354">
        <f t="shared" si="4"/>
        <v>0.16784509953225285</v>
      </c>
      <c r="I59" s="346"/>
      <c r="J59" s="334"/>
      <c r="K59" s="346"/>
      <c r="L59" s="334"/>
      <c r="M59" s="346"/>
      <c r="N59" s="334"/>
      <c r="O59" s="334"/>
      <c r="P59" s="334"/>
      <c r="Q59" s="334"/>
    </row>
    <row r="60" spans="1:17" x14ac:dyDescent="0.25">
      <c r="A60" s="347" t="s">
        <v>19</v>
      </c>
      <c r="B60" s="373"/>
      <c r="C60" s="347"/>
      <c r="D60" s="384"/>
      <c r="E60" s="334"/>
      <c r="F60" s="336"/>
      <c r="G60" s="353"/>
      <c r="H60" s="385"/>
      <c r="I60" s="346">
        <v>26.3</v>
      </c>
      <c r="J60" s="334">
        <v>3.76</v>
      </c>
      <c r="K60" s="346">
        <v>6</v>
      </c>
      <c r="L60" s="334">
        <v>256.64999999999998</v>
      </c>
      <c r="M60" s="346" t="s">
        <v>162</v>
      </c>
      <c r="N60" s="334"/>
      <c r="O60" s="334"/>
      <c r="P60" s="334"/>
      <c r="Q60" s="334"/>
    </row>
    <row r="61" spans="1:17" x14ac:dyDescent="0.25">
      <c r="A61" s="333"/>
      <c r="B61" s="351" t="s">
        <v>3</v>
      </c>
      <c r="C61" s="351" t="s">
        <v>37</v>
      </c>
      <c r="D61" s="377">
        <v>4.43</v>
      </c>
      <c r="E61" s="396">
        <v>15</v>
      </c>
      <c r="F61" s="336">
        <v>18.329999999999998</v>
      </c>
      <c r="G61" s="353">
        <f>F61/D61</f>
        <v>4.1376975169300225</v>
      </c>
      <c r="H61" s="354">
        <f>(ABS(E61-F61))/F61</f>
        <v>0.18166939443535179</v>
      </c>
      <c r="I61" s="346">
        <v>29.1</v>
      </c>
      <c r="J61" s="334">
        <v>3.78</v>
      </c>
      <c r="K61" s="346">
        <v>7.4</v>
      </c>
      <c r="L61" s="334">
        <v>280.98</v>
      </c>
      <c r="M61" s="346" t="s">
        <v>161</v>
      </c>
      <c r="N61" s="334"/>
      <c r="O61" s="334"/>
      <c r="P61" s="334"/>
      <c r="Q61" s="334"/>
    </row>
    <row r="62" spans="1:17" x14ac:dyDescent="0.25">
      <c r="A62" s="347" t="s">
        <v>21</v>
      </c>
      <c r="B62" s="373"/>
      <c r="C62" s="347"/>
      <c r="D62" s="384"/>
      <c r="E62" s="334"/>
      <c r="F62" s="336"/>
      <c r="G62" s="353"/>
      <c r="H62" s="385"/>
      <c r="I62" s="346"/>
      <c r="J62" s="334"/>
      <c r="K62" s="346"/>
      <c r="L62" s="334"/>
      <c r="M62" s="346"/>
      <c r="N62" s="334"/>
      <c r="O62" s="334"/>
      <c r="P62" s="334"/>
      <c r="Q62" s="334"/>
    </row>
    <row r="63" spans="1:17" x14ac:dyDescent="0.25">
      <c r="A63" s="333"/>
      <c r="B63" s="351" t="s">
        <v>3</v>
      </c>
      <c r="C63" s="351" t="s">
        <v>44</v>
      </c>
      <c r="D63" s="377">
        <v>3.55</v>
      </c>
      <c r="E63" s="376">
        <v>21.8</v>
      </c>
      <c r="F63" s="336">
        <v>18.940000000000001</v>
      </c>
      <c r="G63" s="353">
        <f>F63/D63</f>
        <v>5.3352112676056347</v>
      </c>
      <c r="H63" s="354">
        <f t="shared" ref="H63:H69" si="5">(ABS(E63-F63))/F63</f>
        <v>0.15100316789862719</v>
      </c>
      <c r="I63" s="346">
        <v>23.4</v>
      </c>
      <c r="J63" s="334">
        <v>3.42</v>
      </c>
      <c r="K63" s="346">
        <v>6.5</v>
      </c>
      <c r="L63" s="334">
        <v>176.46</v>
      </c>
      <c r="M63" s="346"/>
      <c r="N63" s="334"/>
      <c r="O63" s="334"/>
      <c r="P63" s="334"/>
      <c r="Q63" s="334"/>
    </row>
    <row r="64" spans="1:17" x14ac:dyDescent="0.25">
      <c r="A64" s="333"/>
      <c r="B64" s="351" t="s">
        <v>86</v>
      </c>
      <c r="C64" s="351" t="s">
        <v>45</v>
      </c>
      <c r="D64" s="377">
        <v>1.9</v>
      </c>
      <c r="E64" s="356">
        <v>11.8</v>
      </c>
      <c r="F64" s="336">
        <v>8.73</v>
      </c>
      <c r="G64" s="353">
        <f>F64/D64</f>
        <v>4.5947368421052639</v>
      </c>
      <c r="H64" s="354">
        <f t="shared" si="5"/>
        <v>0.3516609392898053</v>
      </c>
      <c r="I64" s="346">
        <v>18.8</v>
      </c>
      <c r="J64" s="334">
        <v>3.13</v>
      </c>
      <c r="K64" s="346">
        <v>6.8</v>
      </c>
      <c r="L64" s="334">
        <v>232.85</v>
      </c>
      <c r="M64" s="346">
        <v>1455.8</v>
      </c>
      <c r="N64" s="334"/>
      <c r="O64" s="334"/>
      <c r="P64" s="334"/>
      <c r="Q64" s="334"/>
    </row>
    <row r="65" spans="1:17" x14ac:dyDescent="0.25">
      <c r="A65" s="333"/>
      <c r="B65" s="390" t="s">
        <v>7</v>
      </c>
      <c r="C65" s="390" t="s">
        <v>92</v>
      </c>
      <c r="D65" s="391">
        <v>9.1</v>
      </c>
      <c r="E65" s="360">
        <v>35</v>
      </c>
      <c r="F65" s="336">
        <v>51.36</v>
      </c>
      <c r="G65" s="353">
        <f>F65/D65</f>
        <v>5.6439560439560443</v>
      </c>
      <c r="H65" s="354">
        <f t="shared" si="5"/>
        <v>0.31853582554517135</v>
      </c>
      <c r="I65" s="346">
        <v>23.83</v>
      </c>
      <c r="J65" s="334">
        <v>3.33</v>
      </c>
      <c r="K65" s="346">
        <v>7.6</v>
      </c>
      <c r="L65" s="334">
        <v>75.5</v>
      </c>
      <c r="M65" s="346" t="s">
        <v>148</v>
      </c>
      <c r="N65" s="334"/>
      <c r="O65" s="334"/>
      <c r="P65" s="334"/>
      <c r="Q65" s="334"/>
    </row>
    <row r="66" spans="1:17" x14ac:dyDescent="0.25">
      <c r="A66" s="333"/>
      <c r="B66" s="362"/>
      <c r="C66" s="363" t="s">
        <v>115</v>
      </c>
      <c r="D66" s="397">
        <v>3.55</v>
      </c>
      <c r="E66" s="334">
        <f t="shared" ref="E66:F68" si="6">E63</f>
        <v>21.8</v>
      </c>
      <c r="F66" s="346">
        <f t="shared" si="6"/>
        <v>18.940000000000001</v>
      </c>
      <c r="G66" s="353"/>
      <c r="H66" s="354">
        <f t="shared" si="5"/>
        <v>0.15100316789862719</v>
      </c>
      <c r="I66" s="346"/>
      <c r="J66" s="334"/>
      <c r="K66" s="346"/>
      <c r="L66" s="334"/>
      <c r="M66" s="346"/>
      <c r="N66" s="334"/>
      <c r="O66" s="334"/>
      <c r="P66" s="334"/>
      <c r="Q66" s="334"/>
    </row>
    <row r="67" spans="1:17" x14ac:dyDescent="0.25">
      <c r="A67" s="333"/>
      <c r="B67" s="362"/>
      <c r="C67" s="333" t="s">
        <v>119</v>
      </c>
      <c r="D67" s="398">
        <v>1.9</v>
      </c>
      <c r="E67" s="334">
        <f t="shared" si="6"/>
        <v>11.8</v>
      </c>
      <c r="F67" s="346">
        <f t="shared" si="6"/>
        <v>8.73</v>
      </c>
      <c r="G67" s="353"/>
      <c r="H67" s="354">
        <f t="shared" si="5"/>
        <v>0.3516609392898053</v>
      </c>
      <c r="I67" s="346"/>
      <c r="J67" s="334"/>
      <c r="K67" s="346"/>
      <c r="L67" s="334"/>
      <c r="M67" s="346"/>
      <c r="N67" s="334"/>
      <c r="O67" s="334"/>
      <c r="P67" s="334"/>
      <c r="Q67" s="334"/>
    </row>
    <row r="68" spans="1:17" ht="15.75" thickBot="1" x14ac:dyDescent="0.3">
      <c r="A68" s="333"/>
      <c r="B68" s="334"/>
      <c r="C68" s="381" t="s">
        <v>117</v>
      </c>
      <c r="D68" s="399">
        <v>7</v>
      </c>
      <c r="E68" s="360">
        <f t="shared" si="6"/>
        <v>35</v>
      </c>
      <c r="F68" s="346">
        <f t="shared" si="6"/>
        <v>51.36</v>
      </c>
      <c r="G68" s="353"/>
      <c r="H68" s="354">
        <f t="shared" si="5"/>
        <v>0.31853582554517135</v>
      </c>
      <c r="I68" s="346"/>
      <c r="J68" s="334"/>
      <c r="K68" s="346"/>
      <c r="L68" s="334"/>
      <c r="M68" s="346"/>
      <c r="N68" s="334"/>
      <c r="O68" s="334"/>
      <c r="P68" s="334"/>
      <c r="Q68" s="334"/>
    </row>
    <row r="69" spans="1:17" ht="15.75" thickTop="1" x14ac:dyDescent="0.25">
      <c r="A69" s="333"/>
      <c r="B69" s="351"/>
      <c r="C69" s="383" t="s">
        <v>118</v>
      </c>
      <c r="D69" s="395">
        <f>SUM(D66:D68)</f>
        <v>12.45</v>
      </c>
      <c r="E69" s="334">
        <f>SUM(E66:E67)</f>
        <v>33.6</v>
      </c>
      <c r="F69" s="346">
        <f>SUM(F66:F68)</f>
        <v>79.03</v>
      </c>
      <c r="G69" s="353"/>
      <c r="H69" s="354">
        <f t="shared" si="5"/>
        <v>0.57484499557130198</v>
      </c>
      <c r="I69" s="346"/>
      <c r="J69" s="334"/>
      <c r="K69" s="346"/>
      <c r="L69" s="334"/>
      <c r="M69" s="346"/>
      <c r="N69" s="334"/>
      <c r="O69" s="334"/>
      <c r="P69" s="334"/>
      <c r="Q69" s="334"/>
    </row>
    <row r="70" spans="1:17" x14ac:dyDescent="0.25">
      <c r="A70" s="347" t="s">
        <v>23</v>
      </c>
      <c r="B70" s="373"/>
      <c r="C70" s="373"/>
      <c r="D70" s="400"/>
      <c r="E70" s="334"/>
      <c r="F70" s="336"/>
      <c r="G70" s="353"/>
      <c r="H70" s="385"/>
      <c r="I70" s="346"/>
      <c r="J70" s="334"/>
      <c r="K70" s="346"/>
      <c r="L70" s="334"/>
      <c r="M70" s="346"/>
      <c r="N70" s="334"/>
      <c r="O70" s="334"/>
      <c r="P70" s="334"/>
      <c r="Q70" s="334"/>
    </row>
    <row r="71" spans="1:17" x14ac:dyDescent="0.25">
      <c r="A71" s="333"/>
      <c r="B71" s="390" t="s">
        <v>7</v>
      </c>
      <c r="C71" s="390" t="s">
        <v>42</v>
      </c>
      <c r="D71" s="391">
        <v>6</v>
      </c>
      <c r="E71" s="360">
        <v>24</v>
      </c>
      <c r="F71" s="336">
        <v>32.29</v>
      </c>
      <c r="G71" s="353">
        <f>F71/D71</f>
        <v>5.3816666666666668</v>
      </c>
      <c r="H71" s="354">
        <f t="shared" ref="H71:H77" si="7">(ABS(E71-F71))/F71</f>
        <v>0.25673583152678847</v>
      </c>
      <c r="I71" s="346">
        <v>22.25</v>
      </c>
      <c r="J71" s="334">
        <v>3.51</v>
      </c>
      <c r="K71" s="346">
        <v>6.45</v>
      </c>
      <c r="L71" s="334">
        <v>339.93</v>
      </c>
      <c r="M71" s="346"/>
      <c r="N71" s="334"/>
      <c r="O71" s="334"/>
      <c r="P71" s="334"/>
      <c r="Q71" s="334"/>
    </row>
    <row r="72" spans="1:17" x14ac:dyDescent="0.25">
      <c r="A72" s="333"/>
      <c r="B72" s="390" t="s">
        <v>7</v>
      </c>
      <c r="C72" s="390" t="s">
        <v>46</v>
      </c>
      <c r="D72" s="391">
        <v>3.8</v>
      </c>
      <c r="E72" s="360">
        <v>15</v>
      </c>
      <c r="F72" s="336">
        <v>19.010000000000002</v>
      </c>
      <c r="G72" s="353">
        <f>F72/D72</f>
        <v>5.0026315789473692</v>
      </c>
      <c r="H72" s="354">
        <f t="shared" si="7"/>
        <v>0.21094160967911632</v>
      </c>
      <c r="I72" s="346">
        <v>23.3</v>
      </c>
      <c r="J72" s="334">
        <v>3.62</v>
      </c>
      <c r="K72" s="346">
        <v>6.3</v>
      </c>
      <c r="L72" s="334">
        <v>341.21</v>
      </c>
      <c r="M72" s="346">
        <v>1394.7</v>
      </c>
      <c r="N72" s="334"/>
      <c r="O72" s="334"/>
      <c r="P72" s="334"/>
      <c r="Q72" s="334"/>
    </row>
    <row r="73" spans="1:17" x14ac:dyDescent="0.25">
      <c r="A73" s="333"/>
      <c r="B73" s="390" t="s">
        <v>7</v>
      </c>
      <c r="C73" s="390" t="s">
        <v>47</v>
      </c>
      <c r="D73" s="391">
        <v>2.5</v>
      </c>
      <c r="E73" s="360">
        <v>10</v>
      </c>
      <c r="F73" s="336">
        <v>17.97</v>
      </c>
      <c r="G73" s="353">
        <f>F73/D73</f>
        <v>7.1879999999999997</v>
      </c>
      <c r="H73" s="354">
        <f t="shared" si="7"/>
        <v>0.44351697273233165</v>
      </c>
      <c r="I73" s="346">
        <v>22.9</v>
      </c>
      <c r="J73" s="334">
        <v>3.47</v>
      </c>
      <c r="K73" s="346">
        <v>7.07</v>
      </c>
      <c r="L73" s="334">
        <v>303.19</v>
      </c>
      <c r="M73" s="346">
        <v>1394.7</v>
      </c>
      <c r="N73" s="334"/>
      <c r="O73" s="334"/>
      <c r="P73" s="334"/>
      <c r="Q73" s="334"/>
    </row>
    <row r="74" spans="1:17" x14ac:dyDescent="0.25">
      <c r="A74" s="333"/>
      <c r="B74" s="390" t="s">
        <v>7</v>
      </c>
      <c r="C74" s="390" t="s">
        <v>91</v>
      </c>
      <c r="D74" s="391">
        <v>1.75</v>
      </c>
      <c r="E74" s="360">
        <v>5</v>
      </c>
      <c r="F74" s="336">
        <v>7.68</v>
      </c>
      <c r="G74" s="353">
        <f>F74/D74</f>
        <v>4.3885714285714288</v>
      </c>
      <c r="H74" s="354">
        <f t="shared" si="7"/>
        <v>0.34895833333333331</v>
      </c>
      <c r="I74" s="346">
        <v>23.7</v>
      </c>
      <c r="J74" s="334">
        <v>3.41</v>
      </c>
      <c r="K74" s="346">
        <v>8.8000000000000007</v>
      </c>
      <c r="L74" s="334"/>
      <c r="M74" s="346"/>
      <c r="N74" s="334"/>
      <c r="O74" s="334"/>
      <c r="P74" s="334"/>
      <c r="Q74" s="334"/>
    </row>
    <row r="75" spans="1:17" x14ac:dyDescent="0.25">
      <c r="A75" s="333"/>
      <c r="B75" s="390" t="s">
        <v>7</v>
      </c>
      <c r="C75" s="401" t="s">
        <v>79</v>
      </c>
      <c r="D75" s="402">
        <v>5</v>
      </c>
      <c r="E75" s="360">
        <v>25</v>
      </c>
      <c r="F75" s="336">
        <v>32.56</v>
      </c>
      <c r="G75" s="353">
        <f>F75/D75</f>
        <v>6.5120000000000005</v>
      </c>
      <c r="H75" s="354">
        <f t="shared" si="7"/>
        <v>0.23218673218673225</v>
      </c>
      <c r="I75" s="346">
        <v>22.77</v>
      </c>
      <c r="J75" s="334">
        <v>3.69</v>
      </c>
      <c r="K75" s="346">
        <v>6.63</v>
      </c>
      <c r="L75" s="334">
        <v>341</v>
      </c>
      <c r="M75" s="346"/>
      <c r="N75" s="334"/>
      <c r="O75" s="334"/>
      <c r="P75" s="334"/>
      <c r="Q75" s="334"/>
    </row>
    <row r="76" spans="1:17" ht="15.75" thickBot="1" x14ac:dyDescent="0.3">
      <c r="A76" s="333"/>
      <c r="B76" s="334"/>
      <c r="C76" s="403" t="s">
        <v>117</v>
      </c>
      <c r="D76" s="394">
        <f>SUM(D71:D75)</f>
        <v>19.05</v>
      </c>
      <c r="E76" s="334">
        <f>SUM(E71:E75)</f>
        <v>79</v>
      </c>
      <c r="F76" s="346">
        <f>SUM(F71:F75)</f>
        <v>109.50999999999999</v>
      </c>
      <c r="G76" s="353"/>
      <c r="H76" s="354">
        <f t="shared" si="7"/>
        <v>0.2786046936352844</v>
      </c>
      <c r="I76" s="346"/>
      <c r="J76" s="334"/>
      <c r="K76" s="346"/>
      <c r="L76" s="334"/>
      <c r="M76" s="346"/>
      <c r="N76" s="334"/>
      <c r="O76" s="334"/>
      <c r="P76" s="334"/>
      <c r="Q76" s="334"/>
    </row>
    <row r="77" spans="1:17" ht="15.75" thickTop="1" x14ac:dyDescent="0.25">
      <c r="A77" s="333"/>
      <c r="B77" s="334"/>
      <c r="C77" s="404" t="s">
        <v>118</v>
      </c>
      <c r="D77" s="395">
        <v>28.79</v>
      </c>
      <c r="E77" s="334">
        <f>SUM(E76:E76)</f>
        <v>79</v>
      </c>
      <c r="F77" s="346">
        <f>SUM(F76:F76)</f>
        <v>109.50999999999999</v>
      </c>
      <c r="G77" s="353"/>
      <c r="H77" s="354">
        <f t="shared" si="7"/>
        <v>0.2786046936352844</v>
      </c>
      <c r="I77" s="346"/>
      <c r="J77" s="334"/>
      <c r="K77" s="346"/>
      <c r="L77" s="334"/>
      <c r="M77" s="346"/>
      <c r="N77" s="334"/>
      <c r="O77" s="334"/>
      <c r="P77" s="334"/>
      <c r="Q77" s="334"/>
    </row>
    <row r="78" spans="1:17" x14ac:dyDescent="0.25">
      <c r="A78" s="347" t="s">
        <v>48</v>
      </c>
      <c r="B78" s="373"/>
      <c r="C78" s="347"/>
      <c r="D78" s="384"/>
      <c r="E78" s="334"/>
      <c r="F78" s="336"/>
      <c r="G78" s="353"/>
      <c r="H78" s="385"/>
      <c r="I78" s="346"/>
      <c r="J78" s="334"/>
      <c r="K78" s="346"/>
      <c r="L78" s="334"/>
      <c r="M78" s="346"/>
      <c r="N78" s="334"/>
      <c r="O78" s="334"/>
      <c r="P78" s="334"/>
      <c r="Q78" s="334"/>
    </row>
    <row r="79" spans="1:17" x14ac:dyDescent="0.25">
      <c r="A79" s="333"/>
      <c r="B79" s="351" t="s">
        <v>3</v>
      </c>
      <c r="C79" s="351" t="s">
        <v>49</v>
      </c>
      <c r="D79" s="377">
        <v>5.07</v>
      </c>
      <c r="E79" s="396">
        <v>25</v>
      </c>
      <c r="F79" s="336">
        <v>30.52</v>
      </c>
      <c r="G79" s="353">
        <f>F79/D79</f>
        <v>6.0197238658777117</v>
      </c>
      <c r="H79" s="354">
        <f t="shared" ref="H79:H87" si="8">(ABS(E79-F79))/F79</f>
        <v>0.18086500655307994</v>
      </c>
      <c r="I79" s="346">
        <v>23.47</v>
      </c>
      <c r="J79" s="334">
        <v>3.23</v>
      </c>
      <c r="K79" s="346">
        <v>9.07</v>
      </c>
      <c r="L79" s="334">
        <v>221.63</v>
      </c>
      <c r="M79" s="346"/>
      <c r="N79" s="334"/>
      <c r="O79" s="334"/>
      <c r="P79" s="334"/>
      <c r="Q79" s="334"/>
    </row>
    <row r="80" spans="1:17" x14ac:dyDescent="0.25">
      <c r="A80" s="333"/>
      <c r="B80" s="351" t="s">
        <v>86</v>
      </c>
      <c r="C80" s="351" t="s">
        <v>50</v>
      </c>
      <c r="D80" s="377">
        <v>1.23</v>
      </c>
      <c r="E80" s="376">
        <v>4.8</v>
      </c>
      <c r="F80" s="336"/>
      <c r="G80" s="353"/>
      <c r="H80" s="354" t="e">
        <f t="shared" si="8"/>
        <v>#DIV/0!</v>
      </c>
      <c r="I80" s="346">
        <v>24.4</v>
      </c>
      <c r="J80" s="334">
        <v>3.28</v>
      </c>
      <c r="K80" s="346">
        <v>8.1300000000000008</v>
      </c>
      <c r="L80" s="334">
        <v>182.76</v>
      </c>
      <c r="M80" s="346">
        <v>1389.8</v>
      </c>
      <c r="N80" s="334"/>
      <c r="O80" s="334"/>
      <c r="P80" s="334"/>
      <c r="Q80" s="334"/>
    </row>
    <row r="81" spans="1:17" x14ac:dyDescent="0.25">
      <c r="A81" s="333"/>
      <c r="B81" s="351" t="s">
        <v>86</v>
      </c>
      <c r="C81" s="351" t="s">
        <v>51</v>
      </c>
      <c r="D81" s="377">
        <v>1.58</v>
      </c>
      <c r="E81" s="376">
        <v>3.6</v>
      </c>
      <c r="F81" s="336"/>
      <c r="G81" s="353"/>
      <c r="H81" s="354" t="e">
        <f t="shared" si="8"/>
        <v>#DIV/0!</v>
      </c>
      <c r="I81" s="346">
        <v>24.4</v>
      </c>
      <c r="J81" s="334">
        <v>3.28</v>
      </c>
      <c r="K81" s="346">
        <v>8.1300000000000008</v>
      </c>
      <c r="L81" s="334">
        <v>182.76</v>
      </c>
      <c r="M81" s="346">
        <v>1389.8</v>
      </c>
      <c r="N81" s="334"/>
      <c r="O81" s="334"/>
      <c r="P81" s="334"/>
      <c r="Q81" s="334"/>
    </row>
    <row r="82" spans="1:17" x14ac:dyDescent="0.25">
      <c r="A82" s="333"/>
      <c r="B82" s="351" t="s">
        <v>86</v>
      </c>
      <c r="C82" s="351" t="s">
        <v>11</v>
      </c>
      <c r="D82" s="377">
        <v>0.21</v>
      </c>
      <c r="E82" s="376">
        <v>0.9</v>
      </c>
      <c r="F82" s="336"/>
      <c r="G82" s="353"/>
      <c r="H82" s="354" t="e">
        <f t="shared" si="8"/>
        <v>#DIV/0!</v>
      </c>
      <c r="I82" s="346">
        <v>24.4</v>
      </c>
      <c r="J82" s="334">
        <v>3.28</v>
      </c>
      <c r="K82" s="346">
        <v>8.1300000000000008</v>
      </c>
      <c r="L82" s="334">
        <v>182.76</v>
      </c>
      <c r="M82" s="346">
        <v>1389.8</v>
      </c>
      <c r="N82" s="334"/>
      <c r="O82" s="334"/>
      <c r="P82" s="334"/>
      <c r="Q82" s="334"/>
    </row>
    <row r="83" spans="1:17" x14ac:dyDescent="0.25">
      <c r="A83" s="350"/>
      <c r="B83" s="351" t="s">
        <v>86</v>
      </c>
      <c r="C83" s="351" t="s">
        <v>52</v>
      </c>
      <c r="D83" s="377">
        <v>0.68</v>
      </c>
      <c r="E83" s="376">
        <v>2.5</v>
      </c>
      <c r="F83" s="336"/>
      <c r="G83" s="353"/>
      <c r="H83" s="354" t="e">
        <f t="shared" si="8"/>
        <v>#DIV/0!</v>
      </c>
      <c r="I83" s="346">
        <v>24.4</v>
      </c>
      <c r="J83" s="334">
        <v>3.28</v>
      </c>
      <c r="K83" s="346">
        <v>8.1300000000000008</v>
      </c>
      <c r="L83" s="334">
        <v>182.76</v>
      </c>
      <c r="M83" s="346">
        <v>1389.8</v>
      </c>
      <c r="N83" s="334"/>
      <c r="O83" s="334"/>
      <c r="P83" s="334"/>
      <c r="Q83" s="334"/>
    </row>
    <row r="84" spans="1:17" x14ac:dyDescent="0.25">
      <c r="A84" s="333"/>
      <c r="B84" s="351" t="s">
        <v>86</v>
      </c>
      <c r="C84" s="351" t="s">
        <v>53</v>
      </c>
      <c r="D84" s="377">
        <v>0.74</v>
      </c>
      <c r="E84" s="376">
        <v>6.2</v>
      </c>
      <c r="F84" s="336"/>
      <c r="G84" s="353"/>
      <c r="H84" s="354" t="e">
        <f t="shared" si="8"/>
        <v>#DIV/0!</v>
      </c>
      <c r="I84" s="346">
        <v>24.4</v>
      </c>
      <c r="J84" s="334">
        <v>3.28</v>
      </c>
      <c r="K84" s="346">
        <v>8.1300000000000008</v>
      </c>
      <c r="L84" s="334">
        <v>182.76</v>
      </c>
      <c r="M84" s="346">
        <v>1389.8</v>
      </c>
      <c r="N84" s="334"/>
      <c r="O84" s="334"/>
      <c r="P84" s="334"/>
      <c r="Q84" s="334"/>
    </row>
    <row r="85" spans="1:17" x14ac:dyDescent="0.25">
      <c r="A85" s="333"/>
      <c r="B85" s="351" t="s">
        <v>86</v>
      </c>
      <c r="C85" s="351" t="s">
        <v>54</v>
      </c>
      <c r="D85" s="377">
        <v>1.1299999999999999</v>
      </c>
      <c r="E85" s="356">
        <v>4.4000000000000004</v>
      </c>
      <c r="F85" s="336"/>
      <c r="G85" s="353"/>
      <c r="H85" s="354" t="e">
        <f t="shared" si="8"/>
        <v>#DIV/0!</v>
      </c>
      <c r="I85" s="346">
        <v>24.4</v>
      </c>
      <c r="J85" s="334">
        <v>3.28</v>
      </c>
      <c r="K85" s="346">
        <v>8.1300000000000008</v>
      </c>
      <c r="L85" s="334">
        <v>182.76</v>
      </c>
      <c r="M85" s="346">
        <v>1389.8</v>
      </c>
      <c r="N85" s="334"/>
      <c r="O85" s="334"/>
      <c r="P85" s="334"/>
      <c r="Q85" s="334"/>
    </row>
    <row r="86" spans="1:17" x14ac:dyDescent="0.25">
      <c r="A86" s="333"/>
      <c r="B86" s="351" t="s">
        <v>86</v>
      </c>
      <c r="C86" s="351" t="s">
        <v>163</v>
      </c>
      <c r="D86" s="377">
        <v>5.57</v>
      </c>
      <c r="E86" s="376">
        <v>22.4</v>
      </c>
      <c r="F86" s="336">
        <v>30.35</v>
      </c>
      <c r="G86" s="353">
        <f>F86/D86</f>
        <v>5.4488330341113107</v>
      </c>
      <c r="H86" s="354">
        <f t="shared" si="8"/>
        <v>0.26194398682042841</v>
      </c>
      <c r="I86" s="346"/>
      <c r="J86" s="334"/>
      <c r="K86" s="346"/>
      <c r="L86" s="334">
        <v>182.76</v>
      </c>
      <c r="M86" s="346">
        <v>1389.8</v>
      </c>
      <c r="N86" s="334"/>
      <c r="O86" s="334"/>
      <c r="P86" s="334"/>
      <c r="Q86" s="334"/>
    </row>
    <row r="87" spans="1:17" x14ac:dyDescent="0.25">
      <c r="A87" s="333"/>
      <c r="B87" s="351" t="s">
        <v>89</v>
      </c>
      <c r="C87" s="351" t="s">
        <v>55</v>
      </c>
      <c r="D87" s="377">
        <v>6.15</v>
      </c>
      <c r="E87" s="396">
        <v>31.5</v>
      </c>
      <c r="F87" s="336">
        <v>37.21</v>
      </c>
      <c r="G87" s="353">
        <f>F87/D87</f>
        <v>6.0504065040650401</v>
      </c>
      <c r="H87" s="354">
        <f t="shared" si="8"/>
        <v>0.15345337274926096</v>
      </c>
      <c r="I87" s="346">
        <v>21.5</v>
      </c>
      <c r="J87" s="334">
        <v>3.18</v>
      </c>
      <c r="K87" s="346">
        <v>8.5</v>
      </c>
      <c r="L87" s="334">
        <v>141.58000000000001</v>
      </c>
      <c r="M87" s="346">
        <v>1484.8</v>
      </c>
      <c r="N87" s="334"/>
      <c r="O87" s="334"/>
      <c r="P87" s="334"/>
      <c r="Q87" s="334"/>
    </row>
    <row r="88" spans="1:17" x14ac:dyDescent="0.25">
      <c r="A88" s="333"/>
      <c r="B88" s="351" t="s">
        <v>139</v>
      </c>
      <c r="C88" s="351" t="s">
        <v>5</v>
      </c>
      <c r="D88" s="377" t="s">
        <v>109</v>
      </c>
      <c r="E88" s="356">
        <v>0</v>
      </c>
      <c r="F88" s="336"/>
      <c r="G88" s="353"/>
      <c r="H88" s="385"/>
      <c r="I88" s="346"/>
      <c r="J88" s="334"/>
      <c r="K88" s="346"/>
      <c r="L88" s="334"/>
      <c r="M88" s="346"/>
      <c r="N88" s="334"/>
      <c r="O88" s="334"/>
      <c r="P88" s="334"/>
      <c r="Q88" s="334"/>
    </row>
    <row r="89" spans="1:17" x14ac:dyDescent="0.25">
      <c r="A89" s="333"/>
      <c r="B89" s="362"/>
      <c r="C89" s="363" t="s">
        <v>115</v>
      </c>
      <c r="D89" s="392">
        <v>5.07</v>
      </c>
      <c r="E89" s="334">
        <f>SUM(E79)</f>
        <v>25</v>
      </c>
      <c r="F89" s="346">
        <f>SUM(F79)</f>
        <v>30.52</v>
      </c>
      <c r="G89" s="353"/>
      <c r="H89" s="354">
        <f>(ABS(E89-F89))/F89</f>
        <v>0.18086500655307994</v>
      </c>
      <c r="I89" s="346"/>
      <c r="J89" s="334"/>
      <c r="K89" s="346"/>
      <c r="L89" s="334"/>
      <c r="M89" s="346"/>
      <c r="N89" s="334"/>
      <c r="O89" s="334"/>
      <c r="P89" s="334"/>
      <c r="Q89" s="334"/>
    </row>
    <row r="90" spans="1:17" x14ac:dyDescent="0.25">
      <c r="A90" s="333"/>
      <c r="B90" s="362"/>
      <c r="C90" s="333" t="s">
        <v>119</v>
      </c>
      <c r="D90" s="372">
        <f>SUM(D80:D87)</f>
        <v>17.29</v>
      </c>
      <c r="E90" s="334">
        <f>SUM(E86:E88)</f>
        <v>53.9</v>
      </c>
      <c r="F90" s="346">
        <f>SUM(F80:F88)</f>
        <v>67.56</v>
      </c>
      <c r="G90" s="353"/>
      <c r="H90" s="354">
        <f>(ABS(E90-F90))/F90</f>
        <v>0.20219064535227951</v>
      </c>
      <c r="I90" s="346"/>
      <c r="J90" s="334"/>
      <c r="K90" s="346"/>
      <c r="L90" s="334"/>
      <c r="M90" s="346"/>
      <c r="N90" s="334"/>
      <c r="O90" s="334"/>
      <c r="P90" s="334"/>
      <c r="Q90" s="334"/>
    </row>
    <row r="91" spans="1:17" ht="15.75" thickBot="1" x14ac:dyDescent="0.3">
      <c r="A91" s="333"/>
      <c r="B91" s="334"/>
      <c r="C91" s="381" t="s">
        <v>117</v>
      </c>
      <c r="D91" s="394" t="s">
        <v>109</v>
      </c>
      <c r="E91" s="334">
        <v>0</v>
      </c>
      <c r="F91" s="346">
        <v>0</v>
      </c>
      <c r="G91" s="353"/>
      <c r="H91" s="354"/>
      <c r="I91" s="346"/>
      <c r="J91" s="334"/>
      <c r="K91" s="346"/>
      <c r="L91" s="334"/>
      <c r="M91" s="346"/>
      <c r="N91" s="334"/>
      <c r="O91" s="334"/>
      <c r="P91" s="334"/>
      <c r="Q91" s="334"/>
    </row>
    <row r="92" spans="1:17" ht="15.75" thickTop="1" x14ac:dyDescent="0.25">
      <c r="A92" s="333"/>
      <c r="B92" s="334"/>
      <c r="C92" s="383" t="s">
        <v>118</v>
      </c>
      <c r="D92" s="395">
        <f>SUM(D89,D90)</f>
        <v>22.36</v>
      </c>
      <c r="E92" s="334">
        <f>SUM(E89:E91)</f>
        <v>78.900000000000006</v>
      </c>
      <c r="F92" s="346">
        <f>SUM(F89:F91)</f>
        <v>98.08</v>
      </c>
      <c r="G92" s="353"/>
      <c r="H92" s="354">
        <f>(ABS(E92-F92))/F92</f>
        <v>0.19555464926590532</v>
      </c>
      <c r="I92" s="346"/>
      <c r="J92" s="334"/>
      <c r="K92" s="346"/>
      <c r="L92" s="334"/>
      <c r="M92" s="346"/>
      <c r="N92" s="334"/>
      <c r="O92" s="334"/>
      <c r="P92" s="334"/>
      <c r="Q92" s="334"/>
    </row>
    <row r="93" spans="1:17" x14ac:dyDescent="0.25">
      <c r="A93" s="347" t="s">
        <v>25</v>
      </c>
      <c r="B93" s="373"/>
      <c r="C93" s="347"/>
      <c r="D93" s="384"/>
      <c r="E93" s="334"/>
      <c r="F93" s="336"/>
      <c r="G93" s="353"/>
      <c r="H93" s="385"/>
      <c r="I93" s="346"/>
      <c r="J93" s="334"/>
      <c r="K93" s="346"/>
      <c r="L93" s="334"/>
      <c r="M93" s="346"/>
      <c r="N93" s="334"/>
      <c r="O93" s="334"/>
      <c r="P93" s="334"/>
      <c r="Q93" s="334"/>
    </row>
    <row r="94" spans="1:17" x14ac:dyDescent="0.25">
      <c r="A94" s="405"/>
      <c r="B94" s="406" t="s">
        <v>3</v>
      </c>
      <c r="C94" s="406" t="s">
        <v>56</v>
      </c>
      <c r="D94" s="407">
        <v>1.49</v>
      </c>
      <c r="E94" s="376">
        <v>7.8</v>
      </c>
      <c r="F94" s="336">
        <v>10.050000000000001</v>
      </c>
      <c r="G94" s="353">
        <f>F94/D94</f>
        <v>6.7449664429530207</v>
      </c>
      <c r="H94" s="354">
        <f>(ABS(E94-F94))/F94</f>
        <v>0.22388059701492544</v>
      </c>
      <c r="I94" s="346">
        <v>21.9</v>
      </c>
      <c r="J94" s="334">
        <v>3.34</v>
      </c>
      <c r="K94" s="346">
        <v>6.4</v>
      </c>
      <c r="L94" s="334">
        <v>121.5</v>
      </c>
      <c r="M94" s="346"/>
      <c r="N94" s="334"/>
      <c r="O94" s="334"/>
      <c r="P94" s="334"/>
      <c r="Q94" s="334"/>
    </row>
    <row r="95" spans="1:17" x14ac:dyDescent="0.25">
      <c r="A95" s="350" t="s">
        <v>93</v>
      </c>
      <c r="B95" s="408"/>
      <c r="C95" s="350"/>
      <c r="D95" s="409"/>
      <c r="E95" s="334"/>
      <c r="F95" s="336"/>
      <c r="G95" s="353"/>
      <c r="H95" s="385"/>
      <c r="I95" s="346"/>
      <c r="J95" s="334"/>
      <c r="K95" s="346"/>
      <c r="L95" s="334"/>
      <c r="M95" s="346"/>
      <c r="N95" s="334"/>
      <c r="O95" s="334"/>
      <c r="P95" s="334"/>
      <c r="Q95" s="334"/>
    </row>
    <row r="96" spans="1:17" x14ac:dyDescent="0.25">
      <c r="A96" s="333"/>
      <c r="B96" s="351" t="s">
        <v>7</v>
      </c>
      <c r="C96" s="351" t="s">
        <v>99</v>
      </c>
      <c r="D96" s="410">
        <v>1</v>
      </c>
      <c r="E96" s="360">
        <v>5</v>
      </c>
      <c r="F96" s="336">
        <v>4.93</v>
      </c>
      <c r="G96" s="353">
        <f>F96/D96</f>
        <v>4.93</v>
      </c>
      <c r="H96" s="354">
        <f>(ABS(E96-F96))/F96</f>
        <v>1.4198782961460505E-2</v>
      </c>
      <c r="I96" s="346">
        <v>23</v>
      </c>
      <c r="J96" s="334">
        <v>3.2</v>
      </c>
      <c r="K96" s="346">
        <v>9.3000000000000007</v>
      </c>
      <c r="L96" s="334" t="s">
        <v>148</v>
      </c>
      <c r="M96" s="346">
        <v>1420.5</v>
      </c>
      <c r="N96" s="334"/>
      <c r="O96" s="334"/>
      <c r="P96" s="334"/>
      <c r="Q96" s="334"/>
    </row>
    <row r="97" spans="1:17" x14ac:dyDescent="0.25">
      <c r="A97" s="411" t="s">
        <v>103</v>
      </c>
      <c r="B97" s="373"/>
      <c r="C97" s="412"/>
      <c r="D97" s="413"/>
      <c r="E97" s="334"/>
      <c r="F97" s="336"/>
      <c r="G97" s="353"/>
      <c r="H97" s="385"/>
      <c r="I97" s="346"/>
      <c r="J97" s="334"/>
      <c r="K97" s="346"/>
      <c r="L97" s="334"/>
      <c r="M97" s="346"/>
      <c r="N97" s="334"/>
      <c r="O97" s="334"/>
      <c r="P97" s="334"/>
      <c r="Q97" s="334"/>
    </row>
    <row r="98" spans="1:17" x14ac:dyDescent="0.25">
      <c r="A98" s="414"/>
      <c r="B98" s="361" t="s">
        <v>7</v>
      </c>
      <c r="C98" s="415" t="s">
        <v>122</v>
      </c>
      <c r="D98" s="416">
        <v>3.98</v>
      </c>
      <c r="E98" s="360">
        <v>10</v>
      </c>
      <c r="F98" s="336">
        <v>10.029999999999999</v>
      </c>
      <c r="G98" s="353">
        <f>F98/D98</f>
        <v>2.5201005025125625</v>
      </c>
      <c r="H98" s="365">
        <f>(ABS(E98-F98))/F98</f>
        <v>2.9910269192422096E-3</v>
      </c>
      <c r="I98" s="346">
        <v>24.7</v>
      </c>
      <c r="J98" s="334">
        <v>3.5</v>
      </c>
      <c r="K98" s="346">
        <v>5.8</v>
      </c>
      <c r="L98" s="334">
        <v>162.1</v>
      </c>
      <c r="M98" s="346"/>
      <c r="N98" s="334"/>
      <c r="O98" s="334"/>
      <c r="P98" s="334"/>
      <c r="Q98" s="334"/>
    </row>
    <row r="99" spans="1:17" x14ac:dyDescent="0.25">
      <c r="A99" s="411" t="s">
        <v>149</v>
      </c>
      <c r="B99" s="417"/>
      <c r="C99" s="417"/>
      <c r="D99" s="416"/>
      <c r="E99" s="360"/>
      <c r="F99" s="336"/>
      <c r="G99" s="353"/>
      <c r="H99" s="365" t="e">
        <f t="shared" ref="H99:H102" si="9">(ABS(E99-F99))/F99</f>
        <v>#DIV/0!</v>
      </c>
      <c r="I99" s="346"/>
      <c r="J99" s="334"/>
      <c r="K99" s="346"/>
      <c r="L99" s="334"/>
      <c r="M99" s="346"/>
      <c r="N99" s="334"/>
      <c r="O99" s="334"/>
      <c r="P99" s="334"/>
      <c r="Q99" s="334"/>
    </row>
    <row r="100" spans="1:17" x14ac:dyDescent="0.25">
      <c r="A100" s="414"/>
      <c r="B100" s="361" t="s">
        <v>7</v>
      </c>
      <c r="C100" s="415" t="s">
        <v>99</v>
      </c>
      <c r="D100" s="416">
        <v>2</v>
      </c>
      <c r="E100" s="360">
        <v>10</v>
      </c>
      <c r="F100" s="336">
        <v>11.69</v>
      </c>
      <c r="G100" s="353">
        <f>F100/D100</f>
        <v>5.8449999999999998</v>
      </c>
      <c r="H100" s="365">
        <f t="shared" si="9"/>
        <v>0.14456800684345592</v>
      </c>
      <c r="I100" s="346">
        <v>23</v>
      </c>
      <c r="J100" s="334">
        <v>3.2</v>
      </c>
      <c r="K100" s="346">
        <v>9.3000000000000007</v>
      </c>
      <c r="L100" s="334" t="s">
        <v>148</v>
      </c>
      <c r="M100" s="346"/>
      <c r="N100" s="334"/>
      <c r="O100" s="334"/>
      <c r="P100" s="334"/>
      <c r="Q100" s="334"/>
    </row>
    <row r="101" spans="1:17" s="256" customFormat="1" x14ac:dyDescent="0.25">
      <c r="A101" s="411" t="s">
        <v>159</v>
      </c>
      <c r="B101" s="417"/>
      <c r="C101" s="417"/>
      <c r="D101" s="418"/>
      <c r="E101" s="419"/>
      <c r="F101" s="420"/>
      <c r="G101" s="353"/>
      <c r="H101" s="365" t="e">
        <f t="shared" si="9"/>
        <v>#DIV/0!</v>
      </c>
      <c r="I101" s="421"/>
      <c r="J101" s="373"/>
      <c r="K101" s="421"/>
      <c r="L101" s="373"/>
      <c r="M101" s="421"/>
      <c r="N101" s="373"/>
      <c r="O101" s="373"/>
      <c r="P101" s="373"/>
      <c r="Q101" s="373"/>
    </row>
    <row r="102" spans="1:17" s="255" customFormat="1" x14ac:dyDescent="0.25">
      <c r="A102" s="405"/>
      <c r="B102" s="422" t="s">
        <v>160</v>
      </c>
      <c r="C102" s="422" t="s">
        <v>122</v>
      </c>
      <c r="D102" s="423">
        <v>1.68</v>
      </c>
      <c r="E102" s="424">
        <v>10</v>
      </c>
      <c r="F102" s="425">
        <v>8.4</v>
      </c>
      <c r="G102" s="353">
        <f>F102/D102</f>
        <v>5</v>
      </c>
      <c r="H102" s="426">
        <f t="shared" si="9"/>
        <v>0.19047619047619044</v>
      </c>
      <c r="I102" s="427">
        <v>26.3</v>
      </c>
      <c r="J102" s="428">
        <v>3.74</v>
      </c>
      <c r="K102" s="427">
        <v>5.8</v>
      </c>
      <c r="L102" s="428">
        <v>127.68</v>
      </c>
      <c r="M102" s="427"/>
      <c r="N102" s="428"/>
      <c r="O102" s="428"/>
      <c r="P102" s="428"/>
      <c r="Q102" s="428"/>
    </row>
    <row r="103" spans="1:17" x14ac:dyDescent="0.25">
      <c r="A103" s="414" t="s">
        <v>27</v>
      </c>
      <c r="B103" s="408"/>
      <c r="C103" s="350"/>
      <c r="D103" s="409"/>
      <c r="E103" s="334"/>
      <c r="F103" s="336"/>
      <c r="G103" s="353"/>
      <c r="H103" s="385"/>
      <c r="I103" s="346"/>
      <c r="J103" s="334"/>
      <c r="K103" s="346"/>
      <c r="L103" s="334"/>
      <c r="M103" s="346"/>
      <c r="N103" s="334"/>
      <c r="O103" s="334"/>
      <c r="P103" s="334"/>
      <c r="Q103" s="334"/>
    </row>
    <row r="104" spans="1:17" x14ac:dyDescent="0.25">
      <c r="A104" s="333"/>
      <c r="B104" s="351" t="s">
        <v>3</v>
      </c>
      <c r="C104" s="351" t="s">
        <v>57</v>
      </c>
      <c r="D104" s="377">
        <v>7.0000000000000007E-2</v>
      </c>
      <c r="E104" s="360">
        <v>0.25</v>
      </c>
      <c r="F104" s="336">
        <v>0.8</v>
      </c>
      <c r="G104" s="353">
        <f>F104/D104</f>
        <v>11.428571428571429</v>
      </c>
      <c r="H104" s="354">
        <f t="shared" ref="H104:H109" si="10">(ABS(E104-F104))/F104</f>
        <v>0.6875</v>
      </c>
      <c r="I104" s="346"/>
      <c r="J104" s="334"/>
      <c r="K104" s="346"/>
      <c r="L104" s="334" t="s">
        <v>148</v>
      </c>
      <c r="M104" s="346"/>
      <c r="N104" s="334"/>
      <c r="O104" s="334"/>
      <c r="P104" s="334"/>
      <c r="Q104" s="334"/>
    </row>
    <row r="105" spans="1:17" x14ac:dyDescent="0.25">
      <c r="A105" s="350"/>
      <c r="B105" s="351"/>
      <c r="C105" s="351" t="s">
        <v>58</v>
      </c>
      <c r="D105" s="377">
        <v>2.36</v>
      </c>
      <c r="E105" s="396">
        <v>8.1</v>
      </c>
      <c r="F105" s="336">
        <v>10.02</v>
      </c>
      <c r="G105" s="353">
        <f>F105/D105</f>
        <v>4.2457627118644066</v>
      </c>
      <c r="H105" s="354">
        <f t="shared" si="10"/>
        <v>0.19161676646706588</v>
      </c>
      <c r="I105" s="346">
        <v>27.2</v>
      </c>
      <c r="J105" s="334">
        <v>3.62</v>
      </c>
      <c r="K105" s="346">
        <v>6.8</v>
      </c>
      <c r="L105" s="334">
        <v>131.77000000000001</v>
      </c>
      <c r="M105" s="346"/>
      <c r="N105" s="334"/>
      <c r="O105" s="334"/>
      <c r="P105" s="334"/>
      <c r="Q105" s="334"/>
    </row>
    <row r="106" spans="1:17" x14ac:dyDescent="0.25">
      <c r="A106" s="333"/>
      <c r="B106" s="351"/>
      <c r="C106" s="351" t="s">
        <v>59</v>
      </c>
      <c r="D106" s="377">
        <v>1.17</v>
      </c>
      <c r="E106" s="396">
        <v>5.2</v>
      </c>
      <c r="F106" s="336">
        <v>4.7699999999999996</v>
      </c>
      <c r="G106" s="353">
        <f>F106/D106</f>
        <v>4.0769230769230766</v>
      </c>
      <c r="H106" s="354">
        <f t="shared" si="10"/>
        <v>9.0146750524109143E-2</v>
      </c>
      <c r="I106" s="346">
        <v>28</v>
      </c>
      <c r="J106" s="334">
        <v>3.75</v>
      </c>
      <c r="K106" s="346">
        <v>6.4</v>
      </c>
      <c r="L106" s="334">
        <v>150.37</v>
      </c>
      <c r="M106" s="346"/>
      <c r="N106" s="334"/>
      <c r="O106" s="334"/>
      <c r="P106" s="334"/>
      <c r="Q106" s="334"/>
    </row>
    <row r="107" spans="1:17" x14ac:dyDescent="0.25">
      <c r="A107" s="333"/>
      <c r="B107" s="351"/>
      <c r="C107" s="351" t="s">
        <v>60</v>
      </c>
      <c r="D107" s="377">
        <v>0.95</v>
      </c>
      <c r="E107" s="356">
        <v>3.8</v>
      </c>
      <c r="F107" s="336">
        <v>3.88</v>
      </c>
      <c r="G107" s="353">
        <f>F107/D107</f>
        <v>4.0842105263157897</v>
      </c>
      <c r="H107" s="354">
        <f t="shared" si="10"/>
        <v>2.0618556701030948E-2</v>
      </c>
      <c r="I107" s="346">
        <v>26.5</v>
      </c>
      <c r="J107" s="334">
        <v>3.67</v>
      </c>
      <c r="K107" s="346">
        <v>6.9</v>
      </c>
      <c r="L107" s="334">
        <v>151</v>
      </c>
      <c r="M107" s="346"/>
      <c r="N107" s="334"/>
      <c r="O107" s="334"/>
      <c r="P107" s="334"/>
      <c r="Q107" s="334"/>
    </row>
    <row r="108" spans="1:17" x14ac:dyDescent="0.25">
      <c r="A108" s="333"/>
      <c r="B108" s="390" t="s">
        <v>7</v>
      </c>
      <c r="C108" s="390" t="s">
        <v>122</v>
      </c>
      <c r="D108" s="391">
        <v>3.02</v>
      </c>
      <c r="E108" s="360">
        <v>10</v>
      </c>
      <c r="F108" s="336">
        <v>9.19</v>
      </c>
      <c r="G108" s="353">
        <f>F108/D108</f>
        <v>3.0430463576158937</v>
      </c>
      <c r="H108" s="354">
        <f t="shared" si="10"/>
        <v>8.8139281828074054E-2</v>
      </c>
      <c r="I108" s="346">
        <v>24.2</v>
      </c>
      <c r="J108" s="334">
        <v>3.85</v>
      </c>
      <c r="K108" s="346">
        <v>5.2</v>
      </c>
      <c r="L108" s="334">
        <v>203.68</v>
      </c>
      <c r="M108" s="346"/>
      <c r="N108" s="334"/>
      <c r="O108" s="334"/>
      <c r="P108" s="334"/>
      <c r="Q108" s="334"/>
    </row>
    <row r="109" spans="1:17" x14ac:dyDescent="0.25">
      <c r="A109" s="333"/>
      <c r="B109" s="362"/>
      <c r="C109" s="363" t="s">
        <v>115</v>
      </c>
      <c r="D109" s="392">
        <f>SUM(D104:D107)</f>
        <v>4.55</v>
      </c>
      <c r="E109" s="334">
        <f>SUM(E104:E107)</f>
        <v>17.350000000000001</v>
      </c>
      <c r="F109" s="346">
        <f>SUM(F104:F107)</f>
        <v>19.47</v>
      </c>
      <c r="G109" s="353"/>
      <c r="H109" s="354">
        <f t="shared" si="10"/>
        <v>0.10888546481766809</v>
      </c>
      <c r="I109" s="346"/>
      <c r="J109" s="334"/>
      <c r="K109" s="346"/>
      <c r="L109" s="334"/>
      <c r="M109" s="346"/>
      <c r="N109" s="334"/>
      <c r="O109" s="334"/>
      <c r="P109" s="334"/>
      <c r="Q109" s="334"/>
    </row>
    <row r="110" spans="1:17" x14ac:dyDescent="0.25">
      <c r="A110" s="333"/>
      <c r="B110" s="362"/>
      <c r="C110" s="333" t="s">
        <v>120</v>
      </c>
      <c r="D110" s="372" t="s">
        <v>109</v>
      </c>
      <c r="E110" s="396">
        <v>0</v>
      </c>
      <c r="F110" s="346">
        <v>0</v>
      </c>
      <c r="G110" s="353"/>
      <c r="H110" s="354"/>
      <c r="I110" s="346"/>
      <c r="J110" s="334"/>
      <c r="K110" s="346"/>
      <c r="L110" s="334"/>
      <c r="M110" s="346"/>
      <c r="N110" s="334"/>
      <c r="O110" s="334"/>
      <c r="P110" s="334"/>
      <c r="Q110" s="334"/>
    </row>
    <row r="111" spans="1:17" ht="15.75" thickBot="1" x14ac:dyDescent="0.3">
      <c r="A111" s="333"/>
      <c r="B111" s="334"/>
      <c r="C111" s="381" t="s">
        <v>117</v>
      </c>
      <c r="D111" s="394">
        <v>12.06</v>
      </c>
      <c r="E111" s="334">
        <f>E108</f>
        <v>10</v>
      </c>
      <c r="F111" s="346">
        <f>F108</f>
        <v>9.19</v>
      </c>
      <c r="G111" s="353"/>
      <c r="H111" s="354">
        <f>(ABS(E111-F111))/F111</f>
        <v>8.8139281828074054E-2</v>
      </c>
      <c r="I111" s="346"/>
      <c r="J111" s="334"/>
      <c r="K111" s="346"/>
      <c r="L111" s="334"/>
      <c r="M111" s="346"/>
      <c r="N111" s="334"/>
      <c r="O111" s="334"/>
      <c r="P111" s="334"/>
      <c r="Q111" s="334"/>
    </row>
    <row r="112" spans="1:17" ht="15.75" thickTop="1" x14ac:dyDescent="0.25">
      <c r="A112" s="333"/>
      <c r="B112" s="334"/>
      <c r="C112" s="383" t="s">
        <v>118</v>
      </c>
      <c r="D112" s="395">
        <f>SUM(D109,D111)</f>
        <v>16.61</v>
      </c>
      <c r="E112" s="334">
        <f>SUM(E109:E111)</f>
        <v>27.35</v>
      </c>
      <c r="F112" s="346">
        <f>SUM(F109:F111)</f>
        <v>28.659999999999997</v>
      </c>
      <c r="G112" s="353"/>
      <c r="H112" s="354">
        <f>(ABS(E112-F112))/F112</f>
        <v>4.5708304256803743E-2</v>
      </c>
      <c r="I112" s="346"/>
      <c r="J112" s="334"/>
      <c r="K112" s="346"/>
      <c r="L112" s="334"/>
      <c r="M112" s="346"/>
      <c r="N112" s="334"/>
      <c r="O112" s="334"/>
      <c r="P112" s="334"/>
      <c r="Q112" s="334"/>
    </row>
    <row r="113" spans="1:17" x14ac:dyDescent="0.25">
      <c r="A113" s="347" t="s">
        <v>28</v>
      </c>
      <c r="B113" s="373"/>
      <c r="C113" s="347"/>
      <c r="D113" s="384"/>
      <c r="E113" s="334"/>
      <c r="F113" s="336"/>
      <c r="G113" s="353"/>
      <c r="H113" s="385"/>
      <c r="I113" s="346"/>
      <c r="J113" s="334"/>
      <c r="K113" s="346"/>
      <c r="L113" s="334"/>
      <c r="M113" s="346"/>
      <c r="N113" s="334"/>
      <c r="O113" s="334"/>
      <c r="P113" s="334"/>
      <c r="Q113" s="334"/>
    </row>
    <row r="114" spans="1:17" x14ac:dyDescent="0.25">
      <c r="A114" s="333"/>
      <c r="B114" s="351" t="s">
        <v>3</v>
      </c>
      <c r="C114" s="351" t="s">
        <v>53</v>
      </c>
      <c r="D114" s="377">
        <v>1.1000000000000001</v>
      </c>
      <c r="E114" s="334">
        <v>4.5999999999999996</v>
      </c>
      <c r="F114" s="336">
        <v>5.36</v>
      </c>
      <c r="G114" s="353">
        <f>F114/D114</f>
        <v>4.872727272727273</v>
      </c>
      <c r="H114" s="354">
        <f t="shared" ref="H114:H119" si="11">(ABS(E114-F114))/F114</f>
        <v>0.14179104477611951</v>
      </c>
      <c r="I114" s="346">
        <v>27.2</v>
      </c>
      <c r="J114" s="334">
        <v>3.68</v>
      </c>
      <c r="K114" s="346">
        <v>7.7</v>
      </c>
      <c r="L114" s="334">
        <v>224</v>
      </c>
      <c r="M114" s="346"/>
      <c r="N114" s="334"/>
      <c r="O114" s="334"/>
      <c r="P114" s="334"/>
      <c r="Q114" s="334"/>
    </row>
    <row r="115" spans="1:17" x14ac:dyDescent="0.25">
      <c r="A115" s="333"/>
      <c r="B115" s="351" t="s">
        <v>3</v>
      </c>
      <c r="C115" s="351" t="s">
        <v>61</v>
      </c>
      <c r="D115" s="377">
        <v>0.83</v>
      </c>
      <c r="E115" s="429">
        <v>3</v>
      </c>
      <c r="F115" s="336">
        <v>6.04</v>
      </c>
      <c r="G115" s="353">
        <f>F115/D115</f>
        <v>7.2771084337349405</v>
      </c>
      <c r="H115" s="354">
        <f t="shared" si="11"/>
        <v>0.50331125827814571</v>
      </c>
      <c r="I115" s="346">
        <v>27.2</v>
      </c>
      <c r="J115" s="334">
        <v>3.68</v>
      </c>
      <c r="K115" s="346">
        <v>7.7</v>
      </c>
      <c r="L115" s="334">
        <v>224</v>
      </c>
      <c r="M115" s="346"/>
      <c r="N115" s="334"/>
      <c r="O115" s="334"/>
      <c r="P115" s="334"/>
      <c r="Q115" s="334"/>
    </row>
    <row r="116" spans="1:17" x14ac:dyDescent="0.25">
      <c r="A116" s="333"/>
      <c r="B116" s="351" t="s">
        <v>86</v>
      </c>
      <c r="C116" s="351"/>
      <c r="D116" s="377">
        <v>0.05</v>
      </c>
      <c r="E116" s="360">
        <v>0.23</v>
      </c>
      <c r="F116" s="336">
        <v>0.24</v>
      </c>
      <c r="G116" s="353">
        <f>F116/D116</f>
        <v>4.8</v>
      </c>
      <c r="H116" s="354">
        <f t="shared" si="11"/>
        <v>4.1666666666666588E-2</v>
      </c>
      <c r="I116" s="346" t="s">
        <v>148</v>
      </c>
      <c r="J116" s="334" t="s">
        <v>148</v>
      </c>
      <c r="K116" s="346" t="s">
        <v>148</v>
      </c>
      <c r="L116" s="334" t="s">
        <v>148</v>
      </c>
      <c r="M116" s="346">
        <v>1342.2</v>
      </c>
      <c r="N116" s="334"/>
      <c r="O116" s="334"/>
      <c r="P116" s="334"/>
      <c r="Q116" s="334"/>
    </row>
    <row r="117" spans="1:17" x14ac:dyDescent="0.25">
      <c r="A117" s="333"/>
      <c r="B117" s="351" t="s">
        <v>6</v>
      </c>
      <c r="C117" s="351"/>
      <c r="D117" s="377">
        <v>13.45</v>
      </c>
      <c r="E117" s="430">
        <v>48.8</v>
      </c>
      <c r="F117" s="336">
        <v>51.54</v>
      </c>
      <c r="G117" s="353">
        <f>F117/D117</f>
        <v>3.8319702602230485</v>
      </c>
      <c r="H117" s="354">
        <f t="shared" si="11"/>
        <v>5.316259216142806E-2</v>
      </c>
      <c r="I117" s="346">
        <v>25.7</v>
      </c>
      <c r="J117" s="334">
        <v>3.63</v>
      </c>
      <c r="K117" s="346">
        <v>8.43</v>
      </c>
      <c r="L117" s="334">
        <v>180.77</v>
      </c>
      <c r="M117" s="346">
        <v>1482.1</v>
      </c>
      <c r="N117" s="334"/>
      <c r="O117" s="334"/>
      <c r="P117" s="334"/>
      <c r="Q117" s="334"/>
    </row>
    <row r="118" spans="1:17" x14ac:dyDescent="0.25">
      <c r="A118" s="333"/>
      <c r="B118" s="362"/>
      <c r="C118" s="363" t="s">
        <v>115</v>
      </c>
      <c r="D118" s="392">
        <f>SUM(D114:D115,D117)</f>
        <v>15.379999999999999</v>
      </c>
      <c r="E118" s="429">
        <f>SUM(E114:E115,E117)</f>
        <v>56.4</v>
      </c>
      <c r="F118" s="431">
        <f>SUM(F114:F115,F117)</f>
        <v>62.94</v>
      </c>
      <c r="G118" s="353"/>
      <c r="H118" s="354">
        <f t="shared" si="11"/>
        <v>0.10390848427073403</v>
      </c>
      <c r="I118" s="346"/>
      <c r="J118" s="334"/>
      <c r="K118" s="346"/>
      <c r="L118" s="334"/>
      <c r="M118" s="346"/>
      <c r="N118" s="334"/>
      <c r="O118" s="334"/>
      <c r="P118" s="334"/>
      <c r="Q118" s="334"/>
    </row>
    <row r="119" spans="1:17" x14ac:dyDescent="0.25">
      <c r="A119" s="333"/>
      <c r="B119" s="362"/>
      <c r="C119" s="333" t="s">
        <v>119</v>
      </c>
      <c r="D119" s="372">
        <v>0.05</v>
      </c>
      <c r="E119" s="334">
        <f>E116</f>
        <v>0.23</v>
      </c>
      <c r="F119" s="346">
        <f>F116</f>
        <v>0.24</v>
      </c>
      <c r="G119" s="353"/>
      <c r="H119" s="354">
        <f t="shared" si="11"/>
        <v>4.1666666666666588E-2</v>
      </c>
      <c r="I119" s="346"/>
      <c r="J119" s="334"/>
      <c r="K119" s="346"/>
      <c r="L119" s="334"/>
      <c r="M119" s="346"/>
      <c r="N119" s="334"/>
      <c r="O119" s="334"/>
      <c r="P119" s="334"/>
      <c r="Q119" s="334"/>
    </row>
    <row r="120" spans="1:17" ht="15.75" thickBot="1" x14ac:dyDescent="0.3">
      <c r="A120" s="333"/>
      <c r="B120" s="334"/>
      <c r="C120" s="381" t="s">
        <v>117</v>
      </c>
      <c r="D120" s="394" t="s">
        <v>109</v>
      </c>
      <c r="E120" s="334">
        <v>0</v>
      </c>
      <c r="F120" s="346">
        <v>0</v>
      </c>
      <c r="G120" s="353"/>
      <c r="H120" s="354"/>
      <c r="I120" s="346"/>
      <c r="J120" s="334"/>
      <c r="K120" s="346"/>
      <c r="L120" s="334"/>
      <c r="M120" s="346"/>
      <c r="N120" s="334"/>
      <c r="O120" s="334"/>
      <c r="P120" s="334"/>
      <c r="Q120" s="334"/>
    </row>
    <row r="121" spans="1:17" ht="15.75" thickTop="1" x14ac:dyDescent="0.25">
      <c r="A121" s="333"/>
      <c r="B121" s="334"/>
      <c r="C121" s="383" t="s">
        <v>118</v>
      </c>
      <c r="D121" s="395">
        <f>SUM(D118:D119)</f>
        <v>15.43</v>
      </c>
      <c r="E121" s="429">
        <f>SUM(E118:E120)</f>
        <v>56.629999999999995</v>
      </c>
      <c r="F121" s="370">
        <f>SUM(F118:F120)</f>
        <v>63.18</v>
      </c>
      <c r="G121" s="353"/>
      <c r="H121" s="354">
        <f>(ABS(E121-F121))/F121</f>
        <v>0.10367204811649262</v>
      </c>
      <c r="I121" s="346"/>
      <c r="J121" s="334"/>
      <c r="K121" s="346"/>
      <c r="L121" s="334"/>
      <c r="M121" s="346"/>
      <c r="N121" s="334"/>
      <c r="O121" s="334"/>
      <c r="P121" s="334"/>
      <c r="Q121" s="334"/>
    </row>
    <row r="122" spans="1:17" x14ac:dyDescent="0.25">
      <c r="A122" s="347" t="s">
        <v>62</v>
      </c>
      <c r="B122" s="373"/>
      <c r="C122" s="347"/>
      <c r="D122" s="384"/>
      <c r="E122" s="334"/>
      <c r="F122" s="336"/>
      <c r="G122" s="353"/>
      <c r="H122" s="385"/>
      <c r="I122" s="346"/>
      <c r="J122" s="334"/>
      <c r="K122" s="346"/>
      <c r="L122" s="334"/>
      <c r="M122" s="346"/>
      <c r="N122" s="334"/>
      <c r="O122" s="334"/>
      <c r="P122" s="334"/>
      <c r="Q122" s="334"/>
    </row>
    <row r="123" spans="1:17" x14ac:dyDescent="0.25">
      <c r="A123" s="333"/>
      <c r="B123" s="390" t="s">
        <v>7</v>
      </c>
      <c r="C123" s="390" t="s">
        <v>46</v>
      </c>
      <c r="D123" s="391">
        <v>11.2</v>
      </c>
      <c r="E123" s="376">
        <v>60</v>
      </c>
      <c r="F123" s="336">
        <v>58.81</v>
      </c>
      <c r="G123" s="353">
        <f>F123/D123</f>
        <v>5.2508928571428575</v>
      </c>
      <c r="H123" s="354">
        <f>(ABS(E123-F123))/F123</f>
        <v>2.0234653970413154E-2</v>
      </c>
      <c r="I123" s="346">
        <v>24.6</v>
      </c>
      <c r="J123" s="334">
        <v>3.4</v>
      </c>
      <c r="K123" s="346">
        <v>7.98</v>
      </c>
      <c r="L123" s="334">
        <v>245.09</v>
      </c>
      <c r="M123" s="346"/>
      <c r="N123" s="334"/>
      <c r="O123" s="334"/>
      <c r="P123" s="334"/>
      <c r="Q123" s="334"/>
    </row>
    <row r="124" spans="1:17" x14ac:dyDescent="0.25">
      <c r="A124" s="333"/>
      <c r="B124" s="390" t="s">
        <v>7</v>
      </c>
      <c r="C124" s="351" t="s">
        <v>99</v>
      </c>
      <c r="D124" s="391">
        <v>7</v>
      </c>
      <c r="E124" s="376">
        <v>30</v>
      </c>
      <c r="F124" s="336">
        <v>38.14</v>
      </c>
      <c r="G124" s="353">
        <f>F124/D124</f>
        <v>5.4485714285714284</v>
      </c>
      <c r="H124" s="354">
        <f>(ABS(E124-F124))/F124</f>
        <v>0.21342422653382276</v>
      </c>
      <c r="I124" s="346">
        <v>24</v>
      </c>
      <c r="J124" s="334">
        <v>3.42</v>
      </c>
      <c r="K124" s="346">
        <v>8.2799999999999994</v>
      </c>
      <c r="L124" s="334">
        <v>241.46</v>
      </c>
      <c r="M124" s="346">
        <v>1432.1</v>
      </c>
      <c r="N124" s="334" t="s">
        <v>171</v>
      </c>
      <c r="O124" s="334"/>
      <c r="P124" s="334"/>
      <c r="Q124" s="334"/>
    </row>
    <row r="125" spans="1:17" x14ac:dyDescent="0.25">
      <c r="A125" s="333"/>
      <c r="B125" s="362"/>
      <c r="C125" s="363" t="s">
        <v>115</v>
      </c>
      <c r="D125" s="432" t="s">
        <v>109</v>
      </c>
      <c r="E125" s="334">
        <v>0</v>
      </c>
      <c r="F125" s="346">
        <v>0</v>
      </c>
      <c r="G125" s="353"/>
      <c r="H125" s="354"/>
      <c r="I125" s="346"/>
      <c r="J125" s="334"/>
      <c r="K125" s="346"/>
      <c r="L125" s="334"/>
      <c r="M125" s="346"/>
      <c r="N125" s="334"/>
      <c r="O125" s="334"/>
      <c r="P125" s="334"/>
      <c r="Q125" s="334"/>
    </row>
    <row r="126" spans="1:17" x14ac:dyDescent="0.25">
      <c r="A126" s="333"/>
      <c r="B126" s="362"/>
      <c r="C126" s="333" t="s">
        <v>120</v>
      </c>
      <c r="D126" s="433" t="s">
        <v>109</v>
      </c>
      <c r="E126" s="334">
        <v>0</v>
      </c>
      <c r="F126" s="346">
        <v>0</v>
      </c>
      <c r="G126" s="353"/>
      <c r="H126" s="354"/>
      <c r="I126" s="346"/>
      <c r="J126" s="334"/>
      <c r="K126" s="346"/>
      <c r="L126" s="334"/>
      <c r="M126" s="346"/>
      <c r="N126" s="334"/>
      <c r="O126" s="334"/>
      <c r="P126" s="334"/>
      <c r="Q126" s="334"/>
    </row>
    <row r="127" spans="1:17" ht="15.75" thickBot="1" x14ac:dyDescent="0.3">
      <c r="A127" s="333"/>
      <c r="B127" s="334"/>
      <c r="C127" s="381" t="s">
        <v>117</v>
      </c>
      <c r="D127" s="434">
        <f>SUM(D123:D124)</f>
        <v>18.2</v>
      </c>
      <c r="E127" s="334">
        <f>SUM(E123:E124)</f>
        <v>90</v>
      </c>
      <c r="F127" s="346">
        <f>SUM(F123:F124)</f>
        <v>96.95</v>
      </c>
      <c r="G127" s="353"/>
      <c r="H127" s="354">
        <f>(ABS(E127-F127))/F127</f>
        <v>7.1686436307374965E-2</v>
      </c>
      <c r="I127" s="346"/>
      <c r="J127" s="334"/>
      <c r="K127" s="346"/>
      <c r="L127" s="334"/>
      <c r="M127" s="346"/>
      <c r="N127" s="334"/>
      <c r="O127" s="334"/>
      <c r="P127" s="334"/>
      <c r="Q127" s="334"/>
    </row>
    <row r="128" spans="1:17" ht="15.75" thickTop="1" x14ac:dyDescent="0.25">
      <c r="A128" s="333"/>
      <c r="B128" s="334"/>
      <c r="C128" s="383" t="s">
        <v>118</v>
      </c>
      <c r="D128" s="380">
        <v>18.2</v>
      </c>
      <c r="E128" s="334">
        <f>SUM(E125:E127)</f>
        <v>90</v>
      </c>
      <c r="F128" s="346">
        <f>SUM(F125:F127)</f>
        <v>96.95</v>
      </c>
      <c r="G128" s="353"/>
      <c r="H128" s="354">
        <f>(ABS(E128-F128))/F128</f>
        <v>7.1686436307374965E-2</v>
      </c>
      <c r="I128" s="346"/>
      <c r="J128" s="334"/>
      <c r="K128" s="346"/>
      <c r="L128" s="334"/>
      <c r="M128" s="346"/>
      <c r="N128" s="334"/>
      <c r="O128" s="334"/>
      <c r="P128" s="334"/>
      <c r="Q128" s="334"/>
    </row>
    <row r="129" spans="1:17" x14ac:dyDescent="0.25">
      <c r="A129" s="411" t="s">
        <v>30</v>
      </c>
      <c r="B129" s="373"/>
      <c r="C129" s="347"/>
      <c r="D129" s="384"/>
      <c r="E129" s="334"/>
      <c r="F129" s="336"/>
      <c r="G129" s="353"/>
      <c r="H129" s="385"/>
      <c r="I129" s="346"/>
      <c r="J129" s="334"/>
      <c r="K129" s="346"/>
      <c r="L129" s="334"/>
      <c r="M129" s="346"/>
      <c r="N129" s="334"/>
      <c r="O129" s="334"/>
      <c r="P129" s="334"/>
      <c r="Q129" s="334"/>
    </row>
    <row r="130" spans="1:17" x14ac:dyDescent="0.25">
      <c r="A130" s="333"/>
      <c r="B130" s="351" t="s">
        <v>3</v>
      </c>
      <c r="C130" s="351" t="s">
        <v>57</v>
      </c>
      <c r="D130" s="377">
        <v>0.66</v>
      </c>
      <c r="E130" s="396">
        <v>3.3</v>
      </c>
      <c r="F130" s="336">
        <v>2.57</v>
      </c>
      <c r="G130" s="353">
        <f t="shared" ref="G130:G136" si="12">F130/D130</f>
        <v>3.8939393939393936</v>
      </c>
      <c r="H130" s="354">
        <f t="shared" ref="H130:H137" si="13">(ABS(E130-F130))/F130</f>
        <v>0.28404669260700388</v>
      </c>
      <c r="I130" s="346"/>
      <c r="J130" s="334"/>
      <c r="K130" s="346"/>
      <c r="L130" s="334" t="s">
        <v>148</v>
      </c>
      <c r="M130" s="346"/>
      <c r="N130" s="334"/>
      <c r="O130" s="334"/>
      <c r="P130" s="334"/>
      <c r="Q130" s="334"/>
    </row>
    <row r="131" spans="1:17" x14ac:dyDescent="0.25">
      <c r="A131" s="350"/>
      <c r="B131" s="351" t="s">
        <v>3</v>
      </c>
      <c r="C131" s="351" t="s">
        <v>51</v>
      </c>
      <c r="D131" s="377">
        <v>2.79</v>
      </c>
      <c r="E131" s="376">
        <v>7.5</v>
      </c>
      <c r="F131" s="336">
        <v>9.8000000000000007</v>
      </c>
      <c r="G131" s="353">
        <f t="shared" si="12"/>
        <v>3.5125448028673838</v>
      </c>
      <c r="H131" s="354">
        <f t="shared" si="13"/>
        <v>0.23469387755102047</v>
      </c>
      <c r="I131" s="346">
        <v>28.3</v>
      </c>
      <c r="J131" s="334">
        <v>3.82</v>
      </c>
      <c r="K131" s="346">
        <v>5</v>
      </c>
      <c r="L131" s="334">
        <v>106.56</v>
      </c>
      <c r="M131" s="346"/>
      <c r="N131" s="334"/>
      <c r="O131" s="334"/>
      <c r="P131" s="334"/>
      <c r="Q131" s="334"/>
    </row>
    <row r="132" spans="1:17" x14ac:dyDescent="0.25">
      <c r="A132" s="333"/>
      <c r="B132" s="351" t="s">
        <v>3</v>
      </c>
      <c r="C132" s="351" t="s">
        <v>63</v>
      </c>
      <c r="D132" s="377">
        <v>2.7</v>
      </c>
      <c r="E132" s="356">
        <v>7.5</v>
      </c>
      <c r="F132" s="336">
        <v>7.68</v>
      </c>
      <c r="G132" s="353">
        <f t="shared" si="12"/>
        <v>2.8444444444444441</v>
      </c>
      <c r="H132" s="354">
        <f t="shared" si="13"/>
        <v>2.3437499999999965E-2</v>
      </c>
      <c r="I132" s="346">
        <v>28.5</v>
      </c>
      <c r="J132" s="334">
        <v>3.85</v>
      </c>
      <c r="K132" s="346">
        <v>6.8</v>
      </c>
      <c r="L132" s="334">
        <v>183.13</v>
      </c>
      <c r="M132" s="346"/>
      <c r="N132" s="334"/>
      <c r="O132" s="334"/>
      <c r="P132" s="334"/>
      <c r="Q132" s="334"/>
    </row>
    <row r="133" spans="1:17" x14ac:dyDescent="0.25">
      <c r="A133" s="333"/>
      <c r="B133" s="351" t="s">
        <v>3</v>
      </c>
      <c r="C133" s="351" t="s">
        <v>64</v>
      </c>
      <c r="D133" s="377">
        <v>0.85</v>
      </c>
      <c r="E133" s="356">
        <v>2</v>
      </c>
      <c r="F133" s="336">
        <v>1.3</v>
      </c>
      <c r="G133" s="353">
        <f t="shared" si="12"/>
        <v>1.5294117647058825</v>
      </c>
      <c r="H133" s="354">
        <f t="shared" si="13"/>
        <v>0.53846153846153844</v>
      </c>
      <c r="I133" s="346">
        <v>28.5</v>
      </c>
      <c r="J133" s="334">
        <v>3.85</v>
      </c>
      <c r="K133" s="346">
        <v>6.8</v>
      </c>
      <c r="L133" s="334">
        <v>183.13</v>
      </c>
      <c r="M133" s="346"/>
      <c r="N133" s="334"/>
      <c r="O133" s="334"/>
      <c r="P133" s="334"/>
      <c r="Q133" s="334"/>
    </row>
    <row r="134" spans="1:17" x14ac:dyDescent="0.25">
      <c r="A134" s="333"/>
      <c r="B134" s="351" t="s">
        <v>3</v>
      </c>
      <c r="C134" s="351" t="s">
        <v>45</v>
      </c>
      <c r="D134" s="377">
        <v>0.78</v>
      </c>
      <c r="E134" s="396">
        <v>2.2000000000000002</v>
      </c>
      <c r="F134" s="336">
        <v>1.1000000000000001</v>
      </c>
      <c r="G134" s="353">
        <f t="shared" si="12"/>
        <v>1.4102564102564104</v>
      </c>
      <c r="H134" s="354">
        <f t="shared" si="13"/>
        <v>1</v>
      </c>
      <c r="I134" s="346">
        <v>28.5</v>
      </c>
      <c r="J134" s="334">
        <v>3.85</v>
      </c>
      <c r="K134" s="346">
        <v>6.8</v>
      </c>
      <c r="L134" s="334">
        <v>183.13</v>
      </c>
      <c r="M134" s="346"/>
      <c r="N134" s="334"/>
      <c r="O134" s="334"/>
      <c r="P134" s="334"/>
      <c r="Q134" s="334"/>
    </row>
    <row r="135" spans="1:17" x14ac:dyDescent="0.25">
      <c r="A135" s="350"/>
      <c r="B135" s="351" t="s">
        <v>3</v>
      </c>
      <c r="C135" s="351" t="s">
        <v>65</v>
      </c>
      <c r="D135" s="377">
        <v>4.92</v>
      </c>
      <c r="E135" s="356">
        <v>21.9</v>
      </c>
      <c r="F135" s="336">
        <v>15.29</v>
      </c>
      <c r="G135" s="353">
        <f t="shared" si="12"/>
        <v>3.1077235772357721</v>
      </c>
      <c r="H135" s="354">
        <f t="shared" si="13"/>
        <v>0.43230869849574882</v>
      </c>
      <c r="I135" s="346">
        <v>29.97</v>
      </c>
      <c r="J135" s="334">
        <v>3.8</v>
      </c>
      <c r="K135" s="346">
        <v>4.8</v>
      </c>
      <c r="L135" s="334">
        <v>90.24</v>
      </c>
      <c r="M135" s="346"/>
      <c r="N135" s="334"/>
      <c r="O135" s="334"/>
      <c r="P135" s="334"/>
      <c r="Q135" s="334"/>
    </row>
    <row r="136" spans="1:17" x14ac:dyDescent="0.25">
      <c r="A136" s="350"/>
      <c r="B136" s="390" t="s">
        <v>7</v>
      </c>
      <c r="C136" s="390" t="s">
        <v>87</v>
      </c>
      <c r="D136" s="391">
        <v>6.41</v>
      </c>
      <c r="E136" s="360">
        <v>23.13</v>
      </c>
      <c r="F136" s="336">
        <v>25.8</v>
      </c>
      <c r="G136" s="353">
        <f t="shared" si="12"/>
        <v>4.0249609984399379</v>
      </c>
      <c r="H136" s="365">
        <f t="shared" si="13"/>
        <v>0.10348837209302332</v>
      </c>
      <c r="I136" s="346">
        <v>27.35</v>
      </c>
      <c r="J136" s="334">
        <v>3.8</v>
      </c>
      <c r="K136" s="346">
        <v>6.5</v>
      </c>
      <c r="L136" s="334">
        <v>46.09</v>
      </c>
      <c r="M136" s="346"/>
      <c r="N136" s="334"/>
      <c r="O136" s="334"/>
      <c r="P136" s="334"/>
      <c r="Q136" s="334"/>
    </row>
    <row r="137" spans="1:17" x14ac:dyDescent="0.25">
      <c r="A137" s="333"/>
      <c r="B137" s="362"/>
      <c r="C137" s="363" t="s">
        <v>115</v>
      </c>
      <c r="D137" s="392">
        <f>SUM(D130:D135)</f>
        <v>12.7</v>
      </c>
      <c r="E137" s="334">
        <f>SUM(E130:E135)</f>
        <v>44.4</v>
      </c>
      <c r="F137" s="346">
        <f>SUM(F130:F135)</f>
        <v>37.74</v>
      </c>
      <c r="G137" s="353"/>
      <c r="H137" s="354">
        <f t="shared" si="13"/>
        <v>0.17647058823529402</v>
      </c>
      <c r="I137" s="346"/>
      <c r="J137" s="334"/>
      <c r="K137" s="346"/>
      <c r="L137" s="334"/>
      <c r="M137" s="346"/>
      <c r="N137" s="334"/>
      <c r="O137" s="334"/>
      <c r="P137" s="334"/>
      <c r="Q137" s="334"/>
    </row>
    <row r="138" spans="1:17" x14ac:dyDescent="0.25">
      <c r="A138" s="333"/>
      <c r="B138" s="362"/>
      <c r="C138" s="333" t="s">
        <v>121</v>
      </c>
      <c r="D138" s="372" t="s">
        <v>109</v>
      </c>
      <c r="E138" s="334">
        <v>0</v>
      </c>
      <c r="F138" s="346">
        <v>0</v>
      </c>
      <c r="G138" s="353"/>
      <c r="H138" s="354"/>
      <c r="I138" s="346"/>
      <c r="J138" s="334"/>
      <c r="K138" s="346"/>
      <c r="L138" s="334"/>
      <c r="M138" s="346"/>
      <c r="N138" s="334"/>
      <c r="O138" s="334"/>
      <c r="P138" s="334"/>
      <c r="Q138" s="334"/>
    </row>
    <row r="139" spans="1:17" ht="15.75" thickBot="1" x14ac:dyDescent="0.3">
      <c r="A139" s="333"/>
      <c r="B139" s="334"/>
      <c r="C139" s="381" t="s">
        <v>117</v>
      </c>
      <c r="D139" s="394">
        <v>6.41</v>
      </c>
      <c r="E139" s="334">
        <f>SUM(E136)</f>
        <v>23.13</v>
      </c>
      <c r="F139" s="346">
        <f>SUM(F136)</f>
        <v>25.8</v>
      </c>
      <c r="G139" s="353"/>
      <c r="H139" s="354">
        <f>(ABS(E139-F139))/F139</f>
        <v>0.10348837209302332</v>
      </c>
      <c r="I139" s="346"/>
      <c r="J139" s="334"/>
      <c r="K139" s="346"/>
      <c r="L139" s="334"/>
      <c r="M139" s="346"/>
      <c r="N139" s="334"/>
      <c r="O139" s="334"/>
      <c r="P139" s="334"/>
      <c r="Q139" s="334"/>
    </row>
    <row r="140" spans="1:17" ht="15.75" thickTop="1" x14ac:dyDescent="0.25">
      <c r="A140" s="333"/>
      <c r="B140" s="334"/>
      <c r="C140" s="383" t="s">
        <v>118</v>
      </c>
      <c r="D140" s="395">
        <f>SUM(D137,D139)</f>
        <v>19.11</v>
      </c>
      <c r="E140" s="334">
        <f>SUM(E137:E139)</f>
        <v>67.53</v>
      </c>
      <c r="F140" s="346">
        <f>SUM(F137:F139)</f>
        <v>63.540000000000006</v>
      </c>
      <c r="G140" s="353"/>
      <c r="H140" s="354">
        <f>(ABS(E140-F140))/F140</f>
        <v>6.2795089707270921E-2</v>
      </c>
      <c r="I140" s="346"/>
      <c r="J140" s="334"/>
      <c r="K140" s="346"/>
      <c r="L140" s="334"/>
      <c r="M140" s="346"/>
      <c r="N140" s="334"/>
      <c r="O140" s="334"/>
      <c r="P140" s="334"/>
      <c r="Q140" s="334"/>
    </row>
    <row r="141" spans="1:17" x14ac:dyDescent="0.25">
      <c r="A141" s="347" t="s">
        <v>33</v>
      </c>
      <c r="B141" s="373"/>
      <c r="C141" s="373"/>
      <c r="D141" s="400"/>
      <c r="E141" s="334"/>
      <c r="F141" s="336"/>
      <c r="G141" s="353"/>
      <c r="H141" s="385"/>
      <c r="I141" s="346"/>
      <c r="J141" s="334"/>
      <c r="K141" s="346"/>
      <c r="L141" s="334"/>
      <c r="M141" s="346"/>
      <c r="N141" s="334"/>
      <c r="O141" s="334"/>
      <c r="P141" s="334"/>
      <c r="Q141" s="334"/>
    </row>
    <row r="142" spans="1:17" x14ac:dyDescent="0.25">
      <c r="A142" s="333"/>
      <c r="B142" s="351" t="s">
        <v>3</v>
      </c>
      <c r="C142" s="351" t="s">
        <v>52</v>
      </c>
      <c r="D142" s="377">
        <v>1.79</v>
      </c>
      <c r="E142" s="334">
        <v>6.2</v>
      </c>
      <c r="F142" s="336">
        <v>7.67</v>
      </c>
      <c r="G142" s="353">
        <f t="shared" ref="G142:G165" si="14">F142/D142</f>
        <v>4.2849162011173183</v>
      </c>
      <c r="H142" s="354">
        <f t="shared" ref="H142:H169" si="15">(ABS(E142-F142))/F142</f>
        <v>0.19165580182529332</v>
      </c>
      <c r="I142" s="346">
        <v>24.1</v>
      </c>
      <c r="J142" s="334">
        <v>3.66</v>
      </c>
      <c r="K142" s="346">
        <v>5</v>
      </c>
      <c r="L142" s="334">
        <v>191.69</v>
      </c>
      <c r="M142" s="346"/>
      <c r="N142" s="334"/>
      <c r="O142" s="334"/>
      <c r="P142" s="334"/>
      <c r="Q142" s="334"/>
    </row>
    <row r="143" spans="1:17" x14ac:dyDescent="0.25">
      <c r="A143" s="333"/>
      <c r="B143" s="351" t="s">
        <v>3</v>
      </c>
      <c r="C143" s="351" t="s">
        <v>32</v>
      </c>
      <c r="D143" s="377">
        <v>2.4700000000000002</v>
      </c>
      <c r="E143" s="396">
        <v>9.5</v>
      </c>
      <c r="F143" s="336">
        <v>9.4600000000000009</v>
      </c>
      <c r="G143" s="353">
        <f t="shared" si="14"/>
        <v>3.8299595141700404</v>
      </c>
      <c r="H143" s="354">
        <f t="shared" si="15"/>
        <v>4.2283298097250677E-3</v>
      </c>
      <c r="I143" s="346">
        <v>23.1</v>
      </c>
      <c r="J143" s="334">
        <v>3.67</v>
      </c>
      <c r="K143" s="346">
        <v>5.3</v>
      </c>
      <c r="L143" s="334">
        <v>191.69</v>
      </c>
      <c r="M143" s="346"/>
      <c r="N143" s="334"/>
      <c r="O143" s="334"/>
      <c r="P143" s="334"/>
      <c r="Q143" s="334"/>
    </row>
    <row r="144" spans="1:17" x14ac:dyDescent="0.25">
      <c r="A144" s="333"/>
      <c r="B144" s="351" t="s">
        <v>3</v>
      </c>
      <c r="C144" s="351" t="s">
        <v>54</v>
      </c>
      <c r="D144" s="377">
        <v>0.92</v>
      </c>
      <c r="E144" s="334">
        <v>2.9</v>
      </c>
      <c r="F144" s="336">
        <v>4.51</v>
      </c>
      <c r="G144" s="353">
        <f t="shared" si="14"/>
        <v>4.9021739130434776</v>
      </c>
      <c r="H144" s="354">
        <f t="shared" si="15"/>
        <v>0.35698447893569846</v>
      </c>
      <c r="I144" s="346">
        <v>25</v>
      </c>
      <c r="J144" s="334">
        <v>3.58</v>
      </c>
      <c r="K144" s="346">
        <v>6.35</v>
      </c>
      <c r="L144" s="334">
        <v>129.72999999999999</v>
      </c>
      <c r="M144" s="346"/>
      <c r="N144" s="334"/>
      <c r="O144" s="334"/>
      <c r="P144" s="334"/>
      <c r="Q144" s="334"/>
    </row>
    <row r="145" spans="1:17" x14ac:dyDescent="0.25">
      <c r="A145" s="333"/>
      <c r="B145" s="351" t="s">
        <v>3</v>
      </c>
      <c r="C145" s="351" t="s">
        <v>66</v>
      </c>
      <c r="D145" s="377">
        <v>0.55000000000000004</v>
      </c>
      <c r="E145" s="334">
        <v>1.3</v>
      </c>
      <c r="F145" s="336">
        <v>1.1299999999999999</v>
      </c>
      <c r="G145" s="353">
        <f t="shared" si="14"/>
        <v>2.0545454545454542</v>
      </c>
      <c r="H145" s="354">
        <f t="shared" si="15"/>
        <v>0.15044247787610635</v>
      </c>
      <c r="I145" s="346">
        <v>25</v>
      </c>
      <c r="J145" s="334">
        <v>3.58</v>
      </c>
      <c r="K145" s="346">
        <v>6.35</v>
      </c>
      <c r="L145" s="334">
        <v>129.72999999999999</v>
      </c>
      <c r="M145" s="346"/>
      <c r="N145" s="334"/>
      <c r="O145" s="334"/>
      <c r="P145" s="334"/>
      <c r="Q145" s="334"/>
    </row>
    <row r="146" spans="1:17" x14ac:dyDescent="0.25">
      <c r="A146" s="350"/>
      <c r="B146" s="351" t="s">
        <v>3</v>
      </c>
      <c r="C146" s="351" t="s">
        <v>67</v>
      </c>
      <c r="D146" s="377">
        <v>0.96</v>
      </c>
      <c r="E146" s="334">
        <v>3</v>
      </c>
      <c r="F146" s="336">
        <v>2.46</v>
      </c>
      <c r="G146" s="353">
        <f t="shared" si="14"/>
        <v>2.5625</v>
      </c>
      <c r="H146" s="354">
        <f t="shared" si="15"/>
        <v>0.21951219512195125</v>
      </c>
      <c r="I146" s="346">
        <v>25</v>
      </c>
      <c r="J146" s="334">
        <v>3.58</v>
      </c>
      <c r="K146" s="346">
        <v>6.35</v>
      </c>
      <c r="L146" s="334">
        <v>129.72999999999999</v>
      </c>
      <c r="M146" s="346"/>
      <c r="N146" s="334"/>
      <c r="O146" s="334"/>
      <c r="P146" s="334"/>
      <c r="Q146" s="334"/>
    </row>
    <row r="147" spans="1:17" x14ac:dyDescent="0.25">
      <c r="A147" s="333"/>
      <c r="B147" s="351" t="s">
        <v>3</v>
      </c>
      <c r="C147" s="351" t="s">
        <v>68</v>
      </c>
      <c r="D147" s="377">
        <v>0.56999999999999995</v>
      </c>
      <c r="E147" s="396">
        <v>1.8</v>
      </c>
      <c r="F147" s="336">
        <v>1.32</v>
      </c>
      <c r="G147" s="353">
        <f t="shared" si="14"/>
        <v>2.3157894736842106</v>
      </c>
      <c r="H147" s="354">
        <f t="shared" si="15"/>
        <v>0.36363636363636359</v>
      </c>
      <c r="I147" s="346">
        <v>25</v>
      </c>
      <c r="J147" s="334">
        <v>3.58</v>
      </c>
      <c r="K147" s="346">
        <v>6.35</v>
      </c>
      <c r="L147" s="334">
        <v>129.72999999999999</v>
      </c>
      <c r="M147" s="346"/>
      <c r="N147" s="334"/>
      <c r="O147" s="334"/>
      <c r="P147" s="334"/>
      <c r="Q147" s="334"/>
    </row>
    <row r="148" spans="1:17" x14ac:dyDescent="0.25">
      <c r="A148" s="333"/>
      <c r="B148" s="351" t="s">
        <v>3</v>
      </c>
      <c r="C148" s="351" t="s">
        <v>69</v>
      </c>
      <c r="D148" s="377">
        <v>0.9</v>
      </c>
      <c r="E148" s="334">
        <v>4.3</v>
      </c>
      <c r="F148" s="336">
        <v>3.84</v>
      </c>
      <c r="G148" s="353">
        <f t="shared" si="14"/>
        <v>4.2666666666666666</v>
      </c>
      <c r="H148" s="354">
        <f t="shared" si="15"/>
        <v>0.11979166666666666</v>
      </c>
      <c r="I148" s="346">
        <v>27</v>
      </c>
      <c r="J148" s="334">
        <v>3.59</v>
      </c>
      <c r="K148" s="346">
        <v>7.2</v>
      </c>
      <c r="L148" s="334">
        <v>121.87</v>
      </c>
      <c r="M148" s="346"/>
      <c r="N148" s="334"/>
      <c r="O148" s="334"/>
      <c r="P148" s="334"/>
      <c r="Q148" s="334"/>
    </row>
    <row r="149" spans="1:17" x14ac:dyDescent="0.25">
      <c r="A149" s="333"/>
      <c r="B149" s="351" t="s">
        <v>3</v>
      </c>
      <c r="C149" s="351" t="s">
        <v>70</v>
      </c>
      <c r="D149" s="377">
        <v>2.68</v>
      </c>
      <c r="E149" s="334">
        <v>9.5</v>
      </c>
      <c r="F149" s="336">
        <v>11.47</v>
      </c>
      <c r="G149" s="353">
        <f t="shared" si="14"/>
        <v>4.2798507462686564</v>
      </c>
      <c r="H149" s="354">
        <f t="shared" si="15"/>
        <v>0.17175239755884922</v>
      </c>
      <c r="I149" s="346">
        <v>24.1</v>
      </c>
      <c r="J149" s="334">
        <v>3.59</v>
      </c>
      <c r="K149" s="346">
        <v>5.5</v>
      </c>
      <c r="L149" s="334">
        <v>96.06</v>
      </c>
      <c r="M149" s="346"/>
      <c r="N149" s="334"/>
      <c r="O149" s="334"/>
      <c r="P149" s="334"/>
      <c r="Q149" s="334"/>
    </row>
    <row r="150" spans="1:17" x14ac:dyDescent="0.25">
      <c r="A150" s="350"/>
      <c r="B150" s="351" t="s">
        <v>3</v>
      </c>
      <c r="C150" s="351" t="s">
        <v>71</v>
      </c>
      <c r="D150" s="377">
        <v>0.53</v>
      </c>
      <c r="E150" s="334">
        <v>2</v>
      </c>
      <c r="F150" s="336">
        <v>3.75</v>
      </c>
      <c r="G150" s="353">
        <f t="shared" si="14"/>
        <v>7.0754716981132075</v>
      </c>
      <c r="H150" s="354">
        <f t="shared" si="15"/>
        <v>0.46666666666666667</v>
      </c>
      <c r="I150" s="346">
        <v>24.8</v>
      </c>
      <c r="J150" s="334">
        <v>3.54</v>
      </c>
      <c r="K150" s="346">
        <v>5.8</v>
      </c>
      <c r="L150" s="334">
        <v>156.5</v>
      </c>
      <c r="M150" s="346"/>
      <c r="N150" s="334"/>
      <c r="O150" s="334"/>
      <c r="P150" s="334"/>
      <c r="Q150" s="334"/>
    </row>
    <row r="151" spans="1:17" x14ac:dyDescent="0.25">
      <c r="A151" s="333"/>
      <c r="B151" s="351" t="s">
        <v>3</v>
      </c>
      <c r="C151" s="351" t="s">
        <v>72</v>
      </c>
      <c r="D151" s="377">
        <v>1.25</v>
      </c>
      <c r="E151" s="334">
        <v>4.0999999999999996</v>
      </c>
      <c r="F151" s="336">
        <v>4.1100000000000003</v>
      </c>
      <c r="G151" s="353">
        <f t="shared" si="14"/>
        <v>3.2880000000000003</v>
      </c>
      <c r="H151" s="354">
        <f t="shared" si="15"/>
        <v>2.4330900243310642E-3</v>
      </c>
      <c r="I151" s="346">
        <v>24.8</v>
      </c>
      <c r="J151" s="334">
        <v>3.54</v>
      </c>
      <c r="K151" s="346">
        <v>5.8</v>
      </c>
      <c r="L151" s="334">
        <v>156.5</v>
      </c>
      <c r="M151" s="346"/>
      <c r="N151" s="334"/>
      <c r="O151" s="334"/>
      <c r="P151" s="334"/>
      <c r="Q151" s="334"/>
    </row>
    <row r="152" spans="1:17" x14ac:dyDescent="0.25">
      <c r="A152" s="333"/>
      <c r="B152" s="351" t="s">
        <v>3</v>
      </c>
      <c r="C152" s="351" t="s">
        <v>73</v>
      </c>
      <c r="D152" s="377">
        <v>1.63</v>
      </c>
      <c r="E152" s="396">
        <v>6.7</v>
      </c>
      <c r="F152" s="336">
        <v>6.91</v>
      </c>
      <c r="G152" s="353">
        <f t="shared" si="14"/>
        <v>4.2392638036809815</v>
      </c>
      <c r="H152" s="354">
        <f t="shared" si="15"/>
        <v>3.0390738060781471E-2</v>
      </c>
      <c r="I152" s="346">
        <v>24.1</v>
      </c>
      <c r="J152" s="334">
        <v>3.78</v>
      </c>
      <c r="K152" s="346">
        <v>5.6</v>
      </c>
      <c r="L152" s="334">
        <v>289.32</v>
      </c>
      <c r="M152" s="346"/>
      <c r="N152" s="334"/>
      <c r="O152" s="334"/>
      <c r="P152" s="334"/>
      <c r="Q152" s="334"/>
    </row>
    <row r="153" spans="1:17" x14ac:dyDescent="0.25">
      <c r="A153" s="333"/>
      <c r="B153" s="351" t="s">
        <v>3</v>
      </c>
      <c r="C153" s="351" t="s">
        <v>74</v>
      </c>
      <c r="D153" s="377">
        <v>1.72</v>
      </c>
      <c r="E153" s="396">
        <v>6</v>
      </c>
      <c r="F153" s="336">
        <v>7.39</v>
      </c>
      <c r="G153" s="353">
        <f t="shared" si="14"/>
        <v>4.2965116279069768</v>
      </c>
      <c r="H153" s="354">
        <f t="shared" si="15"/>
        <v>0.18809201623815963</v>
      </c>
      <c r="I153" s="346">
        <v>24.3</v>
      </c>
      <c r="J153" s="334">
        <v>3.64</v>
      </c>
      <c r="K153" s="346">
        <v>4.8499999999999996</v>
      </c>
      <c r="L153" s="334">
        <v>211.43</v>
      </c>
      <c r="M153" s="346"/>
      <c r="N153" s="334"/>
      <c r="O153" s="334"/>
      <c r="P153" s="334"/>
      <c r="Q153" s="334"/>
    </row>
    <row r="154" spans="1:17" x14ac:dyDescent="0.25">
      <c r="A154" s="350"/>
      <c r="B154" s="351" t="s">
        <v>3</v>
      </c>
      <c r="C154" s="351" t="s">
        <v>75</v>
      </c>
      <c r="D154" s="377">
        <v>1.57</v>
      </c>
      <c r="E154" s="334">
        <v>3.7</v>
      </c>
      <c r="F154" s="336">
        <v>5.29</v>
      </c>
      <c r="G154" s="353">
        <f t="shared" si="14"/>
        <v>3.3694267515923566</v>
      </c>
      <c r="H154" s="354">
        <f t="shared" si="15"/>
        <v>0.30056710775047257</v>
      </c>
      <c r="I154" s="346">
        <v>24.1</v>
      </c>
      <c r="J154" s="334">
        <v>3.72</v>
      </c>
      <c r="K154" s="346">
        <v>4</v>
      </c>
      <c r="L154" s="334">
        <v>262.7</v>
      </c>
      <c r="M154" s="346"/>
      <c r="N154" s="334"/>
      <c r="O154" s="334"/>
      <c r="P154" s="334"/>
      <c r="Q154" s="334"/>
    </row>
    <row r="155" spans="1:17" x14ac:dyDescent="0.25">
      <c r="A155" s="333"/>
      <c r="B155" s="351" t="s">
        <v>3</v>
      </c>
      <c r="C155" s="351" t="s">
        <v>76</v>
      </c>
      <c r="D155" s="377">
        <v>1.01</v>
      </c>
      <c r="E155" s="356">
        <v>3.6</v>
      </c>
      <c r="F155" s="336">
        <v>4.6399999999999997</v>
      </c>
      <c r="G155" s="353">
        <f t="shared" si="14"/>
        <v>4.5940594059405937</v>
      </c>
      <c r="H155" s="354">
        <f t="shared" si="15"/>
        <v>0.22413793103448268</v>
      </c>
      <c r="I155" s="346">
        <v>26.35</v>
      </c>
      <c r="J155" s="334">
        <v>3.7</v>
      </c>
      <c r="K155" s="346">
        <v>5.45</v>
      </c>
      <c r="L155" s="334">
        <v>220.72</v>
      </c>
      <c r="M155" s="346"/>
      <c r="N155" s="334"/>
      <c r="O155" s="334"/>
      <c r="P155" s="334"/>
      <c r="Q155" s="334"/>
    </row>
    <row r="156" spans="1:17" x14ac:dyDescent="0.25">
      <c r="A156" s="333"/>
      <c r="B156" s="351" t="s">
        <v>3</v>
      </c>
      <c r="C156" s="351" t="s">
        <v>77</v>
      </c>
      <c r="D156" s="377">
        <v>1.5</v>
      </c>
      <c r="E156" s="396">
        <v>7.3</v>
      </c>
      <c r="F156" s="336">
        <v>5.47</v>
      </c>
      <c r="G156" s="353">
        <f t="shared" si="14"/>
        <v>3.6466666666666665</v>
      </c>
      <c r="H156" s="354">
        <f t="shared" si="15"/>
        <v>0.33455210237659966</v>
      </c>
      <c r="I156" s="346">
        <v>26.35</v>
      </c>
      <c r="J156" s="334">
        <v>3.7</v>
      </c>
      <c r="K156" s="346">
        <v>5.45</v>
      </c>
      <c r="L156" s="334">
        <v>156.94999999999999</v>
      </c>
      <c r="M156" s="346"/>
      <c r="N156" s="334"/>
      <c r="O156" s="334"/>
      <c r="P156" s="334"/>
      <c r="Q156" s="334"/>
    </row>
    <row r="157" spans="1:17" x14ac:dyDescent="0.25">
      <c r="A157" s="333"/>
      <c r="B157" s="351" t="s">
        <v>86</v>
      </c>
      <c r="C157" s="351" t="s">
        <v>49</v>
      </c>
      <c r="D157" s="377">
        <v>2.71</v>
      </c>
      <c r="E157" s="356">
        <v>6.3</v>
      </c>
      <c r="F157" s="336">
        <v>9.73</v>
      </c>
      <c r="G157" s="353">
        <f t="shared" si="14"/>
        <v>3.5904059040590406</v>
      </c>
      <c r="H157" s="354">
        <f t="shared" si="15"/>
        <v>0.35251798561151082</v>
      </c>
      <c r="I157" s="346">
        <v>25.4</v>
      </c>
      <c r="J157" s="334">
        <v>3.52</v>
      </c>
      <c r="K157" s="346">
        <v>9.1</v>
      </c>
      <c r="L157" s="334">
        <v>234.9</v>
      </c>
      <c r="M157" s="346">
        <v>1503.4</v>
      </c>
      <c r="N157" s="334"/>
      <c r="O157" s="334"/>
      <c r="P157" s="334"/>
      <c r="Q157" s="334"/>
    </row>
    <row r="158" spans="1:17" x14ac:dyDescent="0.25">
      <c r="A158" s="350"/>
      <c r="B158" s="351" t="s">
        <v>86</v>
      </c>
      <c r="C158" s="351" t="s">
        <v>44</v>
      </c>
      <c r="D158" s="377">
        <v>1.04</v>
      </c>
      <c r="E158" s="356">
        <v>4.5</v>
      </c>
      <c r="F158" s="336">
        <v>3.67</v>
      </c>
      <c r="G158" s="353">
        <f t="shared" si="14"/>
        <v>3.5288461538461537</v>
      </c>
      <c r="H158" s="354">
        <f t="shared" si="15"/>
        <v>0.226158038147139</v>
      </c>
      <c r="I158" s="346">
        <v>24</v>
      </c>
      <c r="J158" s="334">
        <v>3.62</v>
      </c>
      <c r="K158" s="346">
        <v>9.8000000000000007</v>
      </c>
      <c r="L158" s="334">
        <v>227.12</v>
      </c>
      <c r="M158" s="346">
        <v>1429.5</v>
      </c>
      <c r="N158" s="334"/>
      <c r="O158" s="334"/>
      <c r="P158" s="334"/>
      <c r="Q158" s="334"/>
    </row>
    <row r="159" spans="1:17" x14ac:dyDescent="0.25">
      <c r="A159" s="333"/>
      <c r="B159" s="351" t="s">
        <v>86</v>
      </c>
      <c r="C159" s="351" t="s">
        <v>12</v>
      </c>
      <c r="D159" s="377">
        <v>1.31</v>
      </c>
      <c r="E159" s="356">
        <v>4.7</v>
      </c>
      <c r="F159" s="336">
        <v>7.92</v>
      </c>
      <c r="G159" s="353">
        <f t="shared" si="14"/>
        <v>6.0458015267175567</v>
      </c>
      <c r="H159" s="354">
        <f t="shared" si="15"/>
        <v>0.40656565656565652</v>
      </c>
      <c r="I159" s="346">
        <v>23.4</v>
      </c>
      <c r="J159" s="334">
        <v>3.6</v>
      </c>
      <c r="K159" s="346">
        <v>10.95</v>
      </c>
      <c r="L159" s="334">
        <v>212.79</v>
      </c>
      <c r="M159" s="346">
        <v>1429.5</v>
      </c>
      <c r="N159" s="334"/>
      <c r="O159" s="334"/>
      <c r="P159" s="334"/>
      <c r="Q159" s="334"/>
    </row>
    <row r="160" spans="1:17" x14ac:dyDescent="0.25">
      <c r="A160" s="333"/>
      <c r="B160" s="351" t="s">
        <v>86</v>
      </c>
      <c r="C160" s="351" t="s">
        <v>36</v>
      </c>
      <c r="D160" s="377">
        <v>1.22</v>
      </c>
      <c r="E160" s="396">
        <v>5</v>
      </c>
      <c r="F160" s="336">
        <v>3.81</v>
      </c>
      <c r="G160" s="353">
        <f t="shared" si="14"/>
        <v>3.1229508196721314</v>
      </c>
      <c r="H160" s="354">
        <f t="shared" si="15"/>
        <v>0.31233595800524933</v>
      </c>
      <c r="I160" s="346">
        <v>23.4</v>
      </c>
      <c r="J160" s="334">
        <v>3.6</v>
      </c>
      <c r="K160" s="346">
        <v>10.95</v>
      </c>
      <c r="L160" s="334">
        <v>212.79</v>
      </c>
      <c r="M160" s="346">
        <v>1429.5</v>
      </c>
      <c r="N160" s="334"/>
      <c r="O160" s="334"/>
      <c r="P160" s="334"/>
      <c r="Q160" s="334"/>
    </row>
    <row r="161" spans="1:17" x14ac:dyDescent="0.25">
      <c r="A161" s="333"/>
      <c r="B161" s="351" t="s">
        <v>86</v>
      </c>
      <c r="C161" s="351" t="s">
        <v>63</v>
      </c>
      <c r="D161" s="377">
        <v>0.45</v>
      </c>
      <c r="E161" s="356">
        <v>2</v>
      </c>
      <c r="F161" s="336">
        <v>1.81</v>
      </c>
      <c r="G161" s="353">
        <f t="shared" si="14"/>
        <v>4.0222222222222221</v>
      </c>
      <c r="H161" s="365">
        <f t="shared" si="15"/>
        <v>0.1049723756906077</v>
      </c>
      <c r="I161" s="346">
        <v>23.4</v>
      </c>
      <c r="J161" s="334">
        <v>3.6</v>
      </c>
      <c r="K161" s="346">
        <v>10.95</v>
      </c>
      <c r="L161" s="334">
        <v>212.79</v>
      </c>
      <c r="M161" s="346">
        <v>1429.5</v>
      </c>
      <c r="N161" s="334"/>
      <c r="O161" s="334"/>
      <c r="P161" s="334"/>
      <c r="Q161" s="334"/>
    </row>
    <row r="162" spans="1:17" x14ac:dyDescent="0.25">
      <c r="A162" s="350"/>
      <c r="B162" s="351" t="s">
        <v>86</v>
      </c>
      <c r="C162" s="351" t="s">
        <v>64</v>
      </c>
      <c r="D162" s="377">
        <v>0.32</v>
      </c>
      <c r="E162" s="356">
        <v>1.6</v>
      </c>
      <c r="F162" s="336">
        <v>0.94</v>
      </c>
      <c r="G162" s="353">
        <f t="shared" si="14"/>
        <v>2.9374999999999996</v>
      </c>
      <c r="H162" s="354">
        <f t="shared" si="15"/>
        <v>0.70212765957446832</v>
      </c>
      <c r="I162" s="346">
        <v>23.4</v>
      </c>
      <c r="J162" s="334">
        <v>3.6</v>
      </c>
      <c r="K162" s="346">
        <v>10.95</v>
      </c>
      <c r="L162" s="334">
        <v>227.12</v>
      </c>
      <c r="M162" s="346">
        <v>1429.5</v>
      </c>
      <c r="N162" s="334"/>
      <c r="O162" s="334"/>
      <c r="P162" s="334"/>
      <c r="Q162" s="334"/>
    </row>
    <row r="163" spans="1:17" x14ac:dyDescent="0.25">
      <c r="A163" s="333"/>
      <c r="B163" s="390" t="s">
        <v>7</v>
      </c>
      <c r="C163" s="390" t="s">
        <v>46</v>
      </c>
      <c r="D163" s="391">
        <v>5.0999999999999996</v>
      </c>
      <c r="E163" s="356">
        <v>28.8</v>
      </c>
      <c r="F163" s="336">
        <v>30.54</v>
      </c>
      <c r="G163" s="353">
        <f t="shared" si="14"/>
        <v>5.9882352941176471</v>
      </c>
      <c r="H163" s="354">
        <f t="shared" si="15"/>
        <v>5.6974459724950834E-2</v>
      </c>
      <c r="I163" s="346">
        <v>24.5</v>
      </c>
      <c r="J163" s="334">
        <v>3.43</v>
      </c>
      <c r="K163" s="346">
        <v>7.4</v>
      </c>
      <c r="L163" s="334">
        <v>316.67</v>
      </c>
      <c r="M163" s="346">
        <v>1394.7</v>
      </c>
      <c r="N163" s="334" t="s">
        <v>167</v>
      </c>
      <c r="O163" s="378">
        <v>1418.4</v>
      </c>
      <c r="P163" s="334" t="s">
        <v>168</v>
      </c>
      <c r="Q163" s="334"/>
    </row>
    <row r="164" spans="1:17" x14ac:dyDescent="0.25">
      <c r="A164" s="333"/>
      <c r="B164" s="390" t="s">
        <v>7</v>
      </c>
      <c r="C164" s="390" t="s">
        <v>42</v>
      </c>
      <c r="D164" s="391">
        <v>4</v>
      </c>
      <c r="E164" s="360">
        <v>12</v>
      </c>
      <c r="F164" s="336">
        <v>22.5</v>
      </c>
      <c r="G164" s="353">
        <f t="shared" si="14"/>
        <v>5.625</v>
      </c>
      <c r="H164" s="354">
        <f t="shared" si="15"/>
        <v>0.46666666666666667</v>
      </c>
      <c r="I164" s="346">
        <v>22.74</v>
      </c>
      <c r="J164" s="334">
        <v>3.53</v>
      </c>
      <c r="K164" s="346">
        <v>5.94</v>
      </c>
      <c r="L164" s="334">
        <v>335.2</v>
      </c>
      <c r="M164" s="346"/>
      <c r="N164" s="334"/>
      <c r="O164" s="334"/>
      <c r="P164" s="334"/>
      <c r="Q164" s="334"/>
    </row>
    <row r="165" spans="1:17" x14ac:dyDescent="0.25">
      <c r="A165" s="333"/>
      <c r="B165" s="390" t="s">
        <v>7</v>
      </c>
      <c r="C165" s="390" t="s">
        <v>47</v>
      </c>
      <c r="D165" s="391">
        <v>4.5</v>
      </c>
      <c r="E165" s="360">
        <v>16</v>
      </c>
      <c r="F165" s="336">
        <v>22.76</v>
      </c>
      <c r="G165" s="353">
        <f t="shared" si="14"/>
        <v>5.0577777777777779</v>
      </c>
      <c r="H165" s="354">
        <f t="shared" si="15"/>
        <v>0.29701230228471004</v>
      </c>
      <c r="I165" s="346">
        <v>24.35</v>
      </c>
      <c r="J165" s="334">
        <v>3.47</v>
      </c>
      <c r="K165" s="346">
        <v>7.3</v>
      </c>
      <c r="L165" s="334">
        <v>231.71</v>
      </c>
      <c r="M165" s="346">
        <v>1429.9</v>
      </c>
      <c r="N165" s="334"/>
      <c r="O165" s="334"/>
      <c r="P165" s="334"/>
      <c r="Q165" s="334"/>
    </row>
    <row r="166" spans="1:17" x14ac:dyDescent="0.25">
      <c r="A166" s="333"/>
      <c r="B166" s="362"/>
      <c r="C166" s="363" t="s">
        <v>115</v>
      </c>
      <c r="D166" s="392">
        <f>SUM(D142:D156)</f>
        <v>20.05</v>
      </c>
      <c r="E166" s="334">
        <f>SUM(E142:E156)</f>
        <v>71.900000000000006</v>
      </c>
      <c r="F166" s="346">
        <f>SUM(F142:F156)</f>
        <v>79.42</v>
      </c>
      <c r="G166" s="353"/>
      <c r="H166" s="354">
        <f t="shared" si="15"/>
        <v>9.4686476957945048E-2</v>
      </c>
      <c r="I166" s="346"/>
      <c r="J166" s="334"/>
      <c r="K166" s="346"/>
      <c r="L166" s="334"/>
      <c r="M166" s="346"/>
      <c r="N166" s="334"/>
      <c r="O166" s="334"/>
      <c r="P166" s="334"/>
      <c r="Q166" s="334"/>
    </row>
    <row r="167" spans="1:17" x14ac:dyDescent="0.25">
      <c r="A167" s="333"/>
      <c r="B167" s="362"/>
      <c r="C167" s="333" t="s">
        <v>119</v>
      </c>
      <c r="D167" s="372">
        <f>SUM(D157:D162)</f>
        <v>7.0500000000000007</v>
      </c>
      <c r="E167" s="334">
        <f>SUM(E157:E162)</f>
        <v>24.1</v>
      </c>
      <c r="F167" s="346">
        <f>SUM(F157:F162)</f>
        <v>27.88</v>
      </c>
      <c r="G167" s="353"/>
      <c r="H167" s="354">
        <f t="shared" si="15"/>
        <v>0.1355810616929698</v>
      </c>
      <c r="I167" s="346"/>
      <c r="J167" s="334"/>
      <c r="K167" s="346"/>
      <c r="L167" s="334"/>
      <c r="M167" s="346"/>
      <c r="N167" s="334"/>
      <c r="O167" s="334"/>
      <c r="P167" s="334"/>
      <c r="Q167" s="334"/>
    </row>
    <row r="168" spans="1:17" ht="15.75" thickBot="1" x14ac:dyDescent="0.3">
      <c r="A168" s="333"/>
      <c r="B168" s="334"/>
      <c r="C168" s="381" t="s">
        <v>117</v>
      </c>
      <c r="D168" s="394">
        <f>SUM(D163:D165)</f>
        <v>13.6</v>
      </c>
      <c r="E168" s="334">
        <f>SUM(E163:E165)</f>
        <v>56.8</v>
      </c>
      <c r="F168" s="346">
        <f>SUM(F163:F165)</f>
        <v>75.8</v>
      </c>
      <c r="G168" s="353"/>
      <c r="H168" s="354">
        <f t="shared" si="15"/>
        <v>0.2506596306068602</v>
      </c>
      <c r="I168" s="346"/>
      <c r="J168" s="334"/>
      <c r="K168" s="346"/>
      <c r="L168" s="334"/>
      <c r="M168" s="346"/>
      <c r="N168" s="334"/>
      <c r="O168" s="334"/>
      <c r="P168" s="334"/>
      <c r="Q168" s="334"/>
    </row>
    <row r="169" spans="1:17" ht="15.75" thickTop="1" x14ac:dyDescent="0.25">
      <c r="A169" s="414"/>
      <c r="B169" s="408"/>
      <c r="C169" s="383" t="s">
        <v>118</v>
      </c>
      <c r="D169" s="395">
        <f>SUM(D166:D168)</f>
        <v>40.700000000000003</v>
      </c>
      <c r="E169" s="334">
        <f>SUM(E166:E168)</f>
        <v>152.80000000000001</v>
      </c>
      <c r="F169" s="346">
        <f>SUM(F166:F168)</f>
        <v>183.1</v>
      </c>
      <c r="G169" s="353"/>
      <c r="H169" s="354">
        <f t="shared" si="15"/>
        <v>0.16548334243582732</v>
      </c>
      <c r="I169" s="346"/>
      <c r="J169" s="334"/>
      <c r="K169" s="346"/>
      <c r="L169" s="334"/>
      <c r="M169" s="346"/>
      <c r="N169" s="334"/>
      <c r="O169" s="334"/>
      <c r="P169" s="334"/>
      <c r="Q169" s="334"/>
    </row>
    <row r="170" spans="1:17" x14ac:dyDescent="0.25">
      <c r="A170" s="347" t="s">
        <v>34</v>
      </c>
      <c r="B170" s="373"/>
      <c r="C170" s="347"/>
      <c r="D170" s="384"/>
      <c r="E170" s="334"/>
      <c r="F170" s="336"/>
      <c r="G170" s="353"/>
      <c r="H170" s="385"/>
      <c r="I170" s="346"/>
      <c r="J170" s="334"/>
      <c r="K170" s="346"/>
      <c r="L170" s="334"/>
      <c r="M170" s="346"/>
      <c r="N170" s="334"/>
      <c r="O170" s="334"/>
      <c r="P170" s="334"/>
      <c r="Q170" s="334"/>
    </row>
    <row r="171" spans="1:17" x14ac:dyDescent="0.25">
      <c r="A171" s="333"/>
      <c r="B171" s="351" t="s">
        <v>3</v>
      </c>
      <c r="C171" s="351" t="s">
        <v>50</v>
      </c>
      <c r="D171" s="377">
        <v>2.69</v>
      </c>
      <c r="E171" s="376">
        <v>7.8</v>
      </c>
      <c r="F171" s="336">
        <v>7.65</v>
      </c>
      <c r="G171" s="353">
        <f>F171/D171</f>
        <v>2.8438661710037176</v>
      </c>
      <c r="H171" s="354">
        <f>(ABS(E171-F171))/F171</f>
        <v>1.9607843137254832E-2</v>
      </c>
      <c r="I171" s="346">
        <v>27.55</v>
      </c>
      <c r="J171" s="334">
        <v>3.86</v>
      </c>
      <c r="K171" s="346">
        <v>5.35</v>
      </c>
      <c r="L171" s="334">
        <v>225.59</v>
      </c>
      <c r="M171" s="346"/>
      <c r="N171" s="334"/>
      <c r="O171" s="334"/>
      <c r="P171" s="334"/>
      <c r="Q171" s="334"/>
    </row>
    <row r="172" spans="1:17" x14ac:dyDescent="0.25">
      <c r="A172" s="333"/>
      <c r="B172" s="351" t="s">
        <v>6</v>
      </c>
      <c r="C172" s="351" t="s">
        <v>38</v>
      </c>
      <c r="D172" s="377">
        <v>1.6</v>
      </c>
      <c r="E172" s="396">
        <v>7.9</v>
      </c>
      <c r="F172" s="336">
        <v>1.9</v>
      </c>
      <c r="G172" s="353">
        <f>F172/D172</f>
        <v>1.1874999999999998</v>
      </c>
      <c r="H172" s="354">
        <f>(ABS(E172-F172))/F172</f>
        <v>3.1578947368421053</v>
      </c>
      <c r="I172" s="346"/>
      <c r="J172" s="334"/>
      <c r="K172" s="346"/>
      <c r="L172" s="334" t="s">
        <v>148</v>
      </c>
      <c r="M172" s="346">
        <v>1597</v>
      </c>
      <c r="N172" s="334"/>
      <c r="O172" s="334"/>
      <c r="P172" s="334"/>
      <c r="Q172" s="334"/>
    </row>
    <row r="173" spans="1:17" x14ac:dyDescent="0.25">
      <c r="A173" s="333"/>
      <c r="B173" s="390" t="s">
        <v>7</v>
      </c>
      <c r="C173" s="390" t="s">
        <v>122</v>
      </c>
      <c r="D173" s="377">
        <v>2.85</v>
      </c>
      <c r="E173" s="360">
        <v>10</v>
      </c>
      <c r="F173" s="336">
        <v>10.039999999999999</v>
      </c>
      <c r="G173" s="353">
        <f>F173/D173</f>
        <v>3.5228070175438591</v>
      </c>
      <c r="H173" s="354">
        <f>(ABS(E173-F173))/F173</f>
        <v>3.9840637450198361E-3</v>
      </c>
      <c r="I173" s="346">
        <v>24.7</v>
      </c>
      <c r="J173" s="334">
        <v>4.0199999999999996</v>
      </c>
      <c r="K173" s="346">
        <v>5.0999999999999996</v>
      </c>
      <c r="L173" s="334">
        <v>217.11</v>
      </c>
      <c r="M173" s="346"/>
      <c r="N173" s="334"/>
      <c r="O173" s="334"/>
      <c r="P173" s="334"/>
      <c r="Q173" s="334"/>
    </row>
    <row r="174" spans="1:17" x14ac:dyDescent="0.25">
      <c r="A174" s="333"/>
      <c r="B174" s="362"/>
      <c r="C174" s="363" t="s">
        <v>115</v>
      </c>
      <c r="D174" s="387">
        <f>SUM(D171:D172)</f>
        <v>4.29</v>
      </c>
      <c r="E174" s="334">
        <f>SUM(E171:E172)</f>
        <v>15.7</v>
      </c>
      <c r="F174" s="346">
        <f>SUM(F171:F172)</f>
        <v>9.5500000000000007</v>
      </c>
      <c r="G174" s="353"/>
      <c r="H174" s="354">
        <f>(ABS(E174-F174))/F174</f>
        <v>0.64397905759162288</v>
      </c>
      <c r="I174" s="346"/>
      <c r="J174" s="334"/>
      <c r="K174" s="346"/>
      <c r="L174" s="334"/>
      <c r="M174" s="346"/>
      <c r="N174" s="334"/>
      <c r="O174" s="334"/>
      <c r="P174" s="334"/>
      <c r="Q174" s="334"/>
    </row>
    <row r="175" spans="1:17" x14ac:dyDescent="0.25">
      <c r="A175" s="333"/>
      <c r="B175" s="362"/>
      <c r="C175" s="333" t="s">
        <v>116</v>
      </c>
      <c r="D175" s="388" t="s">
        <v>109</v>
      </c>
      <c r="E175" s="334">
        <v>0</v>
      </c>
      <c r="F175" s="346">
        <v>0</v>
      </c>
      <c r="G175" s="353"/>
      <c r="H175" s="354"/>
      <c r="I175" s="346"/>
      <c r="J175" s="334"/>
      <c r="K175" s="346"/>
      <c r="L175" s="334"/>
      <c r="M175" s="346"/>
      <c r="N175" s="334"/>
      <c r="O175" s="334"/>
      <c r="P175" s="334"/>
      <c r="Q175" s="334"/>
    </row>
    <row r="176" spans="1:17" ht="15.75" thickBot="1" x14ac:dyDescent="0.3">
      <c r="A176" s="333"/>
      <c r="B176" s="334"/>
      <c r="C176" s="381" t="s">
        <v>117</v>
      </c>
      <c r="D176" s="389">
        <v>8.5500000000000007</v>
      </c>
      <c r="E176" s="334">
        <f>E173</f>
        <v>10</v>
      </c>
      <c r="F176" s="346">
        <f>F173</f>
        <v>10.039999999999999</v>
      </c>
      <c r="G176" s="353"/>
      <c r="H176" s="354">
        <f>(ABS(E176-F176))/F176</f>
        <v>3.9840637450198361E-3</v>
      </c>
      <c r="I176" s="346"/>
      <c r="J176" s="334"/>
      <c r="K176" s="346"/>
      <c r="L176" s="334"/>
      <c r="M176" s="346"/>
      <c r="N176" s="334"/>
      <c r="O176" s="334"/>
      <c r="P176" s="334"/>
      <c r="Q176" s="334"/>
    </row>
    <row r="177" spans="1:17" ht="15.75" thickTop="1" x14ac:dyDescent="0.25">
      <c r="A177" s="333"/>
      <c r="B177" s="334"/>
      <c r="C177" s="383" t="s">
        <v>9</v>
      </c>
      <c r="D177" s="388">
        <f>SUM(D174,D176)</f>
        <v>12.84</v>
      </c>
      <c r="E177" s="334">
        <f>SUM(E174:E176)</f>
        <v>25.7</v>
      </c>
      <c r="F177" s="346">
        <f>SUM(F174:F176)</f>
        <v>19.59</v>
      </c>
      <c r="G177" s="353"/>
      <c r="H177" s="354">
        <f>(ABS(E177-F177))/F177</f>
        <v>0.31189382337927513</v>
      </c>
      <c r="I177" s="346"/>
      <c r="J177" s="334"/>
      <c r="K177" s="346"/>
      <c r="L177" s="334"/>
      <c r="M177" s="346"/>
      <c r="N177" s="334"/>
      <c r="O177" s="334"/>
      <c r="P177" s="334"/>
      <c r="Q177" s="334"/>
    </row>
    <row r="178" spans="1:17" x14ac:dyDescent="0.25">
      <c r="G178" s="329"/>
      <c r="H178" s="284"/>
    </row>
    <row r="179" spans="1:17" s="69" customFormat="1" ht="15.75" customHeight="1" x14ac:dyDescent="0.25">
      <c r="A179" s="20"/>
      <c r="B179" s="15"/>
      <c r="C179" s="435" t="s">
        <v>124</v>
      </c>
      <c r="D179" s="436"/>
      <c r="E179" s="437">
        <f>SUM(E24:E25,E33:E34,E41:E42,E56:E57,E66:E67,E61,E89:E90,E94,E109,E118:E119,E137,E166:E167,E174)</f>
        <v>680.58</v>
      </c>
      <c r="F179" s="438">
        <f>SUM(F24:F25,F33:F34,F41:F42,F56:F57,F66:F67,F61,F89:F90,F94,F109,F118:F119,F137,F166:F167,F174)</f>
        <v>728.3</v>
      </c>
      <c r="G179" s="353"/>
      <c r="H179" s="354">
        <f>(ABS(E179-F179))/F179</f>
        <v>6.5522449540024605E-2</v>
      </c>
      <c r="I179" s="119"/>
      <c r="K179" s="119"/>
      <c r="M179" s="119"/>
    </row>
    <row r="180" spans="1:17" s="69" customFormat="1" ht="15.75" customHeight="1" x14ac:dyDescent="0.25">
      <c r="A180" s="22"/>
      <c r="C180" s="439" t="s">
        <v>123</v>
      </c>
      <c r="D180" s="440"/>
      <c r="E180" s="441">
        <f>SUM(E26,E35,E58,E68,E76,E96,E98,E111,E127,E139,E168,E176,E102)</f>
        <v>485.78000000000003</v>
      </c>
      <c r="F180" s="442">
        <f>SUM(F26,F35,F58,F68,F76,F96,F98,F111,F127,F139,F168,F176,F100,F102)</f>
        <v>608.62</v>
      </c>
      <c r="G180" s="353"/>
      <c r="H180" s="354">
        <f>(ABS(E180-F180))/F180</f>
        <v>0.2018336564687325</v>
      </c>
      <c r="I180" s="119"/>
      <c r="K180" s="119"/>
      <c r="M180" s="119"/>
    </row>
    <row r="181" spans="1:17" s="69" customFormat="1" ht="15.75" customHeight="1" thickBot="1" x14ac:dyDescent="0.3">
      <c r="A181" s="23"/>
      <c r="B181" s="10"/>
      <c r="C181" s="443" t="s">
        <v>97</v>
      </c>
      <c r="D181" s="444"/>
      <c r="E181" s="445">
        <f>SUM(E179:E180)</f>
        <v>1166.3600000000001</v>
      </c>
      <c r="F181" s="446">
        <f>SUM(F179:F180)</f>
        <v>1336.92</v>
      </c>
      <c r="G181" s="388"/>
      <c r="H181" s="354">
        <f>(ABS(E181-F181))/F181</f>
        <v>0.12757681835861528</v>
      </c>
      <c r="I181" s="119"/>
      <c r="K181" s="119"/>
      <c r="M181" s="119"/>
    </row>
    <row r="182" spans="1:17" ht="15.75" thickTop="1" x14ac:dyDescent="0.25">
      <c r="C182" s="334"/>
      <c r="D182" s="334"/>
      <c r="E182" s="334"/>
      <c r="F182" s="336"/>
      <c r="G182" s="447"/>
      <c r="H182" s="385"/>
    </row>
    <row r="183" spans="1:17" x14ac:dyDescent="0.25">
      <c r="C183" s="334"/>
      <c r="D183" s="333" t="s">
        <v>175</v>
      </c>
      <c r="E183" s="448">
        <f>SUM(E177,E169,E140,E128,E121,E112,E102)</f>
        <v>430.01</v>
      </c>
      <c r="F183" s="449"/>
      <c r="G183" s="450"/>
      <c r="H183" s="354"/>
    </row>
    <row r="184" spans="1:17" x14ac:dyDescent="0.25">
      <c r="C184" s="334"/>
      <c r="D184" s="333" t="s">
        <v>174</v>
      </c>
      <c r="E184" s="333">
        <f>SUM(E27,E36,E44,E59,E61,E69,E77,E92,E94,E96,E98,E100)</f>
        <v>711.34999999999991</v>
      </c>
      <c r="F184" s="451"/>
      <c r="G184" s="452"/>
      <c r="H184" s="354"/>
    </row>
  </sheetData>
  <mergeCells count="1">
    <mergeCell ref="B2:C2"/>
  </mergeCells>
  <conditionalFormatting sqref="H4:H184">
    <cfRule type="containsText" dxfId="12" priority="6" operator="containsText" text="BLANK">
      <formula>NOT(ISERROR(SEARCH("BLANK",H4)))</formula>
    </cfRule>
    <cfRule type="cellIs" dxfId="11" priority="7" operator="equal">
      <formula>0.1</formula>
    </cfRule>
    <cfRule type="cellIs" dxfId="10" priority="11" operator="between">
      <formula>0.11</formula>
      <formula>0.39</formula>
    </cfRule>
    <cfRule type="cellIs" dxfId="9" priority="12" operator="lessThan">
      <formula>0.1</formula>
    </cfRule>
    <cfRule type="cellIs" dxfId="8" priority="13" operator="greaterThan">
      <formula>0.4</formula>
    </cfRule>
  </conditionalFormatting>
  <conditionalFormatting sqref="H3:H184">
    <cfRule type="cellIs" dxfId="7" priority="10" operator="greaterThan">
      <formula>0.4</formula>
    </cfRule>
  </conditionalFormatting>
  <conditionalFormatting sqref="H3:H184">
    <cfRule type="cellIs" dxfId="6" priority="9" operator="equal">
      <formula>0.4</formula>
    </cfRule>
  </conditionalFormatting>
  <conditionalFormatting sqref="H3">
    <cfRule type="containsText" dxfId="5" priority="8" operator="containsText" text="blank">
      <formula>NOT(ISERROR(SEARCH("blank",H3)))</formula>
    </cfRule>
  </conditionalFormatting>
  <conditionalFormatting sqref="H23">
    <cfRule type="cellIs" dxfId="4" priority="1" operator="between">
      <formula>0.11</formula>
      <formula>0.01</formula>
    </cfRule>
    <cfRule type="cellIs" dxfId="3" priority="2" operator="equal">
      <formula>0.11</formula>
    </cfRule>
    <cfRule type="cellIs" dxfId="2" priority="3" operator="equal">
      <formula>0.11</formula>
    </cfRule>
    <cfRule type="cellIs" dxfId="1" priority="4" operator="equal">
      <formula>0.11</formula>
    </cfRule>
    <cfRule type="cellIs" dxfId="0" priority="5" operator="between">
      <formula>0.11</formula>
      <formula>0.39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13-14-15 Tons</vt:lpstr>
      <vt:lpstr>2014 T per Acre</vt:lpstr>
      <vt:lpstr>2015 Harvest</vt:lpstr>
      <vt:lpstr>Printable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Kailee Frasch</cp:lastModifiedBy>
  <cp:lastPrinted>2015-11-09T21:32:04Z</cp:lastPrinted>
  <dcterms:created xsi:type="dcterms:W3CDTF">2012-10-29T21:39:35Z</dcterms:created>
  <dcterms:modified xsi:type="dcterms:W3CDTF">2019-05-21T18:42:19Z</dcterms:modified>
</cp:coreProperties>
</file>