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frasch\Desktop\"/>
    </mc:Choice>
  </mc:AlternateContent>
  <xr:revisionPtr revIDLastSave="0" documentId="8_{C14237C3-0F13-404B-9E98-9207E2755415}" xr6:coauthVersionLast="43" xr6:coauthVersionMax="43" xr10:uidLastSave="{00000000-0000-0000-0000-000000000000}"/>
  <bookViews>
    <workbookView xWindow="-120" yWindow="-120" windowWidth="29040" windowHeight="15840" tabRatio="528" xr2:uid="{00000000-000D-0000-FFFF-FFFF00000000}"/>
  </bookViews>
  <sheets>
    <sheet name="14-15-16T-Report" sheetId="4" r:id="rId1"/>
    <sheet name="T per Acre" sheetId="3" r:id="rId2"/>
    <sheet name="2016 Harvest" sheetId="5" r:id="rId3"/>
    <sheet name="Print-Brix,pH,TA,Y,GDD" sheetId="6" r:id="rId4"/>
  </sheets>
  <definedNames>
    <definedName name="_xlnm.Print_Area" localSheetId="2">'2016 Harvest'!$A$1:$V$202</definedName>
    <definedName name="_xlnm.Print_Area" localSheetId="1">'T per Acre'!$A$1:$J$131</definedName>
    <definedName name="Z_F76F088D_E257_4637_81FB_2D037F8BCE3A_.wvu.Cols" localSheetId="0" hidden="1">'14-15-16T-Report'!$E:$H</definedName>
  </definedNames>
  <calcPr calcId="181029"/>
  <customWorkbookViews>
    <customWorkbookView name="2015 Estimate" guid="{F76F088D-E257-4637-81FB-2D037F8BCE3A}" maximized="1" windowWidth="1600" windowHeight="627" tabRatio="52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3" i="4" l="1"/>
  <c r="H108" i="6" l="1"/>
  <c r="F177" i="6"/>
  <c r="H82" i="6"/>
  <c r="H75" i="6"/>
  <c r="H74" i="6"/>
  <c r="G75" i="6"/>
  <c r="G74" i="6"/>
  <c r="F70" i="6"/>
  <c r="H66" i="6"/>
  <c r="E60" i="6"/>
  <c r="F35" i="6"/>
  <c r="F28" i="6"/>
  <c r="F27" i="6"/>
  <c r="F26" i="6"/>
  <c r="H24" i="6"/>
  <c r="G24" i="6"/>
  <c r="G19" i="6"/>
  <c r="H19" i="6"/>
  <c r="D177" i="6"/>
  <c r="G172" i="6"/>
  <c r="H172" i="6"/>
  <c r="G171" i="6"/>
  <c r="H171" i="6"/>
  <c r="D27" i="6"/>
  <c r="E70" i="6"/>
  <c r="L59" i="4"/>
  <c r="L58" i="4"/>
  <c r="L57" i="4"/>
  <c r="L23" i="4"/>
  <c r="E28" i="6"/>
  <c r="E27" i="6"/>
  <c r="E26" i="6"/>
  <c r="N143" i="4"/>
  <c r="V151" i="5"/>
  <c r="V84" i="5"/>
  <c r="J174" i="4" l="1"/>
  <c r="I174" i="4"/>
  <c r="D96" i="4"/>
  <c r="J175" i="4"/>
  <c r="I175" i="4"/>
  <c r="J143" i="4"/>
  <c r="I143" i="4"/>
  <c r="I146" i="4" s="1"/>
  <c r="I133" i="4"/>
  <c r="I115" i="4"/>
  <c r="I118" i="4" s="1"/>
  <c r="J115" i="4"/>
  <c r="K108" i="4"/>
  <c r="K45" i="4" l="1"/>
  <c r="K44" i="4"/>
  <c r="J32" i="4"/>
  <c r="D59" i="4"/>
  <c r="J24" i="4"/>
  <c r="J23" i="4"/>
  <c r="J22" i="4"/>
  <c r="I24" i="4"/>
  <c r="I22" i="4"/>
  <c r="K20" i="4"/>
  <c r="I25" i="4" l="1"/>
  <c r="N32" i="4"/>
  <c r="N31" i="4"/>
  <c r="N34" i="4" s="1"/>
  <c r="D24" i="4"/>
  <c r="N24" i="4"/>
  <c r="N23" i="4"/>
  <c r="N22" i="4"/>
  <c r="N182" i="4"/>
  <c r="N176" i="4"/>
  <c r="N175" i="4"/>
  <c r="N174" i="4"/>
  <c r="N177" i="4" s="1"/>
  <c r="M170" i="4"/>
  <c r="M169" i="4"/>
  <c r="D175" i="4"/>
  <c r="N133" i="4"/>
  <c r="N124" i="4"/>
  <c r="N127" i="4" s="1"/>
  <c r="N115" i="4"/>
  <c r="N118" i="4" s="1"/>
  <c r="M108" i="4"/>
  <c r="N96" i="4"/>
  <c r="N98" i="4" s="1"/>
  <c r="N83" i="4"/>
  <c r="N82" i="4"/>
  <c r="N84" i="4" s="1"/>
  <c r="M74" i="4"/>
  <c r="M73" i="4"/>
  <c r="N69" i="4"/>
  <c r="N71" i="4" s="1"/>
  <c r="M66" i="4"/>
  <c r="N59" i="4"/>
  <c r="N58" i="4"/>
  <c r="N57" i="4"/>
  <c r="N39" i="4"/>
  <c r="N42" i="4" s="1"/>
  <c r="K13" i="4"/>
  <c r="M13" i="4"/>
  <c r="M15" i="4"/>
  <c r="K15" i="4"/>
  <c r="J48" i="3"/>
  <c r="J53" i="3"/>
  <c r="J54" i="3"/>
  <c r="J86" i="3"/>
  <c r="J87" i="3"/>
  <c r="J88" i="3"/>
  <c r="J89" i="3"/>
  <c r="J91" i="3"/>
  <c r="J92" i="3"/>
  <c r="J94" i="3"/>
  <c r="J95" i="3"/>
  <c r="J96" i="3"/>
  <c r="J97" i="3"/>
  <c r="J98" i="3"/>
  <c r="J99" i="3"/>
  <c r="J100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6" i="3"/>
  <c r="J127" i="3"/>
  <c r="J128" i="3"/>
  <c r="J84" i="3"/>
  <c r="J41" i="3"/>
  <c r="J42" i="3"/>
  <c r="J43" i="3"/>
  <c r="J44" i="3"/>
  <c r="J15" i="3"/>
  <c r="H15" i="3"/>
  <c r="F15" i="3"/>
  <c r="H84" i="3"/>
  <c r="F60" i="3"/>
  <c r="F59" i="3"/>
  <c r="H48" i="3"/>
  <c r="F48" i="3"/>
  <c r="F49" i="3"/>
  <c r="F43" i="3"/>
  <c r="F42" i="3"/>
  <c r="F41" i="3"/>
  <c r="F40" i="3"/>
  <c r="F39" i="3"/>
  <c r="F38" i="3"/>
  <c r="F37" i="3"/>
  <c r="F36" i="3"/>
  <c r="F35" i="3"/>
  <c r="F34" i="3"/>
  <c r="N60" i="4" l="1"/>
  <c r="N190" i="4"/>
  <c r="N189" i="4"/>
  <c r="N191" i="4" s="1"/>
  <c r="N185" i="4"/>
  <c r="N194" i="4" s="1"/>
  <c r="N25" i="4"/>
  <c r="N193" i="4" s="1"/>
  <c r="H20" i="3"/>
  <c r="F20" i="3"/>
  <c r="J20" i="3"/>
  <c r="H14" i="3"/>
  <c r="F14" i="3"/>
  <c r="J14" i="3"/>
  <c r="N195" i="4" l="1"/>
  <c r="J23" i="3"/>
  <c r="J24" i="3"/>
  <c r="J25" i="3"/>
  <c r="J26" i="3"/>
  <c r="J28" i="3"/>
  <c r="J29" i="3"/>
  <c r="J30" i="3"/>
  <c r="J32" i="3"/>
  <c r="J33" i="3"/>
  <c r="J34" i="3"/>
  <c r="J35" i="3"/>
  <c r="J36" i="3"/>
  <c r="J37" i="3"/>
  <c r="J38" i="3"/>
  <c r="J39" i="3"/>
  <c r="J40" i="3"/>
  <c r="J46" i="3"/>
  <c r="J49" i="3"/>
  <c r="J50" i="3"/>
  <c r="J51" i="3"/>
  <c r="J55" i="3"/>
  <c r="J56" i="3"/>
  <c r="J57" i="3"/>
  <c r="J58" i="3"/>
  <c r="J59" i="3"/>
  <c r="J60" i="3"/>
  <c r="J62" i="3"/>
  <c r="J63" i="3"/>
  <c r="J64" i="3"/>
  <c r="J65" i="3"/>
  <c r="J66" i="3"/>
  <c r="J68" i="3"/>
  <c r="J69" i="3"/>
  <c r="J70" i="3"/>
  <c r="J72" i="3"/>
  <c r="J74" i="3"/>
  <c r="J76" i="3"/>
  <c r="J78" i="3"/>
  <c r="J79" i="3"/>
  <c r="J80" i="3"/>
  <c r="J81" i="3"/>
  <c r="J82" i="3"/>
  <c r="J5" i="3"/>
  <c r="J6" i="3"/>
  <c r="J7" i="3"/>
  <c r="J8" i="3"/>
  <c r="J9" i="3"/>
  <c r="J10" i="3"/>
  <c r="J11" i="3"/>
  <c r="J12" i="3"/>
  <c r="J13" i="3"/>
  <c r="J16" i="3"/>
  <c r="J17" i="3"/>
  <c r="J18" i="3"/>
  <c r="J19" i="3"/>
  <c r="J21" i="3"/>
  <c r="J4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6" i="3"/>
  <c r="H49" i="3"/>
  <c r="H50" i="3"/>
  <c r="H51" i="3"/>
  <c r="H55" i="3"/>
  <c r="H56" i="3"/>
  <c r="H57" i="3"/>
  <c r="H58" i="3"/>
  <c r="H59" i="3"/>
  <c r="H60" i="3"/>
  <c r="H62" i="3"/>
  <c r="H63" i="3"/>
  <c r="H64" i="3"/>
  <c r="H65" i="3"/>
  <c r="H66" i="3"/>
  <c r="H68" i="3"/>
  <c r="H69" i="3"/>
  <c r="H70" i="3"/>
  <c r="H72" i="3"/>
  <c r="H74" i="3"/>
  <c r="H76" i="3"/>
  <c r="H78" i="3"/>
  <c r="H79" i="3"/>
  <c r="H80" i="3"/>
  <c r="H81" i="3"/>
  <c r="H82" i="3"/>
  <c r="H86" i="3"/>
  <c r="H87" i="3"/>
  <c r="H88" i="3"/>
  <c r="H89" i="3"/>
  <c r="H91" i="3"/>
  <c r="H92" i="3"/>
  <c r="H94" i="3"/>
  <c r="H95" i="3"/>
  <c r="H96" i="3"/>
  <c r="H97" i="3"/>
  <c r="H98" i="3"/>
  <c r="H99" i="3"/>
  <c r="H100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6" i="3"/>
  <c r="H127" i="3"/>
  <c r="H128" i="3"/>
  <c r="H23" i="3"/>
  <c r="H24" i="3"/>
  <c r="H25" i="3"/>
  <c r="H26" i="3"/>
  <c r="H28" i="3"/>
  <c r="H29" i="3"/>
  <c r="H30" i="3"/>
  <c r="H5" i="3"/>
  <c r="H6" i="3"/>
  <c r="H7" i="3"/>
  <c r="H8" i="3"/>
  <c r="H9" i="3"/>
  <c r="H10" i="3"/>
  <c r="H11" i="3"/>
  <c r="H12" i="3"/>
  <c r="H13" i="3"/>
  <c r="H16" i="3"/>
  <c r="H17" i="3"/>
  <c r="H18" i="3"/>
  <c r="H19" i="3"/>
  <c r="H21" i="3"/>
  <c r="H4" i="3"/>
  <c r="F4" i="3"/>
  <c r="V121" i="5" l="1"/>
  <c r="V65" i="5" l="1"/>
  <c r="V196" i="5" l="1"/>
  <c r="V137" i="5" l="1"/>
  <c r="V99" i="5"/>
  <c r="V62" i="5" l="1"/>
  <c r="V47" i="5" l="1"/>
  <c r="V28" i="5"/>
  <c r="V187" i="5" l="1"/>
  <c r="V74" i="5"/>
  <c r="V130" i="5" l="1"/>
  <c r="V39" i="5"/>
  <c r="V199" i="5" s="1"/>
  <c r="N199" i="5" l="1"/>
  <c r="M196" i="5" l="1"/>
  <c r="M187" i="5"/>
  <c r="M151" i="5"/>
  <c r="M137" i="5"/>
  <c r="M130" i="5"/>
  <c r="M121" i="5"/>
  <c r="M99" i="5"/>
  <c r="M84" i="5"/>
  <c r="M74" i="5"/>
  <c r="M62" i="5"/>
  <c r="M47" i="5"/>
  <c r="M39" i="5"/>
  <c r="M28" i="5"/>
  <c r="M199" i="5" l="1"/>
  <c r="F97" i="5"/>
  <c r="F99" i="5" s="1"/>
  <c r="E97" i="5"/>
  <c r="E99" i="5" s="1"/>
  <c r="E83" i="5"/>
  <c r="D59" i="5"/>
  <c r="F186" i="6" l="1"/>
  <c r="E186" i="6"/>
  <c r="F184" i="6"/>
  <c r="F187" i="6" s="1"/>
  <c r="E184" i="6"/>
  <c r="D184" i="6"/>
  <c r="D187" i="6" s="1"/>
  <c r="H183" i="6"/>
  <c r="G183" i="6"/>
  <c r="H182" i="6"/>
  <c r="G182" i="6"/>
  <c r="H181" i="6"/>
  <c r="G181" i="6"/>
  <c r="F178" i="6"/>
  <c r="E178" i="6"/>
  <c r="D178" i="6"/>
  <c r="E177" i="6"/>
  <c r="F176" i="6"/>
  <c r="E176" i="6"/>
  <c r="D176" i="6"/>
  <c r="H175" i="6"/>
  <c r="G175" i="6"/>
  <c r="H174" i="6"/>
  <c r="G174" i="6"/>
  <c r="H173" i="6"/>
  <c r="G173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F147" i="6"/>
  <c r="E147" i="6"/>
  <c r="F145" i="6"/>
  <c r="E145" i="6"/>
  <c r="D145" i="6"/>
  <c r="D148" i="6" s="1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F135" i="6"/>
  <c r="F136" i="6" s="1"/>
  <c r="E135" i="6"/>
  <c r="D135" i="6"/>
  <c r="H132" i="6"/>
  <c r="G132" i="6"/>
  <c r="H131" i="6"/>
  <c r="G131" i="6"/>
  <c r="F127" i="6"/>
  <c r="E127" i="6"/>
  <c r="F126" i="6"/>
  <c r="E126" i="6"/>
  <c r="D126" i="6"/>
  <c r="D129" i="6" s="1"/>
  <c r="H125" i="6"/>
  <c r="G125" i="6"/>
  <c r="H124" i="6"/>
  <c r="G124" i="6"/>
  <c r="H123" i="6"/>
  <c r="G123" i="6"/>
  <c r="H122" i="6"/>
  <c r="G122" i="6"/>
  <c r="F119" i="6"/>
  <c r="E119" i="6"/>
  <c r="F117" i="6"/>
  <c r="F120" i="6" s="1"/>
  <c r="E117" i="6"/>
  <c r="E120" i="6" s="1"/>
  <c r="D117" i="6"/>
  <c r="D120" i="6" s="1"/>
  <c r="H116" i="6"/>
  <c r="G116" i="6"/>
  <c r="H115" i="6"/>
  <c r="G115" i="6"/>
  <c r="H114" i="6"/>
  <c r="G114" i="6"/>
  <c r="H113" i="6"/>
  <c r="G113" i="6"/>
  <c r="H112" i="6"/>
  <c r="G112" i="6"/>
  <c r="H110" i="6"/>
  <c r="G110" i="6"/>
  <c r="G106" i="6"/>
  <c r="H104" i="6"/>
  <c r="G104" i="6"/>
  <c r="G102" i="6"/>
  <c r="H100" i="6"/>
  <c r="G100" i="6"/>
  <c r="F96" i="6"/>
  <c r="E96" i="6"/>
  <c r="D96" i="6"/>
  <c r="D98" i="6" s="1"/>
  <c r="F95" i="6"/>
  <c r="E95" i="6"/>
  <c r="H93" i="6"/>
  <c r="G93" i="6"/>
  <c r="H92" i="6"/>
  <c r="G92" i="6"/>
  <c r="H85" i="6"/>
  <c r="G85" i="6"/>
  <c r="F81" i="6"/>
  <c r="F83" i="6" s="1"/>
  <c r="E81" i="6"/>
  <c r="D81" i="6"/>
  <c r="D83" i="6" s="1"/>
  <c r="H80" i="6"/>
  <c r="G80" i="6"/>
  <c r="H79" i="6"/>
  <c r="G79" i="6"/>
  <c r="H78" i="6"/>
  <c r="G78" i="6"/>
  <c r="H77" i="6"/>
  <c r="G77" i="6"/>
  <c r="H76" i="6"/>
  <c r="G76" i="6"/>
  <c r="D72" i="6"/>
  <c r="F71" i="6"/>
  <c r="E71" i="6"/>
  <c r="F69" i="6"/>
  <c r="E69" i="6"/>
  <c r="H68" i="6"/>
  <c r="G68" i="6"/>
  <c r="H67" i="6"/>
  <c r="G67" i="6"/>
  <c r="H65" i="6"/>
  <c r="G65" i="6"/>
  <c r="H63" i="6"/>
  <c r="G63" i="6"/>
  <c r="F60" i="6"/>
  <c r="D60" i="6"/>
  <c r="F59" i="6"/>
  <c r="E59" i="6"/>
  <c r="D59" i="6"/>
  <c r="F58" i="6"/>
  <c r="E58" i="6"/>
  <c r="D58" i="6"/>
  <c r="H57" i="6"/>
  <c r="G57" i="6"/>
  <c r="H56" i="6"/>
  <c r="G56" i="6"/>
  <c r="H55" i="6"/>
  <c r="G55" i="6"/>
  <c r="H54" i="6"/>
  <c r="G54" i="6"/>
  <c r="H53" i="6"/>
  <c r="G53" i="6"/>
  <c r="G52" i="6"/>
  <c r="H51" i="6"/>
  <c r="G51" i="6"/>
  <c r="H50" i="6"/>
  <c r="G50" i="6"/>
  <c r="H49" i="6"/>
  <c r="G49" i="6"/>
  <c r="H48" i="6"/>
  <c r="G48" i="6"/>
  <c r="F44" i="6"/>
  <c r="E44" i="6"/>
  <c r="F43" i="6"/>
  <c r="E43" i="6"/>
  <c r="D43" i="6"/>
  <c r="D46" i="6" s="1"/>
  <c r="H42" i="6"/>
  <c r="G42" i="6"/>
  <c r="H41" i="6"/>
  <c r="G41" i="6"/>
  <c r="H40" i="6"/>
  <c r="G40" i="6"/>
  <c r="F36" i="6"/>
  <c r="E36" i="6"/>
  <c r="D36" i="6"/>
  <c r="E35" i="6"/>
  <c r="D35" i="6"/>
  <c r="H34" i="6"/>
  <c r="G34" i="6"/>
  <c r="H33" i="6"/>
  <c r="G33" i="6"/>
  <c r="H32" i="6"/>
  <c r="G32" i="6"/>
  <c r="H31" i="6"/>
  <c r="G31" i="6"/>
  <c r="D29" i="6"/>
  <c r="D28" i="6"/>
  <c r="D26" i="6"/>
  <c r="H25" i="6"/>
  <c r="G25" i="6"/>
  <c r="G23" i="6"/>
  <c r="G22" i="6"/>
  <c r="H21" i="6"/>
  <c r="G21" i="6"/>
  <c r="H20" i="6"/>
  <c r="G20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F189" i="6" l="1"/>
  <c r="H95" i="6"/>
  <c r="F61" i="6"/>
  <c r="E148" i="6"/>
  <c r="E72" i="6"/>
  <c r="D38" i="6"/>
  <c r="E46" i="6"/>
  <c r="E38" i="6"/>
  <c r="D61" i="6"/>
  <c r="H178" i="6"/>
  <c r="H69" i="6"/>
  <c r="F129" i="6"/>
  <c r="F148" i="6"/>
  <c r="H177" i="6"/>
  <c r="E187" i="6"/>
  <c r="D179" i="6"/>
  <c r="E189" i="6"/>
  <c r="H43" i="6"/>
  <c r="H127" i="6"/>
  <c r="H135" i="6"/>
  <c r="E179" i="6"/>
  <c r="H186" i="6"/>
  <c r="F98" i="6"/>
  <c r="H145" i="6"/>
  <c r="H58" i="6"/>
  <c r="H59" i="6"/>
  <c r="H60" i="6"/>
  <c r="H96" i="6"/>
  <c r="H119" i="6"/>
  <c r="F179" i="6"/>
  <c r="H27" i="6"/>
  <c r="H71" i="6"/>
  <c r="E190" i="6"/>
  <c r="F29" i="6"/>
  <c r="H81" i="6"/>
  <c r="E83" i="6"/>
  <c r="H26" i="6"/>
  <c r="H28" i="6"/>
  <c r="F190" i="6"/>
  <c r="F38" i="6"/>
  <c r="H35" i="6"/>
  <c r="H70" i="6"/>
  <c r="F72" i="6"/>
  <c r="H36" i="6"/>
  <c r="H44" i="6"/>
  <c r="F46" i="6"/>
  <c r="H120" i="6"/>
  <c r="H187" i="6"/>
  <c r="E98" i="6"/>
  <c r="E61" i="6"/>
  <c r="H117" i="6"/>
  <c r="E129" i="6"/>
  <c r="E136" i="6"/>
  <c r="H176" i="6"/>
  <c r="H184" i="6"/>
  <c r="H126" i="6"/>
  <c r="E29" i="6"/>
  <c r="J30" i="5"/>
  <c r="J31" i="5"/>
  <c r="J32" i="5"/>
  <c r="J35" i="5"/>
  <c r="J41" i="5"/>
  <c r="J42" i="5"/>
  <c r="J43" i="5"/>
  <c r="J49" i="5"/>
  <c r="J50" i="5"/>
  <c r="J51" i="5"/>
  <c r="J52" i="5"/>
  <c r="J53" i="5"/>
  <c r="J54" i="5"/>
  <c r="J55" i="5"/>
  <c r="J56" i="5"/>
  <c r="J57" i="5"/>
  <c r="J58" i="5"/>
  <c r="J65" i="5"/>
  <c r="J67" i="5"/>
  <c r="J68" i="5"/>
  <c r="J70" i="5"/>
  <c r="J78" i="5"/>
  <c r="J79" i="5"/>
  <c r="J80" i="5"/>
  <c r="J81" i="5"/>
  <c r="J82" i="5"/>
  <c r="J86" i="5"/>
  <c r="J93" i="5"/>
  <c r="J94" i="5"/>
  <c r="J101" i="5"/>
  <c r="J103" i="5"/>
  <c r="J105" i="5"/>
  <c r="J107" i="5"/>
  <c r="J111" i="5"/>
  <c r="J113" i="5"/>
  <c r="J114" i="5"/>
  <c r="J115" i="5"/>
  <c r="J116" i="5"/>
  <c r="J117" i="5"/>
  <c r="J123" i="5"/>
  <c r="J124" i="5"/>
  <c r="J125" i="5"/>
  <c r="J126" i="5"/>
  <c r="J132" i="5"/>
  <c r="J133" i="5"/>
  <c r="J139" i="5"/>
  <c r="J140" i="5"/>
  <c r="J141" i="5"/>
  <c r="J142" i="5"/>
  <c r="J143" i="5"/>
  <c r="J144" i="5"/>
  <c r="J147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9" i="5"/>
  <c r="J172" i="5"/>
  <c r="J173" i="5"/>
  <c r="J174" i="5"/>
  <c r="J175" i="5"/>
  <c r="J176" i="5"/>
  <c r="J177" i="5"/>
  <c r="J181" i="5"/>
  <c r="J182" i="5"/>
  <c r="J183" i="5"/>
  <c r="J189" i="5"/>
  <c r="J190" i="5"/>
  <c r="J191" i="5"/>
  <c r="J9" i="5"/>
  <c r="J10" i="5"/>
  <c r="J11" i="5"/>
  <c r="J12" i="5"/>
  <c r="J13" i="5"/>
  <c r="J14" i="5"/>
  <c r="J15" i="5"/>
  <c r="J16" i="5"/>
  <c r="J17" i="5"/>
  <c r="J18" i="5"/>
  <c r="J20" i="5"/>
  <c r="J21" i="5"/>
  <c r="J22" i="5"/>
  <c r="J23" i="5"/>
  <c r="J24" i="5"/>
  <c r="J5" i="5"/>
  <c r="J6" i="5"/>
  <c r="J7" i="5"/>
  <c r="J8" i="5"/>
  <c r="J4" i="5"/>
  <c r="H148" i="6" l="1"/>
  <c r="H46" i="6"/>
  <c r="H179" i="6"/>
  <c r="F191" i="6"/>
  <c r="H189" i="6"/>
  <c r="H72" i="6"/>
  <c r="E194" i="6"/>
  <c r="H29" i="6"/>
  <c r="H129" i="6"/>
  <c r="H98" i="6"/>
  <c r="H83" i="6"/>
  <c r="H61" i="6"/>
  <c r="H190" i="6"/>
  <c r="E191" i="6"/>
  <c r="H136" i="6"/>
  <c r="E193" i="6"/>
  <c r="H38" i="6"/>
  <c r="H97" i="5"/>
  <c r="I97" i="5"/>
  <c r="L93" i="5"/>
  <c r="L94" i="5"/>
  <c r="I59" i="5"/>
  <c r="H191" i="6" l="1"/>
  <c r="L56" i="5"/>
  <c r="L41" i="5"/>
  <c r="K106" i="5"/>
  <c r="K107" i="5"/>
  <c r="K110" i="5"/>
  <c r="K111" i="5"/>
  <c r="L110" i="5"/>
  <c r="L111" i="5"/>
  <c r="L133" i="5"/>
  <c r="I71" i="5"/>
  <c r="I25" i="5" l="1"/>
  <c r="I27" i="5"/>
  <c r="I26" i="5" l="1"/>
  <c r="H26" i="5"/>
  <c r="K18" i="5"/>
  <c r="L18" i="5"/>
  <c r="L16" i="5"/>
  <c r="K14" i="5"/>
  <c r="K12" i="5"/>
  <c r="L12" i="5"/>
  <c r="K10" i="5"/>
  <c r="L10" i="5"/>
  <c r="K183" i="5"/>
  <c r="H25" i="5"/>
  <c r="H27" i="5"/>
  <c r="H36" i="5"/>
  <c r="H37" i="5"/>
  <c r="H44" i="5"/>
  <c r="H45" i="5"/>
  <c r="H59" i="5"/>
  <c r="H60" i="5"/>
  <c r="H61" i="5"/>
  <c r="H71" i="5"/>
  <c r="H72" i="5"/>
  <c r="H73" i="5"/>
  <c r="H83" i="5"/>
  <c r="H84" i="5" s="1"/>
  <c r="H96" i="5"/>
  <c r="H118" i="5"/>
  <c r="H120" i="5"/>
  <c r="H127" i="5"/>
  <c r="H128" i="5"/>
  <c r="H136" i="5"/>
  <c r="H137" i="5" s="1"/>
  <c r="H148" i="5"/>
  <c r="H150" i="5"/>
  <c r="H184" i="5"/>
  <c r="H185" i="5"/>
  <c r="H186" i="5"/>
  <c r="H192" i="5"/>
  <c r="H194" i="5"/>
  <c r="H39" i="5" l="1"/>
  <c r="H74" i="5"/>
  <c r="H198" i="5"/>
  <c r="H130" i="5"/>
  <c r="H195" i="5"/>
  <c r="H28" i="5"/>
  <c r="H99" i="5"/>
  <c r="H187" i="5"/>
  <c r="H151" i="5"/>
  <c r="H121" i="5"/>
  <c r="H62" i="5"/>
  <c r="H47" i="5"/>
  <c r="H197" i="5"/>
  <c r="I194" i="5"/>
  <c r="I192" i="5"/>
  <c r="I184" i="5"/>
  <c r="I185" i="5"/>
  <c r="I186" i="5"/>
  <c r="I148" i="5"/>
  <c r="I150" i="5"/>
  <c r="I136" i="5"/>
  <c r="I127" i="5"/>
  <c r="I128" i="5"/>
  <c r="I120" i="5"/>
  <c r="I118" i="5"/>
  <c r="L106" i="5"/>
  <c r="L107" i="5"/>
  <c r="I96" i="5"/>
  <c r="I83" i="5"/>
  <c r="I72" i="5"/>
  <c r="I73" i="5"/>
  <c r="I60" i="5"/>
  <c r="I61" i="5"/>
  <c r="I44" i="5"/>
  <c r="I45" i="5"/>
  <c r="I36" i="5"/>
  <c r="K36" i="5" s="1"/>
  <c r="I37" i="5"/>
  <c r="L14" i="5"/>
  <c r="L15" i="5"/>
  <c r="L57" i="5"/>
  <c r="K123" i="5"/>
  <c r="K124" i="5"/>
  <c r="L101" i="5"/>
  <c r="I84" i="5" l="1"/>
  <c r="H202" i="5"/>
  <c r="H201" i="5"/>
  <c r="I74" i="5"/>
  <c r="I130" i="5"/>
  <c r="I121" i="5"/>
  <c r="I39" i="5"/>
  <c r="I195" i="5"/>
  <c r="I137" i="5"/>
  <c r="I198" i="5"/>
  <c r="I47" i="5"/>
  <c r="I99" i="5"/>
  <c r="I62" i="5"/>
  <c r="I151" i="5"/>
  <c r="I197" i="5"/>
  <c r="I28" i="5"/>
  <c r="H199" i="5"/>
  <c r="I187" i="5"/>
  <c r="L105" i="5"/>
  <c r="I199" i="5" l="1"/>
  <c r="K24" i="5"/>
  <c r="L24" i="5"/>
  <c r="L139" i="5"/>
  <c r="L140" i="5"/>
  <c r="L141" i="5"/>
  <c r="L142" i="5"/>
  <c r="L143" i="5"/>
  <c r="L144" i="5"/>
  <c r="L147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9" i="5"/>
  <c r="L172" i="5"/>
  <c r="L173" i="5"/>
  <c r="L174" i="5"/>
  <c r="L175" i="5"/>
  <c r="L176" i="5"/>
  <c r="L177" i="5"/>
  <c r="L181" i="5"/>
  <c r="L182" i="5"/>
  <c r="L183" i="5"/>
  <c r="L189" i="5"/>
  <c r="L190" i="5"/>
  <c r="L191" i="5"/>
  <c r="L103" i="5"/>
  <c r="L113" i="5"/>
  <c r="L114" i="5"/>
  <c r="L115" i="5"/>
  <c r="L116" i="5"/>
  <c r="L117" i="5"/>
  <c r="L123" i="5"/>
  <c r="L124" i="5"/>
  <c r="L125" i="5"/>
  <c r="L126" i="5"/>
  <c r="L132" i="5"/>
  <c r="L88" i="5"/>
  <c r="L89" i="5"/>
  <c r="L90" i="5"/>
  <c r="L91" i="5"/>
  <c r="L92" i="5"/>
  <c r="L78" i="5"/>
  <c r="L79" i="5"/>
  <c r="L80" i="5"/>
  <c r="L81" i="5"/>
  <c r="L82" i="5"/>
  <c r="L86" i="5"/>
  <c r="L87" i="5"/>
  <c r="L42" i="5"/>
  <c r="L43" i="5"/>
  <c r="L49" i="5"/>
  <c r="L50" i="5"/>
  <c r="L51" i="5"/>
  <c r="L52" i="5"/>
  <c r="L54" i="5"/>
  <c r="L55" i="5"/>
  <c r="L58" i="5"/>
  <c r="L65" i="5"/>
  <c r="L67" i="5"/>
  <c r="L68" i="5"/>
  <c r="L70" i="5"/>
  <c r="L30" i="5"/>
  <c r="L31" i="5"/>
  <c r="L32" i="5"/>
  <c r="L35" i="5"/>
  <c r="L38" i="5"/>
  <c r="L5" i="5"/>
  <c r="L6" i="5"/>
  <c r="L7" i="5"/>
  <c r="L8" i="5"/>
  <c r="L9" i="5"/>
  <c r="L11" i="5"/>
  <c r="L13" i="5"/>
  <c r="L17" i="5"/>
  <c r="L20" i="5"/>
  <c r="L21" i="5"/>
  <c r="L22" i="5"/>
  <c r="L23" i="5"/>
  <c r="L4" i="5"/>
  <c r="L45" i="5" l="1"/>
  <c r="L194" i="5"/>
  <c r="L150" i="5"/>
  <c r="L128" i="5"/>
  <c r="L73" i="5"/>
  <c r="L72" i="5"/>
  <c r="L120" i="5" l="1"/>
  <c r="L71" i="5"/>
  <c r="L96" i="5"/>
  <c r="L26" i="5" l="1"/>
  <c r="K4" i="5"/>
  <c r="K5" i="5"/>
  <c r="K6" i="5"/>
  <c r="K7" i="5"/>
  <c r="K8" i="5"/>
  <c r="K9" i="5"/>
  <c r="K11" i="5"/>
  <c r="K13" i="5"/>
  <c r="K16" i="5"/>
  <c r="K17" i="5"/>
  <c r="K20" i="5"/>
  <c r="K21" i="5"/>
  <c r="K22" i="5"/>
  <c r="K23" i="5"/>
  <c r="K26" i="5"/>
  <c r="K30" i="5"/>
  <c r="K31" i="5"/>
  <c r="K32" i="5"/>
  <c r="K35" i="5"/>
  <c r="K38" i="5"/>
  <c r="K41" i="5"/>
  <c r="K42" i="5"/>
  <c r="K43" i="5"/>
  <c r="K45" i="5"/>
  <c r="K49" i="5"/>
  <c r="K50" i="5"/>
  <c r="K51" i="5"/>
  <c r="K52" i="5"/>
  <c r="K54" i="5"/>
  <c r="K55" i="5"/>
  <c r="K56" i="5"/>
  <c r="K58" i="5"/>
  <c r="K65" i="5"/>
  <c r="K67" i="5"/>
  <c r="K68" i="5"/>
  <c r="K70" i="5"/>
  <c r="K71" i="5"/>
  <c r="K72" i="5"/>
  <c r="K73" i="5"/>
  <c r="K78" i="5"/>
  <c r="K79" i="5"/>
  <c r="K80" i="5"/>
  <c r="K81" i="5"/>
  <c r="K82" i="5"/>
  <c r="K86" i="5"/>
  <c r="K87" i="5"/>
  <c r="K88" i="5"/>
  <c r="K89" i="5"/>
  <c r="K90" i="5"/>
  <c r="K91" i="5"/>
  <c r="K92" i="5"/>
  <c r="K94" i="5"/>
  <c r="K96" i="5"/>
  <c r="K101" i="5"/>
  <c r="K103" i="5"/>
  <c r="K105" i="5"/>
  <c r="K113" i="5"/>
  <c r="K114" i="5"/>
  <c r="K115" i="5"/>
  <c r="K116" i="5"/>
  <c r="K117" i="5"/>
  <c r="K120" i="5"/>
  <c r="K125" i="5"/>
  <c r="K126" i="5"/>
  <c r="K128" i="5"/>
  <c r="K132" i="5"/>
  <c r="K133" i="5"/>
  <c r="K134" i="5"/>
  <c r="K135" i="5"/>
  <c r="K139" i="5"/>
  <c r="K140" i="5"/>
  <c r="K141" i="5"/>
  <c r="K142" i="5"/>
  <c r="K143" i="5"/>
  <c r="K144" i="5"/>
  <c r="K147" i="5"/>
  <c r="K150" i="5"/>
  <c r="K153" i="5"/>
  <c r="K154" i="5"/>
  <c r="K155" i="5"/>
  <c r="K156" i="5"/>
  <c r="K157" i="5"/>
  <c r="K158" i="5"/>
  <c r="K159" i="5"/>
  <c r="K160" i="5"/>
  <c r="K166" i="5"/>
  <c r="K169" i="5"/>
  <c r="K172" i="5"/>
  <c r="K173" i="5"/>
  <c r="K174" i="5"/>
  <c r="K175" i="5"/>
  <c r="K176" i="5"/>
  <c r="K177" i="5"/>
  <c r="K181" i="5"/>
  <c r="K182" i="5"/>
  <c r="K189" i="5"/>
  <c r="K190" i="5"/>
  <c r="K191" i="5"/>
  <c r="K194" i="5"/>
  <c r="K162" i="5"/>
  <c r="K163" i="5"/>
  <c r="K164" i="5"/>
  <c r="K165" i="5"/>
  <c r="K161" i="5"/>
  <c r="K93" i="5" l="1"/>
  <c r="L192" i="5"/>
  <c r="L186" i="5"/>
  <c r="L185" i="5"/>
  <c r="L184" i="5"/>
  <c r="L148" i="5"/>
  <c r="L136" i="5"/>
  <c r="L127" i="5"/>
  <c r="L118" i="5"/>
  <c r="L97" i="5"/>
  <c r="L84" i="5"/>
  <c r="L83" i="5"/>
  <c r="L74" i="5"/>
  <c r="L61" i="5"/>
  <c r="L60" i="5"/>
  <c r="L59" i="5"/>
  <c r="L44" i="5"/>
  <c r="L37" i="5"/>
  <c r="L36" i="5"/>
  <c r="L27" i="5"/>
  <c r="L25" i="5"/>
  <c r="L197" i="5" l="1"/>
  <c r="L198" i="5"/>
  <c r="L39" i="5"/>
  <c r="K37" i="5"/>
  <c r="K61" i="5"/>
  <c r="L99" i="5"/>
  <c r="K97" i="5"/>
  <c r="L137" i="5"/>
  <c r="K136" i="5"/>
  <c r="K186" i="5"/>
  <c r="K25" i="5"/>
  <c r="L47" i="5"/>
  <c r="K44" i="5"/>
  <c r="K74" i="5"/>
  <c r="L121" i="5"/>
  <c r="K118" i="5"/>
  <c r="L151" i="5"/>
  <c r="K148" i="5"/>
  <c r="L195" i="5"/>
  <c r="K192" i="5"/>
  <c r="K27" i="5"/>
  <c r="K59" i="5"/>
  <c r="K83" i="5"/>
  <c r="K127" i="5"/>
  <c r="L187" i="5"/>
  <c r="K184" i="5"/>
  <c r="K60" i="5"/>
  <c r="K84" i="5"/>
  <c r="L130" i="5"/>
  <c r="K185" i="5"/>
  <c r="L62" i="5"/>
  <c r="L28" i="5"/>
  <c r="K197" i="5" l="1"/>
  <c r="L199" i="5"/>
  <c r="K198" i="5"/>
  <c r="K121" i="5"/>
  <c r="K137" i="5"/>
  <c r="K28" i="5"/>
  <c r="K151" i="5"/>
  <c r="K47" i="5"/>
  <c r="K39" i="5"/>
  <c r="K62" i="5"/>
  <c r="K130" i="5"/>
  <c r="K195" i="5"/>
  <c r="K187" i="5"/>
  <c r="K99" i="5"/>
  <c r="K201" i="5" l="1"/>
  <c r="K202" i="5"/>
  <c r="K199" i="5"/>
  <c r="L174" i="4"/>
  <c r="L175" i="4"/>
  <c r="L176" i="4"/>
  <c r="L83" i="4"/>
  <c r="L84" i="4"/>
  <c r="M84" i="4" s="1"/>
  <c r="D57" i="4"/>
  <c r="M5" i="4"/>
  <c r="M6" i="4"/>
  <c r="M7" i="4"/>
  <c r="M8" i="4"/>
  <c r="M9" i="4"/>
  <c r="M10" i="4"/>
  <c r="M11" i="4"/>
  <c r="M12" i="4"/>
  <c r="M14" i="4"/>
  <c r="M16" i="4"/>
  <c r="M17" i="4"/>
  <c r="M18" i="4"/>
  <c r="M19" i="4"/>
  <c r="M21" i="4"/>
  <c r="M23" i="4"/>
  <c r="M27" i="4"/>
  <c r="M28" i="4"/>
  <c r="M29" i="4"/>
  <c r="M30" i="4"/>
  <c r="M36" i="4"/>
  <c r="M37" i="4"/>
  <c r="M38" i="4"/>
  <c r="M40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62" i="4"/>
  <c r="M64" i="4"/>
  <c r="M65" i="4"/>
  <c r="M67" i="4"/>
  <c r="M68" i="4"/>
  <c r="M69" i="4"/>
  <c r="M70" i="4"/>
  <c r="M75" i="4"/>
  <c r="M76" i="4"/>
  <c r="M77" i="4"/>
  <c r="M78" i="4"/>
  <c r="M79" i="4"/>
  <c r="M80" i="4"/>
  <c r="M86" i="4"/>
  <c r="M87" i="4"/>
  <c r="M88" i="4"/>
  <c r="M89" i="4"/>
  <c r="M90" i="4"/>
  <c r="M91" i="4"/>
  <c r="M92" i="4"/>
  <c r="M93" i="4"/>
  <c r="M95" i="4"/>
  <c r="M100" i="4"/>
  <c r="M106" i="4"/>
  <c r="M110" i="4"/>
  <c r="M111" i="4"/>
  <c r="M112" i="4"/>
  <c r="M113" i="4"/>
  <c r="M114" i="4"/>
  <c r="M117" i="4"/>
  <c r="M120" i="4"/>
  <c r="M121" i="4"/>
  <c r="M122" i="4"/>
  <c r="M123" i="4"/>
  <c r="M125" i="4"/>
  <c r="M129" i="4"/>
  <c r="M130" i="4"/>
  <c r="M136" i="4"/>
  <c r="M137" i="4"/>
  <c r="M138" i="4"/>
  <c r="M139" i="4"/>
  <c r="M140" i="4"/>
  <c r="M141" i="4"/>
  <c r="M142" i="4"/>
  <c r="M145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71" i="4"/>
  <c r="M172" i="4"/>
  <c r="M173" i="4"/>
  <c r="M179" i="4"/>
  <c r="M180" i="4"/>
  <c r="M181" i="4"/>
  <c r="M184" i="4"/>
  <c r="M4" i="4"/>
  <c r="L182" i="4"/>
  <c r="L143" i="4"/>
  <c r="L146" i="4" s="1"/>
  <c r="L133" i="4"/>
  <c r="L124" i="4"/>
  <c r="L127" i="4" s="1"/>
  <c r="L115" i="4"/>
  <c r="L118" i="4" s="1"/>
  <c r="L96" i="4"/>
  <c r="L98" i="4" s="1"/>
  <c r="L71" i="4"/>
  <c r="L39" i="4"/>
  <c r="L42" i="4" s="1"/>
  <c r="L189" i="4"/>
  <c r="L31" i="4"/>
  <c r="L22" i="4"/>
  <c r="L134" i="4" l="1"/>
  <c r="M134" i="4" s="1"/>
  <c r="L185" i="4"/>
  <c r="L177" i="4"/>
  <c r="L190" i="4"/>
  <c r="L60" i="4"/>
  <c r="M57" i="4"/>
  <c r="L34" i="4"/>
  <c r="L25" i="4"/>
  <c r="G194" i="5"/>
  <c r="G193" i="5"/>
  <c r="F192" i="5"/>
  <c r="E192" i="5"/>
  <c r="D192" i="5"/>
  <c r="G191" i="5"/>
  <c r="G190" i="5"/>
  <c r="G189" i="5"/>
  <c r="F186" i="5"/>
  <c r="E186" i="5"/>
  <c r="E198" i="5" s="1"/>
  <c r="D186" i="5"/>
  <c r="F185" i="5"/>
  <c r="E185" i="5"/>
  <c r="D185" i="5"/>
  <c r="F184" i="5"/>
  <c r="E184" i="5"/>
  <c r="D184" i="5"/>
  <c r="G183" i="5"/>
  <c r="G182" i="5"/>
  <c r="G181" i="5"/>
  <c r="G177" i="5"/>
  <c r="G176" i="5"/>
  <c r="G175" i="5"/>
  <c r="G174" i="5"/>
  <c r="G173" i="5"/>
  <c r="G172" i="5"/>
  <c r="G169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0" i="5"/>
  <c r="G149" i="5"/>
  <c r="F148" i="5"/>
  <c r="E148" i="5"/>
  <c r="D148" i="5"/>
  <c r="D151" i="5" s="1"/>
  <c r="G147" i="5"/>
  <c r="G144" i="5"/>
  <c r="G143" i="5"/>
  <c r="G142" i="5"/>
  <c r="G141" i="5"/>
  <c r="G140" i="5"/>
  <c r="G139" i="5"/>
  <c r="G137" i="5"/>
  <c r="F136" i="5"/>
  <c r="D136" i="5"/>
  <c r="G135" i="5"/>
  <c r="G134" i="5"/>
  <c r="G133" i="5"/>
  <c r="G132" i="5"/>
  <c r="G129" i="5"/>
  <c r="G128" i="5"/>
  <c r="F127" i="5"/>
  <c r="E127" i="5"/>
  <c r="E130" i="5" s="1"/>
  <c r="D127" i="5"/>
  <c r="D130" i="5" s="1"/>
  <c r="G126" i="5"/>
  <c r="G125" i="5"/>
  <c r="G124" i="5"/>
  <c r="G123" i="5"/>
  <c r="G120" i="5"/>
  <c r="G119" i="5"/>
  <c r="F118" i="5"/>
  <c r="E118" i="5"/>
  <c r="D118" i="5"/>
  <c r="D121" i="5" s="1"/>
  <c r="G117" i="5"/>
  <c r="G116" i="5"/>
  <c r="G115" i="5"/>
  <c r="G114" i="5"/>
  <c r="G113" i="5"/>
  <c r="G105" i="5"/>
  <c r="G103" i="5"/>
  <c r="G101" i="5"/>
  <c r="D97" i="5"/>
  <c r="G96" i="5"/>
  <c r="G95" i="5"/>
  <c r="G94" i="5"/>
  <c r="G92" i="5"/>
  <c r="G91" i="5"/>
  <c r="G90" i="5"/>
  <c r="G89" i="5"/>
  <c r="G88" i="5"/>
  <c r="G87" i="5"/>
  <c r="G86" i="5"/>
  <c r="G84" i="5"/>
  <c r="F83" i="5"/>
  <c r="D83" i="5"/>
  <c r="G82" i="5"/>
  <c r="G81" i="5"/>
  <c r="G80" i="5"/>
  <c r="G79" i="5"/>
  <c r="G78" i="5"/>
  <c r="F74" i="5"/>
  <c r="E74" i="5"/>
  <c r="D74" i="5"/>
  <c r="G73" i="5"/>
  <c r="G72" i="5"/>
  <c r="G71" i="5"/>
  <c r="G70" i="5"/>
  <c r="G68" i="5"/>
  <c r="G67" i="5"/>
  <c r="G65" i="5"/>
  <c r="F61" i="5"/>
  <c r="D61" i="5"/>
  <c r="F60" i="5"/>
  <c r="E60" i="5"/>
  <c r="D60" i="5"/>
  <c r="F59" i="5"/>
  <c r="E59" i="5"/>
  <c r="G58" i="5"/>
  <c r="G57" i="5"/>
  <c r="G56" i="5"/>
  <c r="G55" i="5"/>
  <c r="G54" i="5"/>
  <c r="G53" i="5"/>
  <c r="G52" i="5"/>
  <c r="G51" i="5"/>
  <c r="G50" i="5"/>
  <c r="G49" i="5"/>
  <c r="G46" i="5"/>
  <c r="G45" i="5"/>
  <c r="F44" i="5"/>
  <c r="F47" i="5" s="1"/>
  <c r="E44" i="5"/>
  <c r="E47" i="5" s="1"/>
  <c r="D44" i="5"/>
  <c r="D47" i="5" s="1"/>
  <c r="G43" i="5"/>
  <c r="G42" i="5"/>
  <c r="G41" i="5"/>
  <c r="G38" i="5"/>
  <c r="F37" i="5"/>
  <c r="E37" i="5"/>
  <c r="D37" i="5"/>
  <c r="F36" i="5"/>
  <c r="E36" i="5"/>
  <c r="D36" i="5"/>
  <c r="G35" i="5"/>
  <c r="G32" i="5"/>
  <c r="G31" i="5"/>
  <c r="G30" i="5"/>
  <c r="F27" i="5"/>
  <c r="G26" i="5"/>
  <c r="F25" i="5"/>
  <c r="E25" i="5"/>
  <c r="E28" i="5" s="1"/>
  <c r="D25" i="5"/>
  <c r="D28" i="5" s="1"/>
  <c r="G23" i="5"/>
  <c r="G22" i="5"/>
  <c r="G21" i="5"/>
  <c r="G20" i="5"/>
  <c r="G17" i="5"/>
  <c r="G16" i="5"/>
  <c r="G13" i="5"/>
  <c r="G11" i="5"/>
  <c r="G9" i="5"/>
  <c r="G8" i="5"/>
  <c r="G7" i="5"/>
  <c r="G6" i="5"/>
  <c r="G5" i="5"/>
  <c r="G4" i="5"/>
  <c r="E39" i="5" l="1"/>
  <c r="F28" i="5"/>
  <c r="E62" i="5"/>
  <c r="D39" i="5"/>
  <c r="D198" i="5"/>
  <c r="D195" i="5"/>
  <c r="D197" i="5"/>
  <c r="E197" i="5"/>
  <c r="E199" i="5" s="1"/>
  <c r="D99" i="5"/>
  <c r="F198" i="5"/>
  <c r="F197" i="5"/>
  <c r="F199" i="5" s="1"/>
  <c r="G27" i="5"/>
  <c r="F121" i="5"/>
  <c r="F151" i="5"/>
  <c r="G99" i="5"/>
  <c r="G136" i="5"/>
  <c r="G47" i="5"/>
  <c r="G60" i="5"/>
  <c r="L191" i="4"/>
  <c r="F187" i="5"/>
  <c r="G192" i="5"/>
  <c r="D62" i="5"/>
  <c r="G37" i="5"/>
  <c r="G61" i="5"/>
  <c r="G185" i="5"/>
  <c r="F62" i="5"/>
  <c r="F39" i="5"/>
  <c r="G74" i="5"/>
  <c r="G118" i="5"/>
  <c r="G186" i="5"/>
  <c r="F195" i="5"/>
  <c r="G25" i="5"/>
  <c r="G36" i="5"/>
  <c r="G59" i="5"/>
  <c r="G83" i="5"/>
  <c r="G97" i="5"/>
  <c r="E187" i="5"/>
  <c r="G127" i="5"/>
  <c r="F130" i="5"/>
  <c r="D187" i="5"/>
  <c r="G148" i="5"/>
  <c r="G184" i="5"/>
  <c r="G44" i="5"/>
  <c r="G28" i="5" l="1"/>
  <c r="D199" i="5"/>
  <c r="G198" i="5"/>
  <c r="G197" i="5"/>
  <c r="G199" i="5"/>
  <c r="G121" i="5"/>
  <c r="G151" i="5"/>
  <c r="G130" i="5"/>
  <c r="G195" i="5"/>
  <c r="G39" i="5"/>
  <c r="G62" i="5"/>
  <c r="G187" i="5"/>
  <c r="F63" i="3"/>
  <c r="F64" i="3"/>
  <c r="F65" i="3"/>
  <c r="F66" i="3"/>
  <c r="F67" i="3"/>
  <c r="F68" i="3"/>
  <c r="F69" i="3"/>
  <c r="F127" i="3"/>
  <c r="F128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95" i="3"/>
  <c r="F96" i="3"/>
  <c r="F97" i="3"/>
  <c r="F98" i="3"/>
  <c r="F99" i="3"/>
  <c r="F100" i="3"/>
  <c r="F92" i="3"/>
  <c r="F87" i="3"/>
  <c r="F88" i="3"/>
  <c r="F89" i="3"/>
  <c r="F79" i="3"/>
  <c r="F80" i="3"/>
  <c r="F81" i="3"/>
  <c r="F82" i="3"/>
  <c r="F74" i="3"/>
  <c r="F76" i="3"/>
  <c r="F50" i="3"/>
  <c r="F51" i="3"/>
  <c r="F32" i="3"/>
  <c r="F33" i="3"/>
  <c r="F44" i="3"/>
  <c r="F24" i="3"/>
  <c r="F25" i="3"/>
  <c r="F26" i="3"/>
  <c r="F23" i="3"/>
  <c r="F5" i="3"/>
  <c r="F6" i="3"/>
  <c r="F7" i="3"/>
  <c r="F8" i="3"/>
  <c r="F9" i="3"/>
  <c r="F10" i="3"/>
  <c r="F11" i="3"/>
  <c r="F12" i="3"/>
  <c r="F13" i="3"/>
  <c r="F16" i="3"/>
  <c r="F17" i="3"/>
  <c r="F18" i="3"/>
  <c r="F19" i="3"/>
  <c r="F21" i="3"/>
  <c r="K106" i="4"/>
  <c r="K102" i="4"/>
  <c r="K183" i="4"/>
  <c r="K184" i="4"/>
  <c r="K181" i="4"/>
  <c r="K180" i="4"/>
  <c r="K142" i="4"/>
  <c r="K144" i="4"/>
  <c r="K145" i="4"/>
  <c r="K130" i="4"/>
  <c r="K131" i="4"/>
  <c r="K132" i="4"/>
  <c r="K134" i="4"/>
  <c r="K125" i="4"/>
  <c r="K126" i="4"/>
  <c r="K114" i="4"/>
  <c r="K116" i="4"/>
  <c r="K117" i="4"/>
  <c r="K95" i="4"/>
  <c r="K79" i="4"/>
  <c r="K80" i="4"/>
  <c r="K81" i="4"/>
  <c r="K82" i="4"/>
  <c r="K68" i="4"/>
  <c r="K69" i="4"/>
  <c r="K70" i="4"/>
  <c r="K52" i="4"/>
  <c r="K53" i="4"/>
  <c r="K54" i="4"/>
  <c r="K55" i="4"/>
  <c r="K56" i="4"/>
  <c r="K40" i="4"/>
  <c r="K41" i="4"/>
  <c r="K33" i="4"/>
  <c r="K30" i="4"/>
  <c r="K14" i="4"/>
  <c r="K16" i="4"/>
  <c r="K17" i="4"/>
  <c r="K18" i="4"/>
  <c r="K19" i="4"/>
  <c r="K21" i="4"/>
  <c r="K23" i="4"/>
  <c r="J96" i="4"/>
  <c r="J57" i="4"/>
  <c r="J58" i="4"/>
  <c r="I96" i="4"/>
  <c r="I98" i="4" s="1"/>
  <c r="I57" i="4"/>
  <c r="K57" i="4" l="1"/>
  <c r="K96" i="4"/>
  <c r="J176" i="4" l="1"/>
  <c r="I176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71" i="4"/>
  <c r="K172" i="4"/>
  <c r="K173" i="4"/>
  <c r="K148" i="4"/>
  <c r="D174" i="4"/>
  <c r="M174" i="4" s="1"/>
  <c r="D176" i="4"/>
  <c r="M176" i="4" s="1"/>
  <c r="M175" i="4"/>
  <c r="J98" i="4"/>
  <c r="K98" i="4" s="1"/>
  <c r="K87" i="4"/>
  <c r="K88" i="4"/>
  <c r="K89" i="4"/>
  <c r="K90" i="4"/>
  <c r="K91" i="4"/>
  <c r="K92" i="4"/>
  <c r="K93" i="4"/>
  <c r="K94" i="4"/>
  <c r="K86" i="4"/>
  <c r="J118" i="4"/>
  <c r="D115" i="4"/>
  <c r="K111" i="4"/>
  <c r="K112" i="4"/>
  <c r="K113" i="4"/>
  <c r="K110" i="4"/>
  <c r="K100" i="4"/>
  <c r="F182" i="4"/>
  <c r="H182" i="4"/>
  <c r="I182" i="4"/>
  <c r="J182" i="4"/>
  <c r="J185" i="4" s="1"/>
  <c r="K185" i="4" s="1"/>
  <c r="D182" i="4"/>
  <c r="K179" i="4"/>
  <c r="J83" i="4"/>
  <c r="J84" i="4" s="1"/>
  <c r="I83" i="4"/>
  <c r="I84" i="4" s="1"/>
  <c r="D83" i="4"/>
  <c r="K76" i="4"/>
  <c r="K77" i="4"/>
  <c r="K78" i="4"/>
  <c r="K75" i="4"/>
  <c r="E71" i="4"/>
  <c r="F71" i="4"/>
  <c r="G71" i="4"/>
  <c r="H71" i="4"/>
  <c r="I71" i="4"/>
  <c r="J71" i="4"/>
  <c r="D71" i="4"/>
  <c r="M71" i="4" s="1"/>
  <c r="K65" i="4"/>
  <c r="K67" i="4"/>
  <c r="K64" i="4"/>
  <c r="J146" i="4"/>
  <c r="K146" i="4" s="1"/>
  <c r="F143" i="4"/>
  <c r="H143" i="4"/>
  <c r="J133" i="4"/>
  <c r="D133" i="4"/>
  <c r="M133" i="4" s="1"/>
  <c r="K137" i="4"/>
  <c r="K138" i="4"/>
  <c r="K139" i="4"/>
  <c r="K140" i="4"/>
  <c r="K141" i="4"/>
  <c r="K136" i="4"/>
  <c r="F124" i="4"/>
  <c r="F127" i="4" s="1"/>
  <c r="H124" i="4"/>
  <c r="H127" i="4" s="1"/>
  <c r="I124" i="4"/>
  <c r="J124" i="4"/>
  <c r="J127" i="4" s="1"/>
  <c r="D124" i="4"/>
  <c r="K121" i="4"/>
  <c r="K122" i="4"/>
  <c r="K123" i="4"/>
  <c r="K120" i="4"/>
  <c r="K62" i="4"/>
  <c r="I59" i="4"/>
  <c r="J59" i="4"/>
  <c r="I58" i="4"/>
  <c r="M59" i="4"/>
  <c r="D58" i="4"/>
  <c r="M58" i="4" s="1"/>
  <c r="J31" i="4"/>
  <c r="J39" i="4"/>
  <c r="J42" i="4" s="1"/>
  <c r="I39" i="4"/>
  <c r="I32" i="4"/>
  <c r="I31" i="4"/>
  <c r="K46" i="4"/>
  <c r="K47" i="4"/>
  <c r="K48" i="4"/>
  <c r="K49" i="4"/>
  <c r="K50" i="4"/>
  <c r="K51" i="4"/>
  <c r="K129" i="4"/>
  <c r="K37" i="4"/>
  <c r="K38" i="4"/>
  <c r="K36" i="4"/>
  <c r="D39" i="4"/>
  <c r="D32" i="4"/>
  <c r="D31" i="4"/>
  <c r="M31" i="4" s="1"/>
  <c r="K28" i="4"/>
  <c r="K29" i="4"/>
  <c r="K27" i="4"/>
  <c r="K5" i="4"/>
  <c r="K6" i="4"/>
  <c r="K7" i="4"/>
  <c r="K8" i="4"/>
  <c r="K9" i="4"/>
  <c r="K10" i="4"/>
  <c r="K11" i="4"/>
  <c r="K12" i="4"/>
  <c r="K4" i="4"/>
  <c r="D25" i="4"/>
  <c r="M25" i="4" s="1"/>
  <c r="M24" i="4"/>
  <c r="D22" i="4"/>
  <c r="K84" i="4" l="1"/>
  <c r="K118" i="4"/>
  <c r="M83" i="4"/>
  <c r="D190" i="4"/>
  <c r="M190" i="4" s="1"/>
  <c r="M22" i="4"/>
  <c r="D189" i="4"/>
  <c r="K133" i="4"/>
  <c r="J190" i="4"/>
  <c r="M32" i="4"/>
  <c r="M189" i="4"/>
  <c r="K32" i="4"/>
  <c r="D146" i="4"/>
  <c r="M146" i="4" s="1"/>
  <c r="M143" i="4"/>
  <c r="D118" i="4"/>
  <c r="M118" i="4" s="1"/>
  <c r="M115" i="4"/>
  <c r="D98" i="4"/>
  <c r="M98" i="4" s="1"/>
  <c r="M96" i="4"/>
  <c r="D42" i="4"/>
  <c r="M42" i="4" s="1"/>
  <c r="M39" i="4"/>
  <c r="D127" i="4"/>
  <c r="M127" i="4" s="1"/>
  <c r="M124" i="4"/>
  <c r="D185" i="4"/>
  <c r="M185" i="4" s="1"/>
  <c r="M182" i="4"/>
  <c r="K71" i="4"/>
  <c r="J189" i="4"/>
  <c r="K143" i="4"/>
  <c r="K115" i="4"/>
  <c r="D177" i="4"/>
  <c r="M177" i="4" s="1"/>
  <c r="K83" i="4"/>
  <c r="K58" i="4"/>
  <c r="I60" i="4"/>
  <c r="K22" i="4"/>
  <c r="K25" i="4" s="1"/>
  <c r="I189" i="4"/>
  <c r="K175" i="4"/>
  <c r="I177" i="4"/>
  <c r="K174" i="4"/>
  <c r="K24" i="4"/>
  <c r="I42" i="4"/>
  <c r="K42" i="4" s="1"/>
  <c r="K39" i="4"/>
  <c r="K59" i="4"/>
  <c r="I190" i="4"/>
  <c r="I127" i="4"/>
  <c r="K124" i="4"/>
  <c r="K31" i="4"/>
  <c r="J177" i="4"/>
  <c r="J194" i="4" s="1"/>
  <c r="K182" i="4"/>
  <c r="K176" i="4"/>
  <c r="J25" i="4"/>
  <c r="J34" i="4"/>
  <c r="D60" i="4"/>
  <c r="M60" i="4" s="1"/>
  <c r="J60" i="4"/>
  <c r="I34" i="4"/>
  <c r="I193" i="4" s="1"/>
  <c r="D34" i="4"/>
  <c r="M34" i="4" s="1"/>
  <c r="F126" i="3"/>
  <c r="F102" i="3"/>
  <c r="F94" i="3"/>
  <c r="F91" i="3"/>
  <c r="F86" i="3"/>
  <c r="F78" i="3"/>
  <c r="F72" i="3"/>
  <c r="F62" i="3"/>
  <c r="F56" i="3"/>
  <c r="F57" i="3"/>
  <c r="F58" i="3"/>
  <c r="F55" i="3"/>
  <c r="F46" i="3"/>
  <c r="F29" i="3"/>
  <c r="F30" i="3"/>
  <c r="F28" i="3"/>
  <c r="K127" i="4" l="1"/>
  <c r="I194" i="4"/>
  <c r="I195" i="4" s="1"/>
  <c r="J193" i="4"/>
  <c r="J195" i="4" s="1"/>
  <c r="J191" i="4"/>
  <c r="D191" i="4"/>
  <c r="M191" i="4" s="1"/>
  <c r="K189" i="4"/>
  <c r="K190" i="4"/>
  <c r="K34" i="4"/>
  <c r="K177" i="4"/>
  <c r="K60" i="4"/>
  <c r="I191" i="4"/>
  <c r="K191" i="4" l="1"/>
  <c r="E171" i="4"/>
  <c r="G171" i="4"/>
  <c r="E50" i="4" l="1"/>
  <c r="G50" i="4"/>
  <c r="E49" i="4"/>
  <c r="G49" i="4"/>
  <c r="E48" i="4"/>
  <c r="G48" i="4"/>
  <c r="G180" i="4" l="1"/>
  <c r="E180" i="4"/>
  <c r="G179" i="4"/>
  <c r="E17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23" i="4"/>
  <c r="E123" i="4"/>
  <c r="G121" i="4"/>
  <c r="E121" i="4"/>
  <c r="G120" i="4"/>
  <c r="E120" i="4"/>
  <c r="G113" i="4"/>
  <c r="E113" i="4"/>
  <c r="G112" i="4"/>
  <c r="E112" i="4"/>
  <c r="G111" i="4"/>
  <c r="E111" i="4"/>
  <c r="G110" i="4"/>
  <c r="E110" i="4"/>
  <c r="G102" i="4"/>
  <c r="E102" i="4"/>
  <c r="G100" i="4"/>
  <c r="E100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65" i="4"/>
  <c r="E65" i="4"/>
  <c r="G64" i="4"/>
  <c r="E64" i="4"/>
  <c r="G62" i="4"/>
  <c r="E62" i="4"/>
  <c r="G47" i="4"/>
  <c r="E47" i="4"/>
  <c r="G46" i="4"/>
  <c r="E46" i="4"/>
  <c r="G45" i="4"/>
  <c r="E45" i="4"/>
  <c r="G44" i="4"/>
  <c r="E44" i="4"/>
  <c r="G38" i="4"/>
  <c r="E38" i="4"/>
  <c r="G37" i="4"/>
  <c r="E37" i="4"/>
  <c r="G36" i="4"/>
  <c r="E36" i="4"/>
  <c r="H30" i="4"/>
  <c r="G29" i="4"/>
  <c r="E29" i="4"/>
  <c r="G28" i="4"/>
  <c r="E28" i="4"/>
  <c r="G27" i="4"/>
  <c r="E27" i="4"/>
  <c r="G14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E143" i="4" l="1"/>
  <c r="G124" i="4"/>
  <c r="G127" i="4" s="1"/>
  <c r="G182" i="4"/>
  <c r="E124" i="4"/>
  <c r="E127" i="4" s="1"/>
  <c r="G143" i="4"/>
  <c r="E182" i="4"/>
  <c r="F190" i="4"/>
  <c r="H190" i="4"/>
  <c r="H189" i="4"/>
  <c r="H191" i="4" l="1"/>
  <c r="F189" i="4"/>
  <c r="F191" i="4" s="1"/>
  <c r="G190" i="4" s="1"/>
  <c r="G189" i="4" l="1"/>
</calcChain>
</file>

<file path=xl/sharedStrings.xml><?xml version="1.0" encoding="utf-8"?>
<sst xmlns="http://schemas.openxmlformats.org/spreadsheetml/2006/main" count="1280" uniqueCount="275">
  <si>
    <t>Varietal</t>
  </si>
  <si>
    <t>Source</t>
  </si>
  <si>
    <t>Chardonnay</t>
  </si>
  <si>
    <t>QGV</t>
  </si>
  <si>
    <t>PAT</t>
  </si>
  <si>
    <t>MRT</t>
  </si>
  <si>
    <t>OSO</t>
  </si>
  <si>
    <t>Contract</t>
  </si>
  <si>
    <t>Non-Contract</t>
  </si>
  <si>
    <t>Total</t>
  </si>
  <si>
    <t>F1B2</t>
  </si>
  <si>
    <t>F2B4</t>
  </si>
  <si>
    <t>F2B5</t>
  </si>
  <si>
    <t>Chasselas</t>
  </si>
  <si>
    <t>F3B4</t>
  </si>
  <si>
    <t>Chenin Blanc</t>
  </si>
  <si>
    <t>F4B1</t>
  </si>
  <si>
    <t>Gewurztraminer</t>
  </si>
  <si>
    <t>F5B1</t>
  </si>
  <si>
    <t>Optima</t>
  </si>
  <si>
    <t>F5B2</t>
  </si>
  <si>
    <t>Pinot Blanc</t>
  </si>
  <si>
    <t>F5B3</t>
  </si>
  <si>
    <t>Pinot Gris</t>
  </si>
  <si>
    <t>F5B4</t>
  </si>
  <si>
    <t>Sauvignon Blanc</t>
  </si>
  <si>
    <t>Total White</t>
  </si>
  <si>
    <t>Cabernet Sauvignon</t>
  </si>
  <si>
    <t>Foch</t>
  </si>
  <si>
    <t>F1B7</t>
  </si>
  <si>
    <t>Merlot</t>
  </si>
  <si>
    <t>F2B3</t>
  </si>
  <si>
    <t>F3B3</t>
  </si>
  <si>
    <t>Pinot Noir</t>
  </si>
  <si>
    <t>Syrah</t>
  </si>
  <si>
    <t>Total Red</t>
  </si>
  <si>
    <t>F2B6</t>
  </si>
  <si>
    <t>F1B3</t>
  </si>
  <si>
    <t>B3</t>
  </si>
  <si>
    <t>F5B8/9</t>
  </si>
  <si>
    <t>B1-4</t>
  </si>
  <si>
    <t>Turton</t>
  </si>
  <si>
    <t>Anders</t>
  </si>
  <si>
    <t>Large</t>
  </si>
  <si>
    <t>F1B5</t>
  </si>
  <si>
    <t>F2B9</t>
  </si>
  <si>
    <t>Drought</t>
  </si>
  <si>
    <t>DeRosa</t>
  </si>
  <si>
    <t>Riesling and Icewine</t>
  </si>
  <si>
    <t>F1B4</t>
  </si>
  <si>
    <t>F2B1</t>
  </si>
  <si>
    <t>F2B2</t>
  </si>
  <si>
    <t>F3B1</t>
  </si>
  <si>
    <t>F3B2</t>
  </si>
  <si>
    <t>F3B5</t>
  </si>
  <si>
    <t>B1,2,4</t>
  </si>
  <si>
    <t>F1B6</t>
  </si>
  <si>
    <t>F1B1</t>
  </si>
  <si>
    <t>F4B5</t>
  </si>
  <si>
    <t>F4B6</t>
  </si>
  <si>
    <t>F5B7</t>
  </si>
  <si>
    <t>F4B4</t>
  </si>
  <si>
    <t>Gamay Noir</t>
  </si>
  <si>
    <t>F2B7</t>
  </si>
  <si>
    <t>F2B8</t>
  </si>
  <si>
    <t>F6B1/2</t>
  </si>
  <si>
    <t>F3B6</t>
  </si>
  <si>
    <t>F3B7</t>
  </si>
  <si>
    <t>F3B8</t>
  </si>
  <si>
    <t>F4B2</t>
  </si>
  <si>
    <t>F4B3</t>
  </si>
  <si>
    <t>F4B7</t>
  </si>
  <si>
    <t>F4B8</t>
  </si>
  <si>
    <t>F4B9</t>
  </si>
  <si>
    <t>F4B10</t>
  </si>
  <si>
    <t>F4B11</t>
  </si>
  <si>
    <t>F5B5</t>
  </si>
  <si>
    <t>F5B6</t>
  </si>
  <si>
    <t>2012 Actual</t>
  </si>
  <si>
    <t>Bartel</t>
  </si>
  <si>
    <t>Icewine</t>
  </si>
  <si>
    <t>2011 Actual</t>
  </si>
  <si>
    <t>Acres</t>
  </si>
  <si>
    <t>T/Acr</t>
  </si>
  <si>
    <t>Lease - BFV</t>
  </si>
  <si>
    <t>B2</t>
  </si>
  <si>
    <t>Lease - MAN</t>
  </si>
  <si>
    <t>Constellation</t>
  </si>
  <si>
    <t>B1</t>
  </si>
  <si>
    <t>Lease - MRT</t>
  </si>
  <si>
    <t>B3-5</t>
  </si>
  <si>
    <t>Seven Mtns</t>
  </si>
  <si>
    <t>Greata Ranch</t>
  </si>
  <si>
    <t>Muller Thurgau</t>
  </si>
  <si>
    <t>QG Owned: QG, Boucherie Mountain Vineyards, Patricia, Osoyoos</t>
  </si>
  <si>
    <t>QG Lease - Managed: Mannhardt, Martyna, Blue Fox, Illig, Westpoint</t>
  </si>
  <si>
    <t xml:space="preserve">QG Contracted: Anders, Drought, DeRosa, 7 Mountains, Petretta (Lakeshore), Turton, Large, Greata, Bartel </t>
  </si>
  <si>
    <t xml:space="preserve">Grand Total </t>
  </si>
  <si>
    <t>SHV - Musque</t>
  </si>
  <si>
    <t>Sylvan Heights (SHV)</t>
  </si>
  <si>
    <t>Joyce Prowse</t>
  </si>
  <si>
    <t>Doug Deshner</t>
  </si>
  <si>
    <t>Culos</t>
  </si>
  <si>
    <t>Viognier</t>
  </si>
  <si>
    <t>DCV</t>
  </si>
  <si>
    <t>Tons</t>
  </si>
  <si>
    <t>(T/Acre)</t>
  </si>
  <si>
    <t>Actual (Tons)</t>
  </si>
  <si>
    <t>x</t>
  </si>
  <si>
    <t xml:space="preserve">Sylvan Heights </t>
  </si>
  <si>
    <t>Sylvan Heights  - Musque</t>
  </si>
  <si>
    <t>traded GRV</t>
  </si>
  <si>
    <r>
      <rPr>
        <b/>
        <sz val="11"/>
        <color theme="1"/>
        <rFont val="Calibri"/>
        <family val="2"/>
      </rPr>
      <t>Δ 2013-2014</t>
    </r>
    <r>
      <rPr>
        <b/>
        <sz val="11"/>
        <color theme="1"/>
        <rFont val="Calibri"/>
        <family val="2"/>
        <scheme val="minor"/>
      </rPr>
      <t xml:space="preserve"> </t>
    </r>
  </si>
  <si>
    <t>Peller</t>
  </si>
  <si>
    <t>Total QGV</t>
  </si>
  <si>
    <t xml:space="preserve">Lease </t>
  </si>
  <si>
    <t>Total Contract</t>
  </si>
  <si>
    <t xml:space="preserve">Total </t>
  </si>
  <si>
    <t xml:space="preserve">Total Lease </t>
  </si>
  <si>
    <t>Total Lease</t>
  </si>
  <si>
    <t>Lease</t>
  </si>
  <si>
    <t>Dick Cleave</t>
  </si>
  <si>
    <t>Grand Total Contract</t>
  </si>
  <si>
    <t>Grand Total QG &amp; Lease</t>
  </si>
  <si>
    <t>MAN- Lease</t>
  </si>
  <si>
    <t>Estimated (Tons)</t>
  </si>
  <si>
    <t>Estimated (T/acre)</t>
  </si>
  <si>
    <t>Gew- target 5T/acre, drop growers</t>
  </si>
  <si>
    <t>Pinot blanc- target 5T/acre</t>
  </si>
  <si>
    <t>Pinot gris- target 4-5T/acre</t>
  </si>
  <si>
    <t>Merlot- target 3.5-4T/acre</t>
  </si>
  <si>
    <t>Pinot noir- target 3.5-4 T/acre</t>
  </si>
  <si>
    <t>2015 Estimated (Tons)</t>
  </si>
  <si>
    <t>Icewine (B4?)</t>
  </si>
  <si>
    <t xml:space="preserve">Red Total </t>
  </si>
  <si>
    <t>White Total</t>
  </si>
  <si>
    <t>Δ Actual - Target</t>
  </si>
  <si>
    <r>
      <t xml:space="preserve">% </t>
    </r>
    <r>
      <rPr>
        <sz val="11"/>
        <color theme="1"/>
        <rFont val="Calibri"/>
        <family val="2"/>
      </rPr>
      <t>Δ Actual-Target</t>
    </r>
  </si>
  <si>
    <t>Contact</t>
  </si>
  <si>
    <t>˚Brix</t>
  </si>
  <si>
    <t>pH</t>
  </si>
  <si>
    <t xml:space="preserve">TA </t>
  </si>
  <si>
    <t>Auxerrious</t>
  </si>
  <si>
    <t>F5B1 Lower</t>
  </si>
  <si>
    <t>F5B1 Upper</t>
  </si>
  <si>
    <t>F5B2 Lower</t>
  </si>
  <si>
    <t>F5B2 Upper</t>
  </si>
  <si>
    <t>F5B3 Lower</t>
  </si>
  <si>
    <t>F5B3 Upper</t>
  </si>
  <si>
    <t>F5B4 Lower</t>
  </si>
  <si>
    <t>F5B4 Upper</t>
  </si>
  <si>
    <t>F2B10</t>
  </si>
  <si>
    <t>Cabernet franc</t>
  </si>
  <si>
    <t xml:space="preserve">Contract </t>
  </si>
  <si>
    <t>(BA)</t>
  </si>
  <si>
    <t>F2&amp;3</t>
  </si>
  <si>
    <t>tons/acre</t>
  </si>
  <si>
    <t>YAN</t>
  </si>
  <si>
    <t>GDD</t>
  </si>
  <si>
    <t>Gamay Rose</t>
  </si>
  <si>
    <t>PN</t>
  </si>
  <si>
    <r>
      <t xml:space="preserve">% </t>
    </r>
    <r>
      <rPr>
        <sz val="8"/>
        <color theme="1"/>
        <rFont val="Calibri"/>
        <family val="2"/>
      </rPr>
      <t>Δ Actual-Target</t>
    </r>
  </si>
  <si>
    <t>White</t>
  </si>
  <si>
    <t>Red</t>
  </si>
  <si>
    <t>Ravaz</t>
  </si>
  <si>
    <t>Avg. Cane</t>
  </si>
  <si>
    <t>wt (g)</t>
  </si>
  <si>
    <t>Drought-Rose</t>
  </si>
  <si>
    <t>Drought-PN</t>
  </si>
  <si>
    <t>upper</t>
  </si>
  <si>
    <t>lower</t>
  </si>
  <si>
    <t>F6B1</t>
  </si>
  <si>
    <t>F6B2</t>
  </si>
  <si>
    <t>F1B3 (Clean)</t>
  </si>
  <si>
    <t>F1B3 (BA)</t>
  </si>
  <si>
    <t>UPPER</t>
  </si>
  <si>
    <t>LOWER</t>
  </si>
  <si>
    <t>Westpoint</t>
  </si>
  <si>
    <t>Blocks 1-4</t>
  </si>
  <si>
    <t>Illig</t>
  </si>
  <si>
    <t>Block 7</t>
  </si>
  <si>
    <t>Block 1</t>
  </si>
  <si>
    <t>Westpoint- PM</t>
  </si>
  <si>
    <t>Westpoint- PN</t>
  </si>
  <si>
    <t>Ehrenfelser</t>
  </si>
  <si>
    <t>Lease- MAN</t>
  </si>
  <si>
    <t>Varietal Totals</t>
  </si>
  <si>
    <t>Straw</t>
  </si>
  <si>
    <t>Update:Nov 17 2016</t>
  </si>
  <si>
    <t>Lease-MANN</t>
  </si>
  <si>
    <t>B2-4</t>
  </si>
  <si>
    <t>B1-3</t>
  </si>
  <si>
    <t>Lease-Ilig</t>
  </si>
  <si>
    <t>Cabernet Franc</t>
  </si>
  <si>
    <t>F2B5,B6, B7, B8</t>
  </si>
  <si>
    <t>Lease - WP</t>
  </si>
  <si>
    <t>B5&amp;6</t>
  </si>
  <si>
    <t>Lease - WP-PM</t>
  </si>
  <si>
    <t>B7</t>
  </si>
  <si>
    <t>Lease-WP</t>
  </si>
  <si>
    <t>B8</t>
  </si>
  <si>
    <t>Chard- averaging no more than 5.5T/acre or less</t>
  </si>
  <si>
    <t>Lease- WP</t>
  </si>
  <si>
    <t>Lease-ILIG</t>
  </si>
  <si>
    <t xml:space="preserve">B2 </t>
  </si>
  <si>
    <t>Riesling- no icewine, target 4-5T/acre</t>
  </si>
  <si>
    <t>B5-6</t>
  </si>
  <si>
    <t>B7-Meunier</t>
  </si>
  <si>
    <r>
      <rPr>
        <b/>
        <sz val="11"/>
        <color theme="1"/>
        <rFont val="Calibri"/>
        <family val="2"/>
      </rPr>
      <t>Δ 2014-2015</t>
    </r>
    <r>
      <rPr>
        <b/>
        <sz val="11"/>
        <color theme="1"/>
        <rFont val="Calibri"/>
        <family val="2"/>
        <scheme val="minor"/>
      </rPr>
      <t xml:space="preserve"> </t>
    </r>
  </si>
  <si>
    <t>Cab Sauv - target 3.5-4T/acre</t>
  </si>
  <si>
    <t>3.73T/ac</t>
  </si>
  <si>
    <t>3.03T/ac</t>
  </si>
  <si>
    <t>6.2T/ac</t>
  </si>
  <si>
    <t>8.4T/ac</t>
  </si>
  <si>
    <t>7.3T/ac</t>
  </si>
  <si>
    <t>5.2T/ac</t>
  </si>
  <si>
    <t>6.1T/ac</t>
  </si>
  <si>
    <t>F7B1-2</t>
  </si>
  <si>
    <t>F8B4</t>
  </si>
  <si>
    <t>F8B5</t>
  </si>
  <si>
    <t>F2&amp;3,NO B%</t>
  </si>
  <si>
    <t>Lease-Man</t>
  </si>
  <si>
    <t>Traded to Greata</t>
  </si>
  <si>
    <t>Chass- targetting 8T/acre</t>
  </si>
  <si>
    <t>7T/ac</t>
  </si>
  <si>
    <t xml:space="preserve">Quality improving with increased canopy mangement; </t>
  </si>
  <si>
    <t xml:space="preserve">Continue focusing on the Bud # at Pruning time and </t>
  </si>
  <si>
    <t>crew NON-Stop during work</t>
  </si>
  <si>
    <t xml:space="preserve">Chenin-target 5.5T/ac </t>
  </si>
  <si>
    <t>Fruit thin GREEN??</t>
  </si>
  <si>
    <t>Fruit thin GREEN?? And adjust after Verison!!</t>
  </si>
  <si>
    <t>Monitor crop level</t>
  </si>
  <si>
    <t>Winter damage risk at bottom; excess water; high vigor &amp; bullwood; consider removing somes vines from bottom</t>
  </si>
  <si>
    <t>Monitor crop level,Fruit thin GREEN</t>
  </si>
  <si>
    <t xml:space="preserve">Focus, lots of attention Shootpositioning, MONITOR the </t>
  </si>
  <si>
    <t>more color, extract</t>
  </si>
  <si>
    <t>Lots of attenttion, because of the compact bunch structure, high Botrytis risk</t>
  </si>
  <si>
    <t>(work in progress), yet to see the results??</t>
  </si>
  <si>
    <t>Replant the leftover 20 Rows of Single Sprawl to Merlot or Cabernet Sauvignon- Area of 5.44 ac</t>
  </si>
  <si>
    <t>Quality improving with increased canopy mangement; continue converting to t-bar trellis ??</t>
  </si>
  <si>
    <t>Trail with the clones 91R, 93R, higher crop load to lighten the phenolics, lower the acidity, structure of the juice</t>
  </si>
  <si>
    <t xml:space="preserve">Last years focus on pruning and green harvest have not been effective in controlling yields. </t>
  </si>
  <si>
    <t xml:space="preserve">In addition to these efforts, increased shoot thinning during the 2017 growing season is the next step to bring </t>
  </si>
  <si>
    <t>the crop loads under control. Adversely, this will increase the cost of labour in these blocks.</t>
  </si>
  <si>
    <t>be in the Martyna Vineyard.</t>
  </si>
  <si>
    <t xml:space="preserve">Yields at Patricia are slowly increasing, and yields at QG are largely in line with targets, the primary focus will </t>
  </si>
  <si>
    <t xml:space="preserve">Desired yield per acre was met or closely met in all targeted blocks. Focus on shoot thinning and cluster thinning </t>
  </si>
  <si>
    <t xml:space="preserve">was used, F3B4, and F5. The over all yields for QG is higher than desired because remaining blocks do not receive </t>
  </si>
  <si>
    <t xml:space="preserve">the same amount of field work. Seasonal differences in climate also affect crop loads, due to increased or decreased </t>
  </si>
  <si>
    <t>fruit set, amount of rain etc.</t>
  </si>
  <si>
    <t>Less than a ton per acre over overall, it is our belief that we can bring these numbers in line with projections.</t>
  </si>
  <si>
    <t>Overall tons per acre was very close to targets despite the overages from BFV.</t>
  </si>
  <si>
    <t>Estimates for BFV were incorrect, however the tonnage was too high. There are various factors affecting this, example being</t>
  </si>
  <si>
    <t>increase in irrigation because of interplanting. As this site matures our understanding increases on how to mangage it.</t>
  </si>
  <si>
    <t>Simple adjustments to fruit thinning should bring the crop load in line with goals.</t>
  </si>
  <si>
    <t xml:space="preserve">There was a trial pick done in the Sauvignon Blanc this year, a "green" pick vs a "tropical" pick. Before harvest a dramatic </t>
  </si>
  <si>
    <t>difference was noted in the quailty of the fruit based on location inside the block itself. The fruit was picked seperately</t>
  </si>
  <si>
    <t>and is being kept separate through the winery. Updates on this will be provided from the winery going forward.</t>
  </si>
  <si>
    <t>The unseasonably wet June/July increased overall cluster size this year. The QG Cab was ultimately thinned to one cluster per shoot.</t>
  </si>
  <si>
    <t>Factors affecting overages in overall tons per acre are numerous. More crop was deliberatly left on in F6 to counter balance</t>
  </si>
  <si>
    <t>the loss of contract grown fruit, and the belief by the vineyard team that the increase could be ripened in the sesason we were</t>
  </si>
  <si>
    <t xml:space="preserve">having. </t>
  </si>
  <si>
    <t>Partial Leaf removal, to improve phenolic content in pulp and skin, less disease,</t>
  </si>
  <si>
    <t>After multiple winter injury over various seasons, cordons and canes were finally being reestablished after year of corrective</t>
  </si>
  <si>
    <t xml:space="preserve">pruning practices in the F2 blocks. This greatly increased over all bud numbers and resulted in higher yields than seen in the past </t>
  </si>
  <si>
    <t>few seasons. Closer attention to shoot and cluster thinning in the up coming season is projected to bring these blocks in line</t>
  </si>
  <si>
    <t>with desired estimates.</t>
  </si>
  <si>
    <t>4.98 t/acr</t>
  </si>
  <si>
    <t>A deficit irrigation trail was under taken in F2B2, results of impact on fruit composition is unclear yet, the winery will provide updates.</t>
  </si>
  <si>
    <t>Cabernet Sauvignon 2 acres</t>
  </si>
  <si>
    <t>Merlot 3.44 acres</t>
  </si>
  <si>
    <t xml:space="preserve"> lots of attention Shootpositioning, MONITOR the </t>
  </si>
  <si>
    <t>Comments and Suggestions</t>
  </si>
  <si>
    <t>Sylvan Heights-M</t>
  </si>
  <si>
    <t>Day's yet to be summed up from ADCON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</si>
</sst>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6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9" fontId="8" fillId="0" borderId="0" applyFont="0" applyFill="0" applyBorder="0" applyAlignment="0" applyProtection="0"/>
    <xf numFmtId="0" fontId="9" fillId="0" borderId="0"/>
  </cellStyleXfs>
  <cellXfs count="57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/>
    <xf numFmtId="164" fontId="0" fillId="0" borderId="0" xfId="0" applyNumberFormat="1" applyFont="1"/>
    <xf numFmtId="0" fontId="3" fillId="0" borderId="0" xfId="0" applyFont="1" applyFill="1" applyBorder="1" applyAlignment="1">
      <alignment vertical="center"/>
    </xf>
    <xf numFmtId="0" fontId="2" fillId="0" borderId="3" xfId="0" applyFont="1" applyBorder="1"/>
    <xf numFmtId="164" fontId="3" fillId="2" borderId="8" xfId="0" applyNumberFormat="1" applyFont="1" applyFill="1" applyBorder="1" applyAlignment="1">
      <alignment horizontal="center" vertical="center"/>
    </xf>
    <xf numFmtId="0" fontId="0" fillId="0" borderId="3" xfId="0" applyFont="1" applyBorder="1"/>
    <xf numFmtId="164" fontId="2" fillId="0" borderId="10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/>
    <xf numFmtId="164" fontId="0" fillId="2" borderId="1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164" fontId="6" fillId="2" borderId="9" xfId="0" applyNumberFormat="1" applyFont="1" applyFill="1" applyBorder="1" applyAlignment="1">
      <alignment horizontal="center" vertical="center"/>
    </xf>
    <xf numFmtId="0" fontId="0" fillId="0" borderId="2" xfId="0" applyFont="1" applyBorder="1"/>
    <xf numFmtId="9" fontId="2" fillId="0" borderId="3" xfId="2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9" fontId="2" fillId="0" borderId="3" xfId="2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165" fontId="0" fillId="0" borderId="4" xfId="2" applyNumberFormat="1" applyFont="1" applyBorder="1" applyAlignment="1">
      <alignment horizontal="left" vertical="center"/>
    </xf>
    <xf numFmtId="165" fontId="3" fillId="0" borderId="4" xfId="2" applyNumberFormat="1" applyFont="1" applyBorder="1" applyAlignment="1">
      <alignment horizontal="left" vertical="center"/>
    </xf>
    <xf numFmtId="165" fontId="10" fillId="0" borderId="6" xfId="2" applyNumberFormat="1" applyFont="1" applyBorder="1" applyAlignment="1">
      <alignment horizontal="left" vertical="center"/>
    </xf>
    <xf numFmtId="164" fontId="6" fillId="2" borderId="0" xfId="0" applyNumberFormat="1" applyFont="1" applyFill="1" applyBorder="1" applyAlignment="1">
      <alignment horizontal="center" vertical="center"/>
    </xf>
    <xf numFmtId="165" fontId="10" fillId="0" borderId="0" xfId="2" applyNumberFormat="1" applyFont="1" applyBorder="1" applyAlignment="1">
      <alignment horizontal="left" vertical="center"/>
    </xf>
    <xf numFmtId="164" fontId="6" fillId="2" borderId="11" xfId="0" applyNumberFormat="1" applyFont="1" applyFill="1" applyBorder="1" applyAlignment="1">
      <alignment horizontal="center" vertical="center"/>
    </xf>
    <xf numFmtId="165" fontId="10" fillId="0" borderId="3" xfId="2" applyNumberFormat="1" applyFont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/>
    </xf>
    <xf numFmtId="164" fontId="2" fillId="0" borderId="0" xfId="0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9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2" fontId="0" fillId="0" borderId="1" xfId="0" applyNumberFormat="1" applyFont="1" applyFill="1" applyBorder="1" applyAlignment="1">
      <alignment horizontal="center" vertical="center"/>
    </xf>
    <xf numFmtId="0" fontId="4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vertical="center"/>
    </xf>
    <xf numFmtId="164" fontId="2" fillId="6" borderId="8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3" fillId="2" borderId="15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164" fontId="0" fillId="6" borderId="18" xfId="0" applyNumberFormat="1" applyFont="1" applyFill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4" fillId="6" borderId="18" xfId="0" applyNumberFormat="1" applyFont="1" applyFill="1" applyBorder="1" applyAlignment="1">
      <alignment horizontal="center" vertical="center"/>
    </xf>
    <xf numFmtId="164" fontId="2" fillId="6" borderId="18" xfId="0" applyNumberFormat="1" applyFont="1" applyFill="1" applyBorder="1" applyAlignment="1">
      <alignment vertical="center"/>
    </xf>
    <xf numFmtId="164" fontId="2" fillId="6" borderId="18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0" fillId="6" borderId="13" xfId="0" applyNumberFormat="1" applyFont="1" applyFill="1" applyBorder="1" applyAlignment="1">
      <alignment horizontal="center" vertical="center"/>
    </xf>
    <xf numFmtId="0" fontId="0" fillId="6" borderId="18" xfId="0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64" fontId="0" fillId="0" borderId="3" xfId="0" applyNumberFormat="1" applyFont="1" applyBorder="1" applyAlignment="1">
      <alignment horizontal="center"/>
    </xf>
    <xf numFmtId="2" fontId="0" fillId="6" borderId="18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4" fillId="7" borderId="0" xfId="0" applyFont="1" applyFill="1"/>
    <xf numFmtId="164" fontId="0" fillId="7" borderId="1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4" fillId="0" borderId="0" xfId="0" applyFont="1" applyFill="1"/>
    <xf numFmtId="2" fontId="6" fillId="0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3" xfId="0" applyFont="1" applyFill="1" applyBorder="1"/>
    <xf numFmtId="2" fontId="6" fillId="0" borderId="1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5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2" fontId="6" fillId="6" borderId="18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6" fillId="0" borderId="11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6" fillId="6" borderId="13" xfId="0" applyNumberFormat="1" applyFont="1" applyFill="1" applyBorder="1" applyAlignment="1">
      <alignment horizontal="center" vertical="center"/>
    </xf>
    <xf numFmtId="2" fontId="6" fillId="6" borderId="14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2" fontId="4" fillId="0" borderId="2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6" borderId="12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2" borderId="21" xfId="0" applyNumberFormat="1" applyFont="1" applyFill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6" borderId="12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6" fillId="3" borderId="0" xfId="0" applyFont="1" applyFill="1"/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4" borderId="19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8" xfId="0" applyFill="1" applyBorder="1"/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/>
    <xf numFmtId="0" fontId="4" fillId="0" borderId="3" xfId="0" applyFont="1" applyFill="1" applyBorder="1"/>
    <xf numFmtId="0" fontId="6" fillId="0" borderId="3" xfId="0" applyFont="1" applyFill="1" applyBorder="1" applyAlignment="1">
      <alignment vertical="center"/>
    </xf>
    <xf numFmtId="0" fontId="6" fillId="0" borderId="3" xfId="0" applyFont="1" applyBorder="1"/>
    <xf numFmtId="0" fontId="6" fillId="0" borderId="0" xfId="0" applyFont="1" applyBorder="1"/>
    <xf numFmtId="0" fontId="6" fillId="0" borderId="2" xfId="0" applyFont="1" applyBorder="1"/>
    <xf numFmtId="0" fontId="6" fillId="0" borderId="12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6" borderId="18" xfId="0" applyNumberForma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vertical="center"/>
    </xf>
    <xf numFmtId="0" fontId="0" fillId="6" borderId="18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6" borderId="18" xfId="0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9" fontId="0" fillId="6" borderId="18" xfId="2" applyFont="1" applyFill="1" applyBorder="1"/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8" borderId="0" xfId="0" applyNumberFormat="1" applyFill="1"/>
    <xf numFmtId="0" fontId="0" fillId="11" borderId="0" xfId="0" applyFill="1"/>
    <xf numFmtId="0" fontId="0" fillId="6" borderId="12" xfId="0" applyFill="1" applyBorder="1"/>
    <xf numFmtId="164" fontId="2" fillId="0" borderId="0" xfId="0" applyNumberFormat="1" applyFont="1"/>
    <xf numFmtId="0" fontId="0" fillId="0" borderId="18" xfId="0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0" borderId="18" xfId="2" applyNumberFormat="1" applyFont="1" applyFill="1" applyBorder="1"/>
    <xf numFmtId="0" fontId="0" fillId="6" borderId="18" xfId="2" applyNumberFormat="1" applyFont="1" applyFill="1" applyBorder="1"/>
    <xf numFmtId="9" fontId="0" fillId="12" borderId="18" xfId="2" applyFont="1" applyFill="1" applyBorder="1"/>
    <xf numFmtId="9" fontId="0" fillId="11" borderId="18" xfId="2" applyFont="1" applyFill="1" applyBorder="1"/>
    <xf numFmtId="0" fontId="2" fillId="0" borderId="0" xfId="0" applyFont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2" fillId="0" borderId="16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4" fillId="0" borderId="2" xfId="0" applyFont="1" applyBorder="1"/>
    <xf numFmtId="0" fontId="4" fillId="0" borderId="2" xfId="0" applyFont="1" applyFill="1" applyBorder="1" applyAlignment="1">
      <alignment horizontal="center" vertical="center"/>
    </xf>
    <xf numFmtId="164" fontId="4" fillId="6" borderId="1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6" borderId="12" xfId="0" applyFill="1" applyBorder="1" applyAlignment="1">
      <alignment horizontal="center"/>
    </xf>
    <xf numFmtId="9" fontId="0" fillId="12" borderId="12" xfId="2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2" fillId="0" borderId="1" xfId="0" applyNumberFormat="1" applyFont="1" applyFill="1" applyBorder="1"/>
    <xf numFmtId="0" fontId="2" fillId="0" borderId="1" xfId="0" applyFont="1" applyFill="1" applyBorder="1"/>
    <xf numFmtId="0" fontId="13" fillId="6" borderId="18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0" xfId="0" applyFont="1" applyBorder="1" applyAlignment="1">
      <alignment horizontal="center"/>
    </xf>
    <xf numFmtId="0" fontId="15" fillId="6" borderId="18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18" xfId="0" applyFont="1" applyFill="1" applyBorder="1"/>
    <xf numFmtId="0" fontId="15" fillId="6" borderId="18" xfId="0" applyFont="1" applyFill="1" applyBorder="1"/>
    <xf numFmtId="0" fontId="14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Fill="1" applyBorder="1" applyAlignment="1">
      <alignment horizontal="center"/>
    </xf>
    <xf numFmtId="9" fontId="15" fillId="6" borderId="18" xfId="2" applyFont="1" applyFill="1" applyBorder="1"/>
    <xf numFmtId="2" fontId="15" fillId="6" borderId="18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17" fillId="0" borderId="0" xfId="0" applyFont="1"/>
    <xf numFmtId="0" fontId="18" fillId="0" borderId="0" xfId="0" applyFont="1" applyFill="1" applyBorder="1" applyAlignment="1">
      <alignment vertical="center"/>
    </xf>
    <xf numFmtId="0" fontId="19" fillId="0" borderId="3" xfId="0" applyFont="1" applyFill="1" applyBorder="1"/>
    <xf numFmtId="2" fontId="19" fillId="0" borderId="10" xfId="0" applyNumberFormat="1" applyFont="1" applyFill="1" applyBorder="1" applyAlignment="1">
      <alignment horizontal="center" vertical="center"/>
    </xf>
    <xf numFmtId="9" fontId="15" fillId="12" borderId="18" xfId="2" applyFont="1" applyFill="1" applyBorder="1"/>
    <xf numFmtId="0" fontId="19" fillId="0" borderId="0" xfId="0" applyFont="1" applyFill="1"/>
    <xf numFmtId="0" fontId="19" fillId="0" borderId="5" xfId="0" applyFont="1" applyFill="1" applyBorder="1" applyAlignment="1">
      <alignment vertical="center"/>
    </xf>
    <xf numFmtId="2" fontId="19" fillId="0" borderId="7" xfId="0" applyNumberFormat="1" applyFont="1" applyFill="1" applyBorder="1" applyAlignment="1">
      <alignment horizontal="center" vertical="center"/>
    </xf>
    <xf numFmtId="2" fontId="15" fillId="6" borderId="18" xfId="0" applyNumberFormat="1" applyFont="1" applyFill="1" applyBorder="1"/>
    <xf numFmtId="0" fontId="19" fillId="0" borderId="0" xfId="0" applyFont="1" applyFill="1" applyBorder="1" applyAlignment="1">
      <alignment vertical="center"/>
    </xf>
    <xf numFmtId="2" fontId="19" fillId="0" borderId="0" xfId="0" applyNumberFormat="1" applyFont="1" applyFill="1" applyBorder="1" applyAlignment="1">
      <alignment horizontal="center" vertical="center"/>
    </xf>
    <xf numFmtId="0" fontId="15" fillId="0" borderId="3" xfId="0" applyFont="1" applyBorder="1"/>
    <xf numFmtId="0" fontId="15" fillId="0" borderId="18" xfId="2" applyNumberFormat="1" applyFont="1" applyFill="1" applyBorder="1"/>
    <xf numFmtId="0" fontId="15" fillId="0" borderId="0" xfId="0" applyFont="1" applyFill="1" applyBorder="1"/>
    <xf numFmtId="2" fontId="14" fillId="0" borderId="0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5" fillId="6" borderId="18" xfId="2" applyNumberFormat="1" applyFont="1" applyFill="1" applyBorder="1"/>
    <xf numFmtId="9" fontId="15" fillId="11" borderId="18" xfId="2" applyFont="1" applyFill="1" applyBorder="1"/>
    <xf numFmtId="2" fontId="14" fillId="0" borderId="3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2" fontId="19" fillId="0" borderId="3" xfId="0" applyNumberFormat="1" applyFont="1" applyFill="1" applyBorder="1" applyAlignment="1">
      <alignment horizontal="center" vertical="center"/>
    </xf>
    <xf numFmtId="0" fontId="19" fillId="0" borderId="0" xfId="0" applyFont="1"/>
    <xf numFmtId="2" fontId="19" fillId="0" borderId="5" xfId="0" applyNumberFormat="1" applyFont="1" applyFill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4" fillId="0" borderId="2" xfId="0" applyFont="1" applyBorder="1"/>
    <xf numFmtId="0" fontId="15" fillId="0" borderId="2" xfId="0" applyFont="1" applyBorder="1" applyAlignment="1">
      <alignment vertical="center"/>
    </xf>
    <xf numFmtId="0" fontId="15" fillId="0" borderId="0" xfId="0" applyFont="1" applyBorder="1"/>
    <xf numFmtId="0" fontId="14" fillId="0" borderId="3" xfId="0" applyFont="1" applyBorder="1"/>
    <xf numFmtId="0" fontId="14" fillId="0" borderId="3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4" fillId="0" borderId="0" xfId="0" applyFont="1" applyBorder="1"/>
    <xf numFmtId="0" fontId="17" fillId="0" borderId="0" xfId="0" applyFont="1" applyBorder="1"/>
    <xf numFmtId="0" fontId="17" fillId="0" borderId="0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3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/>
    </xf>
    <xf numFmtId="0" fontId="15" fillId="6" borderId="13" xfId="0" applyFont="1" applyFill="1" applyBorder="1"/>
    <xf numFmtId="0" fontId="17" fillId="0" borderId="2" xfId="0" applyFont="1" applyBorder="1"/>
    <xf numFmtId="0" fontId="17" fillId="0" borderId="2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/>
    </xf>
    <xf numFmtId="9" fontId="15" fillId="12" borderId="12" xfId="2" applyFont="1" applyFill="1" applyBorder="1"/>
    <xf numFmtId="0" fontId="15" fillId="6" borderId="12" xfId="0" applyFont="1" applyFill="1" applyBorder="1"/>
    <xf numFmtId="0" fontId="15" fillId="0" borderId="2" xfId="0" applyFont="1" applyBorder="1"/>
    <xf numFmtId="164" fontId="15" fillId="6" borderId="18" xfId="0" applyNumberFormat="1" applyFont="1" applyFill="1" applyBorder="1"/>
    <xf numFmtId="2" fontId="15" fillId="0" borderId="3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/>
    </xf>
    <xf numFmtId="2" fontId="14" fillId="0" borderId="3" xfId="0" applyNumberFormat="1" applyFont="1" applyBorder="1" applyAlignment="1">
      <alignment horizontal="center"/>
    </xf>
    <xf numFmtId="2" fontId="15" fillId="6" borderId="8" xfId="0" applyNumberFormat="1" applyFont="1" applyFill="1" applyBorder="1" applyAlignment="1">
      <alignment horizontal="center"/>
    </xf>
    <xf numFmtId="0" fontId="19" fillId="3" borderId="0" xfId="0" applyFont="1" applyFill="1"/>
    <xf numFmtId="2" fontId="14" fillId="0" borderId="0" xfId="0" applyNumberFormat="1" applyFont="1" applyAlignment="1">
      <alignment horizontal="center"/>
    </xf>
    <xf numFmtId="2" fontId="15" fillId="0" borderId="17" xfId="0" applyNumberFormat="1" applyFont="1" applyFill="1" applyBorder="1" applyAlignment="1">
      <alignment horizontal="center"/>
    </xf>
    <xf numFmtId="2" fontId="15" fillId="6" borderId="12" xfId="0" applyNumberFormat="1" applyFont="1" applyFill="1" applyBorder="1" applyAlignment="1">
      <alignment horizontal="center"/>
    </xf>
    <xf numFmtId="0" fontId="14" fillId="3" borderId="5" xfId="0" applyFont="1" applyFill="1" applyBorder="1" applyAlignment="1">
      <alignment vertical="center"/>
    </xf>
    <xf numFmtId="2" fontId="14" fillId="0" borderId="5" xfId="0" applyNumberFormat="1" applyFont="1" applyBorder="1" applyAlignment="1">
      <alignment horizontal="center"/>
    </xf>
    <xf numFmtId="2" fontId="14" fillId="6" borderId="9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64" fontId="14" fillId="6" borderId="18" xfId="0" applyNumberFormat="1" applyFont="1" applyFill="1" applyBorder="1"/>
    <xf numFmtId="164" fontId="14" fillId="0" borderId="1" xfId="0" applyNumberFormat="1" applyFont="1" applyFill="1" applyBorder="1"/>
    <xf numFmtId="0" fontId="14" fillId="6" borderId="18" xfId="0" applyFont="1" applyFill="1" applyBorder="1"/>
    <xf numFmtId="0" fontId="14" fillId="0" borderId="1" xfId="0" applyFont="1" applyFill="1" applyBorder="1"/>
    <xf numFmtId="2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9" fontId="0" fillId="6" borderId="12" xfId="2" applyFont="1" applyFill="1" applyBorder="1"/>
    <xf numFmtId="0" fontId="0" fillId="8" borderId="2" xfId="0" applyFill="1" applyBorder="1"/>
    <xf numFmtId="164" fontId="0" fillId="6" borderId="18" xfId="0" applyNumberFormat="1" applyFill="1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6" fillId="6" borderId="7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0" borderId="5" xfId="0" applyFont="1" applyBorder="1"/>
    <xf numFmtId="9" fontId="2" fillId="6" borderId="14" xfId="2" applyFont="1" applyFill="1" applyBorder="1"/>
    <xf numFmtId="0" fontId="0" fillId="0" borderId="0" xfId="0" applyBorder="1"/>
    <xf numFmtId="0" fontId="0" fillId="11" borderId="0" xfId="0" applyFill="1" applyBorder="1"/>
    <xf numFmtId="0" fontId="6" fillId="0" borderId="2" xfId="0" applyFont="1" applyFill="1" applyBorder="1" applyAlignment="1">
      <alignment vertical="center"/>
    </xf>
    <xf numFmtId="2" fontId="6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6" borderId="12" xfId="0" applyFont="1" applyFill="1" applyBorder="1"/>
    <xf numFmtId="0" fontId="0" fillId="6" borderId="14" xfId="0" applyFont="1" applyFill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13" borderId="18" xfId="0" applyNumberForma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/>
    </xf>
    <xf numFmtId="1" fontId="6" fillId="6" borderId="17" xfId="0" applyNumberFormat="1" applyFont="1" applyFill="1" applyBorder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/>
    </xf>
    <xf numFmtId="0" fontId="6" fillId="0" borderId="4" xfId="0" applyFont="1" applyFill="1" applyBorder="1" applyAlignment="1">
      <alignment vertical="center"/>
    </xf>
    <xf numFmtId="0" fontId="0" fillId="0" borderId="13" xfId="0" applyBorder="1"/>
    <xf numFmtId="0" fontId="0" fillId="0" borderId="18" xfId="0" applyBorder="1"/>
    <xf numFmtId="0" fontId="2" fillId="0" borderId="13" xfId="0" applyFont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/>
    </xf>
    <xf numFmtId="1" fontId="6" fillId="6" borderId="2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/>
    <xf numFmtId="2" fontId="4" fillId="6" borderId="8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0" fontId="0" fillId="0" borderId="8" xfId="0" applyBorder="1"/>
    <xf numFmtId="2" fontId="0" fillId="6" borderId="8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6" borderId="8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2" fontId="0" fillId="6" borderId="8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2" fontId="4" fillId="6" borderId="1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6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64" fontId="6" fillId="6" borderId="12" xfId="0" applyNumberFormat="1" applyFont="1" applyFill="1" applyBorder="1" applyAlignment="1">
      <alignment vertical="center"/>
    </xf>
    <xf numFmtId="164" fontId="0" fillId="6" borderId="8" xfId="0" applyNumberFormat="1" applyFill="1" applyBorder="1" applyAlignment="1"/>
    <xf numFmtId="164" fontId="0" fillId="6" borderId="18" xfId="0" applyNumberFormat="1" applyFill="1" applyBorder="1" applyAlignment="1"/>
    <xf numFmtId="0" fontId="2" fillId="6" borderId="13" xfId="0" applyNumberFormat="1" applyFont="1" applyFill="1" applyBorder="1" applyAlignment="1">
      <alignment horizontal="center"/>
    </xf>
    <xf numFmtId="0" fontId="0" fillId="0" borderId="18" xfId="0" applyBorder="1" applyAlignment="1"/>
    <xf numFmtId="164" fontId="0" fillId="6" borderId="8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0" fillId="0" borderId="17" xfId="0" applyFont="1" applyBorder="1"/>
    <xf numFmtId="0" fontId="4" fillId="0" borderId="3" xfId="0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Font="1" applyBorder="1"/>
    <xf numFmtId="2" fontId="2" fillId="4" borderId="8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0" fillId="0" borderId="18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horizontal="center"/>
    </xf>
    <xf numFmtId="2" fontId="2" fillId="11" borderId="18" xfId="0" applyNumberFormat="1" applyFont="1" applyFill="1" applyBorder="1" applyAlignment="1">
      <alignment horizontal="center"/>
    </xf>
    <xf numFmtId="2" fontId="2" fillId="11" borderId="12" xfId="0" applyNumberFormat="1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9" fontId="15" fillId="6" borderId="12" xfId="2" applyFont="1" applyFill="1" applyBorder="1"/>
    <xf numFmtId="0" fontId="19" fillId="0" borderId="0" xfId="0" applyFont="1" applyFill="1" applyBorder="1"/>
    <xf numFmtId="2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/>
    <xf numFmtId="0" fontId="14" fillId="0" borderId="18" xfId="0" applyFont="1" applyBorder="1" applyAlignment="1">
      <alignment horizontal="center"/>
    </xf>
    <xf numFmtId="0" fontId="15" fillId="0" borderId="18" xfId="0" applyFont="1" applyBorder="1"/>
    <xf numFmtId="0" fontId="15" fillId="9" borderId="18" xfId="0" applyFont="1" applyFill="1" applyBorder="1"/>
    <xf numFmtId="0" fontId="15" fillId="11" borderId="18" xfId="0" applyFont="1" applyFill="1" applyBorder="1"/>
    <xf numFmtId="0" fontId="14" fillId="0" borderId="12" xfId="0" applyFont="1" applyBorder="1"/>
    <xf numFmtId="0" fontId="15" fillId="8" borderId="18" xfId="0" applyFont="1" applyFill="1" applyBorder="1"/>
    <xf numFmtId="0" fontId="15" fillId="9" borderId="12" xfId="0" applyFont="1" applyFill="1" applyBorder="1"/>
    <xf numFmtId="0" fontId="15" fillId="10" borderId="18" xfId="0" applyFont="1" applyFill="1" applyBorder="1"/>
    <xf numFmtId="0" fontId="15" fillId="11" borderId="13" xfId="0" applyFont="1" applyFill="1" applyBorder="1"/>
    <xf numFmtId="0" fontId="15" fillId="11" borderId="12" xfId="0" applyFont="1" applyFill="1" applyBorder="1"/>
    <xf numFmtId="164" fontId="15" fillId="0" borderId="18" xfId="0" applyNumberFormat="1" applyFont="1" applyBorder="1"/>
    <xf numFmtId="164" fontId="15" fillId="8" borderId="18" xfId="0" applyNumberFormat="1" applyFont="1" applyFill="1" applyBorder="1"/>
    <xf numFmtId="2" fontId="15" fillId="0" borderId="8" xfId="0" applyNumberFormat="1" applyFont="1" applyFill="1" applyBorder="1" applyAlignment="1">
      <alignment horizontal="center"/>
    </xf>
    <xf numFmtId="2" fontId="15" fillId="0" borderId="12" xfId="0" applyNumberFormat="1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/>
    <xf numFmtId="0" fontId="14" fillId="0" borderId="18" xfId="0" applyFont="1" applyBorder="1"/>
    <xf numFmtId="0" fontId="15" fillId="0" borderId="12" xfId="0" applyFont="1" applyBorder="1"/>
    <xf numFmtId="2" fontId="15" fillId="6" borderId="12" xfId="0" applyNumberFormat="1" applyFont="1" applyFill="1" applyBorder="1"/>
    <xf numFmtId="0" fontId="14" fillId="0" borderId="0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15" fillId="10" borderId="12" xfId="0" applyFont="1" applyFill="1" applyBorder="1"/>
    <xf numFmtId="0" fontId="15" fillId="0" borderId="1" xfId="0" applyFont="1" applyBorder="1"/>
    <xf numFmtId="0" fontId="19" fillId="0" borderId="3" xfId="0" applyFont="1" applyFill="1" applyBorder="1" applyAlignment="1">
      <alignment horizontal="left" vertical="center"/>
    </xf>
    <xf numFmtId="164" fontId="14" fillId="0" borderId="12" xfId="0" applyNumberFormat="1" applyFont="1" applyBorder="1"/>
    <xf numFmtId="2" fontId="15" fillId="0" borderId="3" xfId="0" applyNumberFormat="1" applyFont="1" applyFill="1" applyBorder="1" applyAlignment="1">
      <alignment horizontal="center"/>
    </xf>
    <xf numFmtId="9" fontId="15" fillId="12" borderId="13" xfId="2" applyFont="1" applyFill="1" applyBorder="1"/>
    <xf numFmtId="2" fontId="4" fillId="0" borderId="18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11" borderId="18" xfId="0" applyNumberFormat="1" applyFont="1" applyFill="1" applyBorder="1" applyAlignment="1">
      <alignment horizontal="center"/>
    </xf>
    <xf numFmtId="2" fontId="20" fillId="11" borderId="18" xfId="0" applyNumberFormat="1" applyFont="1" applyFill="1" applyBorder="1" applyAlignment="1">
      <alignment horizontal="center"/>
    </xf>
    <xf numFmtId="2" fontId="20" fillId="11" borderId="23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6" fillId="11" borderId="12" xfId="0" applyNumberFormat="1" applyFont="1" applyFill="1" applyBorder="1" applyAlignment="1">
      <alignment horizontal="center"/>
    </xf>
    <xf numFmtId="2" fontId="2" fillId="6" borderId="18" xfId="0" applyNumberFormat="1" applyFont="1" applyFill="1" applyBorder="1" applyAlignment="1">
      <alignment horizontal="center"/>
    </xf>
    <xf numFmtId="2" fontId="2" fillId="6" borderId="8" xfId="0" applyNumberFormat="1" applyFont="1" applyFill="1" applyBorder="1" applyAlignment="1">
      <alignment horizontal="center"/>
    </xf>
    <xf numFmtId="2" fontId="2" fillId="6" borderId="14" xfId="0" applyNumberFormat="1" applyFont="1" applyFill="1" applyBorder="1" applyAlignment="1">
      <alignment horizontal="center"/>
    </xf>
    <xf numFmtId="2" fontId="20" fillId="4" borderId="19" xfId="0" applyNumberFormat="1" applyFont="1" applyFill="1" applyBorder="1" applyAlignment="1">
      <alignment horizontal="center" vertical="center"/>
    </xf>
    <xf numFmtId="2" fontId="20" fillId="6" borderId="8" xfId="0" applyNumberFormat="1" applyFont="1" applyFill="1" applyBorder="1" applyAlignment="1">
      <alignment horizontal="center" vertical="center"/>
    </xf>
    <xf numFmtId="2" fontId="2" fillId="14" borderId="18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1" fillId="0" borderId="17" xfId="0" applyFont="1" applyBorder="1"/>
    <xf numFmtId="0" fontId="2" fillId="6" borderId="12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Font="1" applyBorder="1"/>
    <xf numFmtId="2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Percent" xfId="2" builtinId="5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203"/>
  <sheetViews>
    <sheetView tabSelected="1" zoomScaleNormal="100" workbookViewId="0">
      <pane xSplit="11" ySplit="2" topLeftCell="L66" activePane="bottomRight" state="frozen"/>
      <selection pane="topRight" activeCell="M1" sqref="M1"/>
      <selection pane="bottomLeft" activeCell="A3" sqref="A3"/>
      <selection pane="bottomRight" activeCell="P35" sqref="P35"/>
    </sheetView>
  </sheetViews>
  <sheetFormatPr defaultColWidth="9.140625" defaultRowHeight="15.75" customHeight="1" x14ac:dyDescent="0.25"/>
  <cols>
    <col min="1" max="1" width="21" style="71" bestFit="1" customWidth="1"/>
    <col min="2" max="2" width="11.85546875" style="69" customWidth="1"/>
    <col min="3" max="3" width="19" style="69" bestFit="1" customWidth="1"/>
    <col min="4" max="4" width="9.85546875" style="6" bestFit="1" customWidth="1"/>
    <col min="5" max="5" width="7.140625" style="69" hidden="1" customWidth="1"/>
    <col min="6" max="6" width="9.85546875" style="69" hidden="1" customWidth="1"/>
    <col min="7" max="7" width="9" style="69" hidden="1" customWidth="1"/>
    <col min="8" max="8" width="9.85546875" style="69" hidden="1" customWidth="1"/>
    <col min="9" max="9" width="11.5703125" style="565" customWidth="1"/>
    <col min="10" max="10" width="12.85546875" style="67" customWidth="1"/>
    <col min="11" max="11" width="14.5703125" style="116" customWidth="1"/>
    <col min="12" max="12" width="16.85546875" style="248" customWidth="1"/>
    <col min="13" max="13" width="18.85546875" style="6" customWidth="1"/>
    <col min="14" max="14" width="13" style="467" customWidth="1"/>
    <col min="15" max="15" width="99.140625" style="69" customWidth="1"/>
    <col min="16" max="16" width="19.85546875" style="69" bestFit="1" customWidth="1"/>
    <col min="17" max="20" width="9.140625" style="69"/>
    <col min="21" max="21" width="18.5703125" style="69" customWidth="1"/>
    <col min="22" max="28" width="9.140625" style="69"/>
    <col min="29" max="29" width="9.140625" style="69" customWidth="1"/>
    <col min="30" max="16384" width="9.140625" style="69"/>
  </cols>
  <sheetData>
    <row r="1" spans="1:41" ht="15.75" customHeight="1" x14ac:dyDescent="0.25">
      <c r="D1" s="63"/>
      <c r="E1" s="572" t="s">
        <v>81</v>
      </c>
      <c r="F1" s="572"/>
      <c r="G1" s="572" t="s">
        <v>78</v>
      </c>
      <c r="H1" s="572"/>
      <c r="I1" s="108">
        <v>2014</v>
      </c>
      <c r="J1" s="90">
        <v>2015</v>
      </c>
      <c r="K1" s="118"/>
      <c r="L1" s="248">
        <v>2016</v>
      </c>
      <c r="M1" s="6">
        <v>2016</v>
      </c>
      <c r="N1" s="108">
        <v>2016</v>
      </c>
    </row>
    <row r="2" spans="1:41" ht="15.75" customHeight="1" x14ac:dyDescent="0.25">
      <c r="A2" s="71" t="s">
        <v>0</v>
      </c>
      <c r="B2" s="573" t="s">
        <v>1</v>
      </c>
      <c r="C2" s="573"/>
      <c r="D2" s="77" t="s">
        <v>82</v>
      </c>
      <c r="E2" s="61" t="s">
        <v>83</v>
      </c>
      <c r="F2" s="68" t="s">
        <v>9</v>
      </c>
      <c r="G2" s="61" t="s">
        <v>83</v>
      </c>
      <c r="H2" s="68" t="s">
        <v>9</v>
      </c>
      <c r="I2" s="108" t="s">
        <v>107</v>
      </c>
      <c r="J2" s="90" t="s">
        <v>107</v>
      </c>
      <c r="K2" s="108" t="s">
        <v>208</v>
      </c>
      <c r="L2" s="247" t="s">
        <v>125</v>
      </c>
      <c r="M2" s="2" t="s">
        <v>126</v>
      </c>
      <c r="N2" s="108" t="s">
        <v>107</v>
      </c>
      <c r="O2" s="567" t="s">
        <v>272</v>
      </c>
      <c r="P2" s="71"/>
      <c r="U2" s="71"/>
    </row>
    <row r="3" spans="1:41" ht="15.75" customHeight="1" x14ac:dyDescent="0.25">
      <c r="A3" s="3" t="s">
        <v>2</v>
      </c>
      <c r="B3" s="4"/>
      <c r="C3" s="4"/>
      <c r="D3" s="62"/>
      <c r="E3" s="30"/>
      <c r="F3" s="5"/>
      <c r="G3" s="61"/>
      <c r="H3" s="68"/>
      <c r="I3" s="108"/>
      <c r="J3" s="78"/>
      <c r="K3" s="108"/>
      <c r="O3" s="69" t="s">
        <v>201</v>
      </c>
      <c r="P3" s="15"/>
      <c r="Q3" s="76"/>
      <c r="R3" s="76"/>
      <c r="S3" s="76"/>
      <c r="U3" s="8"/>
      <c r="V3" s="570"/>
      <c r="W3" s="571"/>
      <c r="X3" s="570"/>
      <c r="Y3" s="571"/>
      <c r="Z3" s="570"/>
      <c r="AA3" s="571"/>
      <c r="AB3" s="570"/>
      <c r="AC3" s="571"/>
      <c r="AD3" s="570"/>
      <c r="AE3" s="571"/>
      <c r="AF3" s="570"/>
      <c r="AG3" s="574"/>
      <c r="AH3" s="574"/>
      <c r="AI3" s="574"/>
      <c r="AJ3" s="570"/>
      <c r="AK3" s="571"/>
      <c r="AL3" s="570"/>
      <c r="AM3" s="571"/>
    </row>
    <row r="4" spans="1:41" ht="15.75" customHeight="1" x14ac:dyDescent="0.25">
      <c r="A4" s="1"/>
      <c r="B4" s="9" t="s">
        <v>3</v>
      </c>
      <c r="C4" s="9" t="s">
        <v>10</v>
      </c>
      <c r="D4" s="91">
        <v>0.75</v>
      </c>
      <c r="E4" s="31">
        <v>2.2799999999999998</v>
      </c>
      <c r="F4" s="32">
        <v>4.51</v>
      </c>
      <c r="G4" s="33">
        <v>5</v>
      </c>
      <c r="H4" s="101">
        <v>4.2699999999999996</v>
      </c>
      <c r="I4" s="122">
        <v>2.63</v>
      </c>
      <c r="J4" s="95">
        <v>3.7</v>
      </c>
      <c r="K4" s="122">
        <f>I4-J4</f>
        <v>-1.0700000000000003</v>
      </c>
      <c r="L4" s="248">
        <v>4</v>
      </c>
      <c r="M4" s="250">
        <f>L4/D4</f>
        <v>5.333333333333333</v>
      </c>
      <c r="N4" s="468">
        <v>3.28</v>
      </c>
      <c r="P4" s="71"/>
      <c r="U4" s="8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</row>
    <row r="5" spans="1:41" ht="15.75" customHeight="1" x14ac:dyDescent="0.25">
      <c r="A5" s="1"/>
      <c r="B5" s="9" t="s">
        <v>3</v>
      </c>
      <c r="C5" s="9" t="s">
        <v>11</v>
      </c>
      <c r="D5" s="62">
        <v>1.4</v>
      </c>
      <c r="E5" s="31">
        <v>7.46</v>
      </c>
      <c r="F5" s="32">
        <f t="shared" ref="F5:F12" si="0">E5*$D5</f>
        <v>10.443999999999999</v>
      </c>
      <c r="G5" s="33">
        <f t="shared" ref="G5:G14" si="1">H5/D5</f>
        <v>7.1428571428571432</v>
      </c>
      <c r="H5" s="101">
        <v>10</v>
      </c>
      <c r="I5" s="122">
        <v>13.19</v>
      </c>
      <c r="J5" s="95">
        <v>10</v>
      </c>
      <c r="K5" s="122">
        <f t="shared" ref="K5:K21" si="2">I5-J5</f>
        <v>3.1899999999999995</v>
      </c>
      <c r="L5" s="248">
        <v>10</v>
      </c>
      <c r="M5" s="250">
        <f t="shared" ref="M5:M71" si="3">L5/D5</f>
        <v>7.1428571428571432</v>
      </c>
      <c r="N5" s="468">
        <v>11</v>
      </c>
      <c r="O5" s="560" t="s">
        <v>246</v>
      </c>
      <c r="Q5" s="7"/>
      <c r="R5" s="7"/>
      <c r="S5" s="7"/>
      <c r="U5" s="120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</row>
    <row r="6" spans="1:41" ht="15.75" customHeight="1" x14ac:dyDescent="0.25">
      <c r="B6" s="9" t="s">
        <v>3</v>
      </c>
      <c r="C6" s="9" t="s">
        <v>12</v>
      </c>
      <c r="D6" s="62">
        <v>0.72</v>
      </c>
      <c r="E6" s="31">
        <v>11.46</v>
      </c>
      <c r="F6" s="32">
        <f t="shared" si="0"/>
        <v>8.2512000000000008</v>
      </c>
      <c r="G6" s="33">
        <f t="shared" si="1"/>
        <v>8.7916666666666679</v>
      </c>
      <c r="H6" s="101">
        <v>6.33</v>
      </c>
      <c r="I6" s="122">
        <v>3.67</v>
      </c>
      <c r="J6" s="95">
        <v>7.28</v>
      </c>
      <c r="K6" s="122">
        <f t="shared" si="2"/>
        <v>-3.6100000000000003</v>
      </c>
      <c r="L6" s="248">
        <v>7</v>
      </c>
      <c r="M6" s="250">
        <f t="shared" si="3"/>
        <v>9.7222222222222232</v>
      </c>
      <c r="N6" s="468">
        <v>6.25</v>
      </c>
      <c r="O6" s="69" t="s">
        <v>247</v>
      </c>
      <c r="Q6" s="7"/>
      <c r="R6" s="7"/>
      <c r="S6" s="7"/>
      <c r="U6" s="120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O6" s="11"/>
    </row>
    <row r="7" spans="1:41" ht="15.75" customHeight="1" x14ac:dyDescent="0.25">
      <c r="B7" s="9" t="s">
        <v>3</v>
      </c>
      <c r="C7" s="9" t="s">
        <v>14</v>
      </c>
      <c r="D7" s="62">
        <v>2.39</v>
      </c>
      <c r="E7" s="31">
        <v>6.76</v>
      </c>
      <c r="F7" s="32">
        <f t="shared" si="0"/>
        <v>16.156400000000001</v>
      </c>
      <c r="G7" s="33">
        <f t="shared" si="1"/>
        <v>4.6276150627615058</v>
      </c>
      <c r="H7" s="101">
        <v>11.06</v>
      </c>
      <c r="I7" s="122">
        <v>15.96</v>
      </c>
      <c r="J7" s="95">
        <v>15.76</v>
      </c>
      <c r="K7" s="122">
        <f t="shared" si="2"/>
        <v>0.20000000000000107</v>
      </c>
      <c r="L7" s="248">
        <v>15</v>
      </c>
      <c r="M7" s="250">
        <f t="shared" si="3"/>
        <v>6.2761506276150625</v>
      </c>
      <c r="N7" s="468">
        <v>13.3</v>
      </c>
      <c r="O7" s="69" t="s">
        <v>248</v>
      </c>
      <c r="Q7" s="7"/>
      <c r="R7" s="7"/>
      <c r="S7" s="7"/>
      <c r="U7" s="120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</row>
    <row r="8" spans="1:41" ht="15.75" customHeight="1" x14ac:dyDescent="0.25">
      <c r="B8" s="9" t="s">
        <v>3</v>
      </c>
      <c r="C8" s="9" t="s">
        <v>16</v>
      </c>
      <c r="D8" s="62">
        <v>2.35</v>
      </c>
      <c r="E8" s="31">
        <v>4.41</v>
      </c>
      <c r="F8" s="32">
        <f t="shared" si="0"/>
        <v>10.3635</v>
      </c>
      <c r="G8" s="33">
        <f t="shared" si="1"/>
        <v>4.7234042553191484</v>
      </c>
      <c r="H8" s="101">
        <v>11.1</v>
      </c>
      <c r="I8" s="122">
        <v>15.05</v>
      </c>
      <c r="J8" s="95">
        <v>13.97</v>
      </c>
      <c r="K8" s="122">
        <f t="shared" si="2"/>
        <v>1.08</v>
      </c>
      <c r="L8" s="248">
        <v>14</v>
      </c>
      <c r="M8" s="250">
        <f t="shared" si="3"/>
        <v>5.957446808510638</v>
      </c>
      <c r="N8" s="468">
        <v>13.85</v>
      </c>
      <c r="O8" s="69" t="s">
        <v>249</v>
      </c>
      <c r="Q8" s="7"/>
      <c r="R8" s="7"/>
      <c r="S8" s="7"/>
      <c r="U8" s="120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</row>
    <row r="9" spans="1:41" ht="15.75" customHeight="1" x14ac:dyDescent="0.25">
      <c r="B9" s="9" t="s">
        <v>3</v>
      </c>
      <c r="C9" s="9" t="s">
        <v>18</v>
      </c>
      <c r="D9" s="62">
        <v>1.8</v>
      </c>
      <c r="E9" s="31">
        <v>4.42</v>
      </c>
      <c r="F9" s="32">
        <f t="shared" si="0"/>
        <v>7.9560000000000004</v>
      </c>
      <c r="G9" s="33">
        <f t="shared" si="1"/>
        <v>4.6499999999999995</v>
      </c>
      <c r="H9" s="101">
        <v>8.3699999999999992</v>
      </c>
      <c r="I9" s="122">
        <v>12.12</v>
      </c>
      <c r="J9" s="95">
        <v>13.57</v>
      </c>
      <c r="K9" s="122">
        <f t="shared" si="2"/>
        <v>-1.4500000000000011</v>
      </c>
      <c r="L9" s="248">
        <v>14</v>
      </c>
      <c r="M9" s="250">
        <f t="shared" si="3"/>
        <v>7.7777777777777777</v>
      </c>
      <c r="N9" s="468">
        <v>11.62</v>
      </c>
      <c r="Q9" s="7"/>
      <c r="R9" s="7"/>
      <c r="S9" s="7"/>
      <c r="U9" s="120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</row>
    <row r="10" spans="1:41" ht="15.75" customHeight="1" x14ac:dyDescent="0.25">
      <c r="B10" s="9" t="s">
        <v>3</v>
      </c>
      <c r="C10" s="9" t="s">
        <v>20</v>
      </c>
      <c r="D10" s="62">
        <v>1.92</v>
      </c>
      <c r="E10" s="31">
        <v>4.45</v>
      </c>
      <c r="F10" s="32">
        <f t="shared" si="0"/>
        <v>8.5440000000000005</v>
      </c>
      <c r="G10" s="33">
        <f t="shared" si="1"/>
        <v>5.25</v>
      </c>
      <c r="H10" s="101">
        <v>10.08</v>
      </c>
      <c r="I10" s="122">
        <v>13.61</v>
      </c>
      <c r="J10" s="95">
        <v>11.72</v>
      </c>
      <c r="K10" s="122">
        <f t="shared" si="2"/>
        <v>1.8899999999999988</v>
      </c>
      <c r="L10" s="248">
        <v>12</v>
      </c>
      <c r="M10" s="250">
        <f t="shared" si="3"/>
        <v>6.25</v>
      </c>
      <c r="N10" s="468">
        <v>12.4</v>
      </c>
      <c r="O10" s="69" t="s">
        <v>250</v>
      </c>
      <c r="Q10" s="7"/>
      <c r="R10" s="7"/>
      <c r="S10" s="7"/>
      <c r="U10" s="120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</row>
    <row r="11" spans="1:41" ht="15.75" customHeight="1" x14ac:dyDescent="0.25">
      <c r="B11" s="9" t="s">
        <v>3</v>
      </c>
      <c r="C11" s="9" t="s">
        <v>22</v>
      </c>
      <c r="D11" s="62">
        <v>1.43</v>
      </c>
      <c r="E11" s="31">
        <v>3.51</v>
      </c>
      <c r="F11" s="32">
        <f t="shared" si="0"/>
        <v>5.0192999999999994</v>
      </c>
      <c r="G11" s="33">
        <f t="shared" si="1"/>
        <v>5.5174825174825175</v>
      </c>
      <c r="H11" s="101">
        <v>7.89</v>
      </c>
      <c r="I11" s="122">
        <v>9.8000000000000007</v>
      </c>
      <c r="J11" s="95">
        <v>12.44</v>
      </c>
      <c r="K11" s="122">
        <f t="shared" si="2"/>
        <v>-2.6399999999999988</v>
      </c>
      <c r="L11" s="248">
        <v>13</v>
      </c>
      <c r="M11" s="250">
        <f t="shared" si="3"/>
        <v>9.0909090909090917</v>
      </c>
      <c r="N11" s="468">
        <v>9.4499999999999993</v>
      </c>
      <c r="Q11" s="7"/>
      <c r="R11" s="7"/>
      <c r="S11" s="7"/>
      <c r="U11" s="120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</row>
    <row r="12" spans="1:41" ht="15.75" customHeight="1" x14ac:dyDescent="0.25">
      <c r="B12" s="9" t="s">
        <v>3</v>
      </c>
      <c r="C12" s="9" t="s">
        <v>24</v>
      </c>
      <c r="D12" s="62">
        <v>1.03</v>
      </c>
      <c r="E12" s="31">
        <v>6.36</v>
      </c>
      <c r="F12" s="32">
        <f t="shared" si="0"/>
        <v>6.5508000000000006</v>
      </c>
      <c r="G12" s="33">
        <f t="shared" si="1"/>
        <v>3.1844660194174756</v>
      </c>
      <c r="H12" s="101">
        <v>3.28</v>
      </c>
      <c r="I12" s="122">
        <v>3.91</v>
      </c>
      <c r="J12" s="95">
        <v>5.41</v>
      </c>
      <c r="K12" s="122">
        <f t="shared" si="2"/>
        <v>-1.5</v>
      </c>
      <c r="L12" s="248">
        <v>6</v>
      </c>
      <c r="M12" s="250">
        <f t="shared" si="3"/>
        <v>5.825242718446602</v>
      </c>
      <c r="N12" s="468">
        <v>6.46</v>
      </c>
      <c r="Q12" s="7"/>
      <c r="R12" s="7"/>
      <c r="S12" s="7"/>
      <c r="U12" s="120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</row>
    <row r="13" spans="1:41" ht="15.75" customHeight="1" x14ac:dyDescent="0.25">
      <c r="B13" s="9" t="s">
        <v>185</v>
      </c>
      <c r="C13" s="9" t="s">
        <v>218</v>
      </c>
      <c r="D13" s="62">
        <v>1.1100000000000001</v>
      </c>
      <c r="E13" s="31"/>
      <c r="F13" s="32"/>
      <c r="G13" s="33"/>
      <c r="H13" s="101"/>
      <c r="I13" s="122">
        <v>0</v>
      </c>
      <c r="J13" s="95">
        <v>1.36</v>
      </c>
      <c r="K13" s="122">
        <f>I13-J13</f>
        <v>-1.36</v>
      </c>
      <c r="L13" s="248">
        <v>4</v>
      </c>
      <c r="M13" s="250">
        <f t="shared" si="3"/>
        <v>3.6036036036036032</v>
      </c>
      <c r="N13" s="468">
        <v>3.93</v>
      </c>
      <c r="Q13" s="7"/>
      <c r="R13" s="7"/>
      <c r="S13" s="7"/>
      <c r="U13" s="120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</row>
    <row r="14" spans="1:41" ht="15.75" customHeight="1" x14ac:dyDescent="0.25">
      <c r="B14" s="35" t="s">
        <v>84</v>
      </c>
      <c r="C14" s="9" t="s">
        <v>190</v>
      </c>
      <c r="D14" s="62">
        <v>1.1299999999999999</v>
      </c>
      <c r="E14" s="31"/>
      <c r="F14" s="32"/>
      <c r="G14" s="34">
        <f t="shared" si="1"/>
        <v>0</v>
      </c>
      <c r="H14" s="34">
        <v>0</v>
      </c>
      <c r="I14" s="110">
        <v>2</v>
      </c>
      <c r="J14" s="95">
        <v>2.83</v>
      </c>
      <c r="K14" s="122">
        <f t="shared" si="2"/>
        <v>-0.83000000000000007</v>
      </c>
      <c r="L14" s="248">
        <v>4</v>
      </c>
      <c r="M14" s="250">
        <f t="shared" si="3"/>
        <v>3.5398230088495577</v>
      </c>
      <c r="N14" s="468">
        <v>4.84</v>
      </c>
      <c r="Q14" s="7"/>
      <c r="R14" s="7"/>
      <c r="S14" s="7"/>
      <c r="U14" s="120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</row>
    <row r="15" spans="1:41" ht="15.75" customHeight="1" x14ac:dyDescent="0.25">
      <c r="B15" s="35" t="s">
        <v>202</v>
      </c>
      <c r="C15" s="9" t="s">
        <v>40</v>
      </c>
      <c r="D15" s="62">
        <v>10</v>
      </c>
      <c r="E15" s="31"/>
      <c r="F15" s="32"/>
      <c r="G15" s="34"/>
      <c r="H15" s="34"/>
      <c r="I15" s="110">
        <v>0</v>
      </c>
      <c r="J15" s="95">
        <v>0</v>
      </c>
      <c r="K15" s="122">
        <f>I15-J15</f>
        <v>0</v>
      </c>
      <c r="L15" s="248">
        <v>30</v>
      </c>
      <c r="M15" s="250">
        <f t="shared" si="3"/>
        <v>3</v>
      </c>
      <c r="N15" s="468">
        <v>33.6</v>
      </c>
      <c r="Q15" s="7"/>
      <c r="R15" s="7"/>
      <c r="S15" s="7"/>
      <c r="U15" s="120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</row>
    <row r="16" spans="1:41" ht="15.75" customHeight="1" x14ac:dyDescent="0.25">
      <c r="B16" s="35" t="s">
        <v>7</v>
      </c>
      <c r="C16" s="72" t="s">
        <v>109</v>
      </c>
      <c r="D16" s="123">
        <v>2</v>
      </c>
      <c r="E16" s="31"/>
      <c r="F16" s="32"/>
      <c r="G16" s="31"/>
      <c r="H16" s="101"/>
      <c r="I16" s="110">
        <v>10.6</v>
      </c>
      <c r="J16" s="95">
        <v>14.28</v>
      </c>
      <c r="K16" s="122">
        <f t="shared" si="2"/>
        <v>-3.6799999999999997</v>
      </c>
      <c r="L16" s="248">
        <v>12</v>
      </c>
      <c r="M16" s="250">
        <f t="shared" si="3"/>
        <v>6</v>
      </c>
      <c r="N16" s="468">
        <v>14.3</v>
      </c>
      <c r="Q16" s="7"/>
      <c r="R16" s="7"/>
      <c r="S16" s="7"/>
      <c r="U16" s="120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</row>
    <row r="17" spans="1:39" ht="15.75" customHeight="1" x14ac:dyDescent="0.25">
      <c r="B17" s="35" t="s">
        <v>7</v>
      </c>
      <c r="C17" s="72" t="s">
        <v>110</v>
      </c>
      <c r="D17" s="123">
        <v>1.5</v>
      </c>
      <c r="E17" s="31"/>
      <c r="F17" s="32"/>
      <c r="G17" s="31"/>
      <c r="H17" s="101"/>
      <c r="I17" s="110">
        <v>7.5</v>
      </c>
      <c r="J17" s="95">
        <v>7.76</v>
      </c>
      <c r="K17" s="122">
        <f t="shared" si="2"/>
        <v>-0.25999999999999979</v>
      </c>
      <c r="L17" s="248">
        <v>8</v>
      </c>
      <c r="M17" s="250">
        <f t="shared" si="3"/>
        <v>5.333333333333333</v>
      </c>
      <c r="N17" s="468">
        <v>8.34</v>
      </c>
      <c r="P17" s="13"/>
      <c r="Q17" s="27"/>
      <c r="R17" s="28"/>
      <c r="S17" s="26"/>
      <c r="U17" s="35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</row>
    <row r="18" spans="1:39" ht="15.75" customHeight="1" x14ac:dyDescent="0.25">
      <c r="B18" s="35" t="s">
        <v>7</v>
      </c>
      <c r="C18" s="72" t="s">
        <v>100</v>
      </c>
      <c r="D18" s="123">
        <v>1.25</v>
      </c>
      <c r="E18" s="31"/>
      <c r="F18" s="32"/>
      <c r="G18" s="31"/>
      <c r="H18" s="101"/>
      <c r="I18" s="110">
        <v>5.2</v>
      </c>
      <c r="J18" s="95">
        <v>6.27</v>
      </c>
      <c r="K18" s="122">
        <f t="shared" si="2"/>
        <v>-1.0699999999999994</v>
      </c>
      <c r="L18" s="248">
        <v>0</v>
      </c>
      <c r="M18" s="250">
        <f t="shared" si="3"/>
        <v>0</v>
      </c>
      <c r="N18" s="468">
        <v>0</v>
      </c>
      <c r="P18" s="43"/>
      <c r="Q18" s="77"/>
      <c r="R18" s="73"/>
      <c r="S18" s="75"/>
      <c r="U18" s="35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</row>
    <row r="19" spans="1:39" ht="15.75" customHeight="1" x14ac:dyDescent="0.25">
      <c r="B19" s="35" t="s">
        <v>7</v>
      </c>
      <c r="C19" s="94" t="s">
        <v>87</v>
      </c>
      <c r="D19" s="123">
        <v>10.5</v>
      </c>
      <c r="E19" s="31"/>
      <c r="F19" s="32"/>
      <c r="G19" s="31"/>
      <c r="H19" s="102"/>
      <c r="I19" s="111">
        <v>56.4</v>
      </c>
      <c r="J19" s="97">
        <v>57.71</v>
      </c>
      <c r="K19" s="122">
        <f t="shared" si="2"/>
        <v>-1.3100000000000023</v>
      </c>
      <c r="L19" s="248">
        <v>0</v>
      </c>
      <c r="M19" s="250">
        <f t="shared" si="3"/>
        <v>0</v>
      </c>
      <c r="N19" s="468">
        <v>0</v>
      </c>
      <c r="Q19" s="6"/>
      <c r="R19" s="6"/>
      <c r="S19" s="74"/>
      <c r="U19" s="79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</row>
    <row r="20" spans="1:39" ht="15.75" customHeight="1" x14ac:dyDescent="0.25">
      <c r="B20" s="35" t="s">
        <v>7</v>
      </c>
      <c r="C20" s="94" t="s">
        <v>121</v>
      </c>
      <c r="D20" s="123">
        <v>1.7</v>
      </c>
      <c r="E20" s="31"/>
      <c r="F20" s="32"/>
      <c r="G20" s="31"/>
      <c r="H20" s="102"/>
      <c r="I20" s="111">
        <v>0</v>
      </c>
      <c r="J20" s="97">
        <v>8.98</v>
      </c>
      <c r="K20" s="122">
        <f t="shared" si="2"/>
        <v>-8.98</v>
      </c>
      <c r="L20" s="248">
        <v>20</v>
      </c>
      <c r="M20" s="250">
        <v>0</v>
      </c>
      <c r="N20" s="468">
        <v>24.34</v>
      </c>
      <c r="Q20" s="6"/>
      <c r="R20" s="6"/>
      <c r="S20" s="74"/>
      <c r="U20" s="79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</row>
    <row r="21" spans="1:39" ht="15.75" customHeight="1" x14ac:dyDescent="0.25">
      <c r="B21" s="133" t="s">
        <v>7</v>
      </c>
      <c r="C21" s="134" t="s">
        <v>113</v>
      </c>
      <c r="D21" s="135">
        <v>10.5</v>
      </c>
      <c r="E21" s="31"/>
      <c r="F21" s="32"/>
      <c r="G21" s="31"/>
      <c r="H21" s="102"/>
      <c r="I21" s="111">
        <v>0</v>
      </c>
      <c r="J21" s="97">
        <v>0</v>
      </c>
      <c r="K21" s="122">
        <f t="shared" si="2"/>
        <v>0</v>
      </c>
      <c r="L21" s="469">
        <v>50</v>
      </c>
      <c r="M21" s="470">
        <f t="shared" si="3"/>
        <v>4.7619047619047619</v>
      </c>
      <c r="N21" s="471">
        <v>38.03</v>
      </c>
      <c r="Q21" s="6"/>
      <c r="R21" s="6"/>
      <c r="S21" s="74"/>
      <c r="U21" s="79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</row>
    <row r="22" spans="1:39" ht="15.75" customHeight="1" x14ac:dyDescent="0.25">
      <c r="B22" s="12"/>
      <c r="C22" s="147" t="s">
        <v>114</v>
      </c>
      <c r="D22" s="148">
        <f>SUM(D4:D12)</f>
        <v>13.79</v>
      </c>
      <c r="E22" s="167"/>
      <c r="F22" s="168"/>
      <c r="G22" s="167"/>
      <c r="H22" s="169"/>
      <c r="I22" s="170">
        <f>SUM(I4:I12)</f>
        <v>89.939999999999984</v>
      </c>
      <c r="J22" s="171">
        <f>SUM(J4:J12)</f>
        <v>93.85</v>
      </c>
      <c r="K22" s="170">
        <f>I22-J22</f>
        <v>-3.9100000000000108</v>
      </c>
      <c r="L22" s="248">
        <f>SUM(L4:L12)</f>
        <v>95</v>
      </c>
      <c r="M22" s="250">
        <f t="shared" si="3"/>
        <v>6.8890500362581584</v>
      </c>
      <c r="N22" s="484">
        <f>SUM(N4:N12)</f>
        <v>87.61</v>
      </c>
      <c r="O22" s="85" t="s">
        <v>212</v>
      </c>
      <c r="P22" s="71"/>
      <c r="Q22" s="6"/>
      <c r="R22" s="6"/>
      <c r="S22" s="74"/>
      <c r="U22" s="120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</row>
    <row r="23" spans="1:39" ht="15.75" customHeight="1" x14ac:dyDescent="0.25">
      <c r="B23" s="12"/>
      <c r="C23" s="92" t="s">
        <v>118</v>
      </c>
      <c r="D23" s="144">
        <v>12.24</v>
      </c>
      <c r="E23" s="161"/>
      <c r="F23" s="168"/>
      <c r="G23" s="161"/>
      <c r="H23" s="169"/>
      <c r="I23" s="172">
        <v>2</v>
      </c>
      <c r="J23" s="145">
        <f>SUM(J13:J15)</f>
        <v>4.1900000000000004</v>
      </c>
      <c r="K23" s="172">
        <f>I23-J23</f>
        <v>-2.1900000000000004</v>
      </c>
      <c r="L23" s="248">
        <f>SUM(L13:L15)</f>
        <v>38</v>
      </c>
      <c r="M23" s="250">
        <f t="shared" si="3"/>
        <v>3.1045751633986929</v>
      </c>
      <c r="N23" s="484">
        <f>SUM(N13:N15)</f>
        <v>42.370000000000005</v>
      </c>
      <c r="Q23" s="7"/>
      <c r="R23" s="7"/>
      <c r="S23" s="7"/>
      <c r="U23" s="120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</row>
    <row r="24" spans="1:39" ht="15.75" customHeight="1" thickBot="1" x14ac:dyDescent="0.3">
      <c r="C24" s="146" t="s">
        <v>116</v>
      </c>
      <c r="D24" s="173">
        <f>SUM(D16:D21)</f>
        <v>27.45</v>
      </c>
      <c r="E24" s="174"/>
      <c r="F24" s="175"/>
      <c r="G24" s="174"/>
      <c r="H24" s="176"/>
      <c r="I24" s="177">
        <f>SUM(I16:I21)</f>
        <v>79.7</v>
      </c>
      <c r="J24" s="178">
        <f>SUM(J16:J21)</f>
        <v>95</v>
      </c>
      <c r="K24" s="177">
        <f>I24-J24</f>
        <v>-15.299999999999997</v>
      </c>
      <c r="L24" s="472">
        <v>70</v>
      </c>
      <c r="M24" s="473">
        <f t="shared" si="3"/>
        <v>2.5500910746812386</v>
      </c>
      <c r="N24" s="547">
        <f>SUM(N16:N21)</f>
        <v>85.01</v>
      </c>
      <c r="Q24" s="7"/>
      <c r="R24" s="7"/>
      <c r="S24" s="7"/>
      <c r="U24" s="120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</row>
    <row r="25" spans="1:39" ht="15.75" customHeight="1" thickTop="1" x14ac:dyDescent="0.25">
      <c r="C25" s="142" t="s">
        <v>117</v>
      </c>
      <c r="D25" s="145">
        <f>SUM(D4:D19)</f>
        <v>41.28</v>
      </c>
      <c r="E25" s="145"/>
      <c r="F25" s="145"/>
      <c r="G25" s="145"/>
      <c r="H25" s="145"/>
      <c r="I25" s="172">
        <f>SUM(I22:I24)</f>
        <v>171.64</v>
      </c>
      <c r="J25" s="145">
        <f>SUM(J22:J24)</f>
        <v>193.04</v>
      </c>
      <c r="K25" s="172">
        <f>SUM(K22:K24)</f>
        <v>-21.400000000000009</v>
      </c>
      <c r="L25" s="469">
        <f>SUM(L22:L24)</f>
        <v>203</v>
      </c>
      <c r="M25" s="470">
        <f t="shared" si="3"/>
        <v>4.9176356589147288</v>
      </c>
      <c r="N25" s="505">
        <f>SUM(N22:N24)</f>
        <v>214.99</v>
      </c>
      <c r="O25" s="486"/>
      <c r="Q25" s="7"/>
      <c r="R25" s="7"/>
      <c r="S25" s="7"/>
      <c r="U25" s="120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</row>
    <row r="26" spans="1:39" s="15" customFormat="1" ht="15.75" customHeight="1" x14ac:dyDescent="0.25">
      <c r="A26" s="3" t="s">
        <v>13</v>
      </c>
      <c r="D26" s="3"/>
      <c r="E26" s="103"/>
      <c r="F26" s="103"/>
      <c r="G26" s="103"/>
      <c r="H26" s="103"/>
      <c r="I26" s="114"/>
      <c r="J26" s="83"/>
      <c r="K26" s="115"/>
      <c r="L26" s="478"/>
      <c r="M26" s="479"/>
      <c r="N26" s="480"/>
      <c r="O26" s="69" t="s">
        <v>223</v>
      </c>
      <c r="Q26" s="121"/>
      <c r="R26" s="121"/>
      <c r="S26" s="121"/>
      <c r="U26" s="120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</row>
    <row r="27" spans="1:39" ht="15.75" customHeight="1" x14ac:dyDescent="0.25">
      <c r="B27" s="9" t="s">
        <v>3</v>
      </c>
      <c r="C27" s="9" t="s">
        <v>29</v>
      </c>
      <c r="D27" s="93">
        <v>4.32</v>
      </c>
      <c r="E27" s="131">
        <f>F27/D27</f>
        <v>5.9490740740740735</v>
      </c>
      <c r="F27" s="184">
        <v>25.7</v>
      </c>
      <c r="G27" s="131">
        <f>H27/D27</f>
        <v>9.129629629629628</v>
      </c>
      <c r="H27" s="185">
        <v>39.44</v>
      </c>
      <c r="I27" s="122">
        <v>36.31</v>
      </c>
      <c r="J27" s="97">
        <v>36.72</v>
      </c>
      <c r="K27" s="122">
        <f>I27-J27</f>
        <v>-0.40999999999999659</v>
      </c>
      <c r="L27" s="481">
        <v>36</v>
      </c>
      <c r="M27" s="482">
        <f t="shared" si="3"/>
        <v>8.3333333333333321</v>
      </c>
      <c r="N27" s="468">
        <v>43.1</v>
      </c>
      <c r="Q27" s="7"/>
      <c r="R27" s="7"/>
      <c r="S27" s="7"/>
      <c r="U27" s="120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</row>
    <row r="28" spans="1:39" ht="15.75" customHeight="1" x14ac:dyDescent="0.25">
      <c r="B28" s="9" t="s">
        <v>3</v>
      </c>
      <c r="C28" s="9" t="s">
        <v>31</v>
      </c>
      <c r="D28" s="93">
        <v>1.92</v>
      </c>
      <c r="E28" s="131">
        <f>F28/D28</f>
        <v>6.354166666666667</v>
      </c>
      <c r="F28" s="184">
        <v>12.2</v>
      </c>
      <c r="G28" s="131">
        <f>H28/D28</f>
        <v>8.984375</v>
      </c>
      <c r="H28" s="185">
        <v>17.25</v>
      </c>
      <c r="I28" s="122">
        <v>17.260000000000002</v>
      </c>
      <c r="J28" s="97">
        <v>13.52</v>
      </c>
      <c r="K28" s="122">
        <f t="shared" ref="K28:K31" si="4">I28-J28</f>
        <v>3.740000000000002</v>
      </c>
      <c r="L28" s="481">
        <v>15</v>
      </c>
      <c r="M28" s="482">
        <f t="shared" si="3"/>
        <v>7.8125</v>
      </c>
      <c r="N28" s="468">
        <v>14.85</v>
      </c>
      <c r="O28" s="69" t="s">
        <v>251</v>
      </c>
      <c r="Q28" s="7"/>
      <c r="R28" s="7"/>
      <c r="S28" s="7"/>
      <c r="U28" s="120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</row>
    <row r="29" spans="1:39" ht="15.75" customHeight="1" x14ac:dyDescent="0.25">
      <c r="B29" s="9" t="s">
        <v>86</v>
      </c>
      <c r="C29" s="9" t="s">
        <v>32</v>
      </c>
      <c r="D29" s="39">
        <v>3.29</v>
      </c>
      <c r="E29" s="131">
        <f>F29/D29</f>
        <v>5.9270516717325226</v>
      </c>
      <c r="F29" s="184">
        <v>19.5</v>
      </c>
      <c r="G29" s="131">
        <f>H29/D29</f>
        <v>12.398176291793312</v>
      </c>
      <c r="H29" s="185">
        <v>40.79</v>
      </c>
      <c r="I29" s="122">
        <v>38.07</v>
      </c>
      <c r="J29" s="95">
        <v>19.64</v>
      </c>
      <c r="K29" s="122">
        <f t="shared" si="4"/>
        <v>18.43</v>
      </c>
      <c r="L29" s="481">
        <v>35</v>
      </c>
      <c r="M29" s="482">
        <f t="shared" si="3"/>
        <v>10.638297872340425</v>
      </c>
      <c r="N29" s="468">
        <v>30.79</v>
      </c>
      <c r="O29" s="562" t="s">
        <v>232</v>
      </c>
      <c r="Q29" s="7"/>
      <c r="R29" s="7"/>
      <c r="S29" s="7"/>
      <c r="U29" s="120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</row>
    <row r="30" spans="1:39" ht="15.75" customHeight="1" x14ac:dyDescent="0.25">
      <c r="B30" s="9" t="s">
        <v>84</v>
      </c>
      <c r="C30" s="9" t="s">
        <v>191</v>
      </c>
      <c r="D30" s="39">
        <v>7.57</v>
      </c>
      <c r="E30" s="131"/>
      <c r="F30" s="184"/>
      <c r="G30" s="215">
        <v>0</v>
      </c>
      <c r="H30" s="215">
        <f t="shared" ref="H30" si="5">G30*$D30</f>
        <v>0</v>
      </c>
      <c r="I30" s="124">
        <v>0</v>
      </c>
      <c r="J30" s="95">
        <v>13.82</v>
      </c>
      <c r="K30" s="122">
        <f t="shared" si="4"/>
        <v>-13.82</v>
      </c>
      <c r="L30" s="469">
        <v>20</v>
      </c>
      <c r="M30" s="470">
        <f t="shared" si="3"/>
        <v>2.6420079260237781</v>
      </c>
      <c r="N30" s="471">
        <v>56.75</v>
      </c>
      <c r="O30" s="562" t="s">
        <v>233</v>
      </c>
      <c r="Q30" s="7"/>
      <c r="R30" s="7"/>
      <c r="S30" s="7"/>
      <c r="U30" s="79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</row>
    <row r="31" spans="1:39" ht="15.75" customHeight="1" x14ac:dyDescent="0.25">
      <c r="B31" s="12"/>
      <c r="C31" s="147" t="s">
        <v>114</v>
      </c>
      <c r="D31" s="154">
        <f>SUM(D27:D28)</f>
        <v>6.24</v>
      </c>
      <c r="E31" s="154"/>
      <c r="F31" s="155"/>
      <c r="G31" s="154"/>
      <c r="H31" s="155"/>
      <c r="I31" s="156">
        <f>SUM(I27:I28)</f>
        <v>53.570000000000007</v>
      </c>
      <c r="J31" s="157">
        <f>SUM(J27:J28)</f>
        <v>50.239999999999995</v>
      </c>
      <c r="K31" s="156">
        <f t="shared" si="4"/>
        <v>3.3300000000000125</v>
      </c>
      <c r="L31" s="248">
        <f>SUM(L27:L28)</f>
        <v>51</v>
      </c>
      <c r="M31" s="250">
        <f t="shared" si="3"/>
        <v>8.1730769230769234</v>
      </c>
      <c r="N31" s="484">
        <f>SUM(N27,N28)</f>
        <v>57.95</v>
      </c>
      <c r="O31" s="69" t="s">
        <v>252</v>
      </c>
      <c r="P31" s="13"/>
      <c r="Q31" s="27"/>
      <c r="R31" s="28"/>
      <c r="S31" s="26"/>
      <c r="U31" s="79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</row>
    <row r="32" spans="1:39" ht="15.75" customHeight="1" x14ac:dyDescent="0.25">
      <c r="B32" s="12"/>
      <c r="C32" s="71" t="s">
        <v>119</v>
      </c>
      <c r="D32" s="130">
        <f>SUM(D29:D30)</f>
        <v>10.86</v>
      </c>
      <c r="E32" s="130"/>
      <c r="F32" s="159"/>
      <c r="G32" s="130"/>
      <c r="H32" s="159"/>
      <c r="I32" s="160">
        <f>SUM(I29)</f>
        <v>38.07</v>
      </c>
      <c r="J32" s="161">
        <f>SUM(J29,J30)</f>
        <v>33.46</v>
      </c>
      <c r="K32" s="166">
        <f>I32-J32</f>
        <v>4.6099999999999994</v>
      </c>
      <c r="L32" s="248">
        <v>55</v>
      </c>
      <c r="M32" s="250">
        <f t="shared" si="3"/>
        <v>5.0644567219152856</v>
      </c>
      <c r="N32" s="484">
        <f>SUM(N29,N30)</f>
        <v>87.539999999999992</v>
      </c>
      <c r="O32" s="69" t="s">
        <v>253</v>
      </c>
      <c r="Q32" s="6"/>
      <c r="R32" s="6"/>
      <c r="S32" s="74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</row>
    <row r="33" spans="1:39" ht="15.75" customHeight="1" thickBot="1" x14ac:dyDescent="0.3">
      <c r="C33" s="152" t="s">
        <v>116</v>
      </c>
      <c r="D33" s="162">
        <v>0</v>
      </c>
      <c r="E33" s="162"/>
      <c r="F33" s="163"/>
      <c r="G33" s="162"/>
      <c r="H33" s="163"/>
      <c r="I33" s="164">
        <v>0</v>
      </c>
      <c r="J33" s="165">
        <v>0</v>
      </c>
      <c r="K33" s="164">
        <f t="shared" ref="K33" si="6">I33-J33</f>
        <v>0</v>
      </c>
      <c r="L33" s="472"/>
      <c r="M33" s="473"/>
      <c r="N33" s="485">
        <v>0</v>
      </c>
      <c r="O33" s="69" t="s">
        <v>254</v>
      </c>
      <c r="P33" s="13"/>
      <c r="Q33" s="27"/>
      <c r="R33" s="27"/>
      <c r="S33" s="29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</row>
    <row r="34" spans="1:39" ht="15.75" customHeight="1" thickTop="1" x14ac:dyDescent="0.25">
      <c r="C34" s="79" t="s">
        <v>117</v>
      </c>
      <c r="D34" s="130">
        <f>SUM(D31:D32)</f>
        <v>17.100000000000001</v>
      </c>
      <c r="E34" s="129"/>
      <c r="F34" s="129"/>
      <c r="G34" s="129"/>
      <c r="H34" s="129"/>
      <c r="I34" s="166">
        <f>SUM(I31:I32)</f>
        <v>91.640000000000015</v>
      </c>
      <c r="J34" s="153">
        <f>SUM(J31:J33)</f>
        <v>83.699999999999989</v>
      </c>
      <c r="K34" s="166">
        <f>I34-J34</f>
        <v>7.9400000000000261</v>
      </c>
      <c r="L34" s="248">
        <f>SUM(L31:L33)</f>
        <v>106</v>
      </c>
      <c r="M34" s="250">
        <f t="shared" si="3"/>
        <v>6.1988304093567246</v>
      </c>
      <c r="N34" s="504">
        <f>SUM(N31:N33)</f>
        <v>145.49</v>
      </c>
      <c r="O34" s="563" t="s">
        <v>213</v>
      </c>
      <c r="V34" s="11"/>
    </row>
    <row r="35" spans="1:39" s="15" customFormat="1" ht="15.75" customHeight="1" x14ac:dyDescent="0.25">
      <c r="A35" s="3" t="s">
        <v>15</v>
      </c>
      <c r="C35" s="3"/>
      <c r="D35" s="37"/>
      <c r="E35" s="103"/>
      <c r="F35" s="16"/>
      <c r="G35" s="103"/>
      <c r="H35" s="103"/>
      <c r="I35" s="114"/>
      <c r="J35" s="83"/>
      <c r="K35" s="115"/>
      <c r="L35" s="478"/>
      <c r="M35" s="479"/>
      <c r="N35" s="480"/>
      <c r="O35" s="560" t="s">
        <v>225</v>
      </c>
    </row>
    <row r="36" spans="1:39" ht="15.75" customHeight="1" x14ac:dyDescent="0.25">
      <c r="B36" s="9" t="s">
        <v>3</v>
      </c>
      <c r="C36" s="9" t="s">
        <v>36</v>
      </c>
      <c r="D36" s="39">
        <v>4.04</v>
      </c>
      <c r="E36" s="131">
        <f>F36/D36</f>
        <v>5.2722772277227721</v>
      </c>
      <c r="F36" s="184">
        <v>21.3</v>
      </c>
      <c r="G36" s="131">
        <f>H36/D36</f>
        <v>5.6534653465346532</v>
      </c>
      <c r="H36" s="185">
        <v>22.84</v>
      </c>
      <c r="I36" s="122">
        <v>20.239999999999998</v>
      </c>
      <c r="J36" s="95">
        <v>26.77</v>
      </c>
      <c r="K36" s="122">
        <f>I36-J36</f>
        <v>-6.5300000000000011</v>
      </c>
      <c r="L36" s="481">
        <v>26</v>
      </c>
      <c r="M36" s="482">
        <f t="shared" si="3"/>
        <v>6.435643564356436</v>
      </c>
      <c r="N36" s="468">
        <v>25.52</v>
      </c>
      <c r="O36" s="69" t="s">
        <v>226</v>
      </c>
    </row>
    <row r="37" spans="1:39" ht="15.75" customHeight="1" x14ac:dyDescent="0.25">
      <c r="B37" s="9" t="s">
        <v>86</v>
      </c>
      <c r="C37" s="9" t="s">
        <v>37</v>
      </c>
      <c r="D37" s="39">
        <v>5.04</v>
      </c>
      <c r="E37" s="131">
        <f>F37/D37</f>
        <v>5.2063492063492056</v>
      </c>
      <c r="F37" s="184">
        <v>26.24</v>
      </c>
      <c r="G37" s="131">
        <f t="shared" ref="G37:G38" si="7">H37/D37</f>
        <v>7.5634920634920633</v>
      </c>
      <c r="H37" s="185">
        <v>38.119999999999997</v>
      </c>
      <c r="I37" s="122">
        <v>29.95</v>
      </c>
      <c r="J37" s="95">
        <v>32.630000000000003</v>
      </c>
      <c r="K37" s="122">
        <f t="shared" ref="K37:K42" si="8">I37-J37</f>
        <v>-2.6800000000000033</v>
      </c>
      <c r="L37" s="481">
        <v>32</v>
      </c>
      <c r="M37" s="482">
        <f t="shared" si="3"/>
        <v>6.3492063492063489</v>
      </c>
      <c r="N37" s="468">
        <v>27.26</v>
      </c>
      <c r="O37" s="69" t="s">
        <v>234</v>
      </c>
    </row>
    <row r="38" spans="1:39" ht="15.75" customHeight="1" x14ac:dyDescent="0.25">
      <c r="B38" s="9" t="s">
        <v>6</v>
      </c>
      <c r="C38" s="9" t="s">
        <v>38</v>
      </c>
      <c r="D38" s="39">
        <v>1.65</v>
      </c>
      <c r="E38" s="131">
        <f>F38/D38</f>
        <v>8.0121212121212135</v>
      </c>
      <c r="F38" s="184">
        <v>13.22</v>
      </c>
      <c r="G38" s="131">
        <f t="shared" si="7"/>
        <v>8.2060606060606052</v>
      </c>
      <c r="H38" s="185">
        <v>13.54</v>
      </c>
      <c r="I38" s="122">
        <v>12.07</v>
      </c>
      <c r="J38" s="95">
        <v>12.47</v>
      </c>
      <c r="K38" s="122">
        <f t="shared" si="8"/>
        <v>-0.40000000000000036</v>
      </c>
      <c r="L38" s="469">
        <v>12</v>
      </c>
      <c r="M38" s="470">
        <f t="shared" si="3"/>
        <v>7.2727272727272734</v>
      </c>
      <c r="N38" s="471">
        <v>14.53</v>
      </c>
      <c r="O38" s="69" t="s">
        <v>227</v>
      </c>
    </row>
    <row r="39" spans="1:39" ht="15.75" customHeight="1" x14ac:dyDescent="0.25">
      <c r="B39" s="12"/>
      <c r="C39" s="147" t="s">
        <v>114</v>
      </c>
      <c r="D39" s="158">
        <f>SUM(D36,D38)</f>
        <v>5.6899999999999995</v>
      </c>
      <c r="E39" s="158"/>
      <c r="F39" s="158"/>
      <c r="G39" s="158"/>
      <c r="H39" s="158"/>
      <c r="I39" s="156">
        <f>SUM(I36,I38)</f>
        <v>32.31</v>
      </c>
      <c r="J39" s="216">
        <f>SUM(J36,J38)</f>
        <v>39.24</v>
      </c>
      <c r="K39" s="156">
        <f t="shared" si="8"/>
        <v>-6.93</v>
      </c>
      <c r="L39" s="248">
        <f>SUM(L36,L38)</f>
        <v>38</v>
      </c>
      <c r="M39" s="250">
        <f t="shared" si="3"/>
        <v>6.6783831282952555</v>
      </c>
      <c r="N39" s="484">
        <f>SUM(N36,N38)</f>
        <v>40.049999999999997</v>
      </c>
      <c r="O39" s="85" t="s">
        <v>224</v>
      </c>
    </row>
    <row r="40" spans="1:39" ht="15.75" customHeight="1" x14ac:dyDescent="0.25">
      <c r="B40" s="12"/>
      <c r="C40" s="71" t="s">
        <v>118</v>
      </c>
      <c r="D40" s="153">
        <v>5.04</v>
      </c>
      <c r="E40" s="153"/>
      <c r="F40" s="208"/>
      <c r="G40" s="153"/>
      <c r="H40" s="208"/>
      <c r="I40" s="160">
        <v>27.94</v>
      </c>
      <c r="J40" s="145">
        <v>29.95</v>
      </c>
      <c r="K40" s="166">
        <f t="shared" si="8"/>
        <v>-2.009999999999998</v>
      </c>
      <c r="L40" s="248">
        <v>32</v>
      </c>
      <c r="M40" s="250">
        <f t="shared" si="3"/>
        <v>6.3492063492063489</v>
      </c>
      <c r="N40" s="569">
        <v>27.26</v>
      </c>
      <c r="O40" s="568" t="s">
        <v>229</v>
      </c>
    </row>
    <row r="41" spans="1:39" ht="15.75" customHeight="1" thickBot="1" x14ac:dyDescent="0.3">
      <c r="C41" s="152" t="s">
        <v>116</v>
      </c>
      <c r="D41" s="165" t="s">
        <v>108</v>
      </c>
      <c r="E41" s="165"/>
      <c r="F41" s="165"/>
      <c r="G41" s="165"/>
      <c r="H41" s="165"/>
      <c r="I41" s="164">
        <v>0</v>
      </c>
      <c r="J41" s="165">
        <v>0</v>
      </c>
      <c r="K41" s="164">
        <f t="shared" si="8"/>
        <v>0</v>
      </c>
      <c r="L41" s="472">
        <v>0</v>
      </c>
      <c r="M41" s="473"/>
      <c r="N41" s="485">
        <v>0</v>
      </c>
    </row>
    <row r="42" spans="1:39" ht="15.75" customHeight="1" thickTop="1" x14ac:dyDescent="0.25">
      <c r="C42" s="79" t="s">
        <v>117</v>
      </c>
      <c r="D42" s="130">
        <f>SUM(D39,D40)</f>
        <v>10.73</v>
      </c>
      <c r="E42" s="129"/>
      <c r="F42" s="129"/>
      <c r="G42" s="129"/>
      <c r="H42" s="129"/>
      <c r="I42" s="166">
        <f>SUM(I39:I40)</f>
        <v>60.25</v>
      </c>
      <c r="J42" s="153">
        <f>SUM(J39:J40)</f>
        <v>69.19</v>
      </c>
      <c r="K42" s="166">
        <f t="shared" si="8"/>
        <v>-8.9399999999999977</v>
      </c>
      <c r="L42" s="248">
        <f>SUM(L39:L40)</f>
        <v>70</v>
      </c>
      <c r="M42" s="250">
        <f t="shared" si="3"/>
        <v>6.5237651444547993</v>
      </c>
      <c r="N42" s="504">
        <f>SUM(N39:N41)</f>
        <v>67.31</v>
      </c>
      <c r="O42" s="69" t="s">
        <v>228</v>
      </c>
    </row>
    <row r="43" spans="1:39" s="15" customFormat="1" ht="15.75" customHeight="1" x14ac:dyDescent="0.25">
      <c r="A43" s="3" t="s">
        <v>17</v>
      </c>
      <c r="C43" s="3"/>
      <c r="D43" s="37"/>
      <c r="E43" s="103"/>
      <c r="F43" s="16"/>
      <c r="G43" s="103"/>
      <c r="H43" s="103"/>
      <c r="I43" s="114"/>
      <c r="J43" s="83"/>
      <c r="K43" s="115"/>
      <c r="L43" s="478"/>
      <c r="M43" s="479"/>
      <c r="N43" s="480"/>
      <c r="O43" s="69" t="s">
        <v>127</v>
      </c>
    </row>
    <row r="44" spans="1:39" ht="15.75" customHeight="1" x14ac:dyDescent="0.25">
      <c r="B44" s="9" t="s">
        <v>3</v>
      </c>
      <c r="C44" s="9" t="s">
        <v>39</v>
      </c>
      <c r="D44" s="62">
        <v>1.89</v>
      </c>
      <c r="E44" s="33">
        <f t="shared" ref="E44:E50" si="9">F44/D44</f>
        <v>3.8571428571428572</v>
      </c>
      <c r="F44" s="32">
        <v>7.29</v>
      </c>
      <c r="G44" s="33">
        <f>H44/D44</f>
        <v>3.412698412698413</v>
      </c>
      <c r="H44" s="101">
        <v>6.45</v>
      </c>
      <c r="I44" s="122">
        <v>9.23</v>
      </c>
      <c r="J44" s="95">
        <v>10.7</v>
      </c>
      <c r="K44" s="122">
        <f>I44-J44</f>
        <v>-1.4699999999999989</v>
      </c>
      <c r="L44" s="481">
        <v>10</v>
      </c>
      <c r="M44" s="482">
        <f t="shared" si="3"/>
        <v>5.2910052910052912</v>
      </c>
      <c r="N44" s="468">
        <v>7.22</v>
      </c>
    </row>
    <row r="45" spans="1:39" ht="15.75" customHeight="1" x14ac:dyDescent="0.25">
      <c r="B45" s="9" t="s">
        <v>86</v>
      </c>
      <c r="C45" s="9" t="s">
        <v>31</v>
      </c>
      <c r="D45" s="62">
        <v>0.57999999999999996</v>
      </c>
      <c r="E45" s="33">
        <f t="shared" si="9"/>
        <v>1.1379310344827587</v>
      </c>
      <c r="F45" s="32">
        <v>0.66</v>
      </c>
      <c r="G45" s="33">
        <f t="shared" ref="G45:G50" si="10">H45/D45</f>
        <v>5.6551724137931032</v>
      </c>
      <c r="H45" s="101">
        <v>3.28</v>
      </c>
      <c r="I45" s="122">
        <v>2.68</v>
      </c>
      <c r="J45" s="95">
        <v>3.99</v>
      </c>
      <c r="K45" s="122">
        <f>I45-J45</f>
        <v>-1.31</v>
      </c>
      <c r="L45" s="481">
        <v>3</v>
      </c>
      <c r="M45" s="482">
        <f t="shared" si="3"/>
        <v>5.1724137931034484</v>
      </c>
      <c r="N45" s="468">
        <v>3.81</v>
      </c>
      <c r="O45" s="560" t="s">
        <v>241</v>
      </c>
    </row>
    <row r="46" spans="1:39" ht="15.75" customHeight="1" x14ac:dyDescent="0.25">
      <c r="B46" s="72" t="s">
        <v>4</v>
      </c>
      <c r="C46" s="9" t="s">
        <v>40</v>
      </c>
      <c r="D46" s="62">
        <v>9.11</v>
      </c>
      <c r="E46" s="33">
        <f t="shared" si="9"/>
        <v>1.7069154774972559</v>
      </c>
      <c r="F46" s="32">
        <v>15.55</v>
      </c>
      <c r="G46" s="33">
        <f t="shared" si="10"/>
        <v>1.96377607025247</v>
      </c>
      <c r="H46" s="101">
        <v>17.89</v>
      </c>
      <c r="I46" s="122">
        <v>31.83</v>
      </c>
      <c r="J46" s="95">
        <v>22.92</v>
      </c>
      <c r="K46" s="122">
        <f t="shared" ref="K46:K60" si="11">I46-J46</f>
        <v>8.9099999999999966</v>
      </c>
      <c r="L46" s="481">
        <v>22</v>
      </c>
      <c r="M46" s="482">
        <f t="shared" si="3"/>
        <v>2.4149286498353457</v>
      </c>
      <c r="N46" s="468">
        <v>31.27</v>
      </c>
      <c r="O46" s="69" t="s">
        <v>242</v>
      </c>
    </row>
    <row r="47" spans="1:39" ht="15.75" customHeight="1" x14ac:dyDescent="0.25">
      <c r="B47" s="9" t="s">
        <v>89</v>
      </c>
      <c r="C47" s="9" t="s">
        <v>90</v>
      </c>
      <c r="D47" s="62">
        <v>7.34</v>
      </c>
      <c r="E47" s="33">
        <f t="shared" si="9"/>
        <v>4.4468664850136239</v>
      </c>
      <c r="F47" s="32">
        <v>32.64</v>
      </c>
      <c r="G47" s="33">
        <f t="shared" si="10"/>
        <v>5.5871934604904627</v>
      </c>
      <c r="H47" s="101">
        <v>41.01</v>
      </c>
      <c r="I47" s="122">
        <v>41.95</v>
      </c>
      <c r="J47" s="95">
        <v>46.96</v>
      </c>
      <c r="K47" s="122">
        <f t="shared" si="11"/>
        <v>-5.009999999999998</v>
      </c>
      <c r="L47" s="481">
        <v>45</v>
      </c>
      <c r="M47" s="482">
        <f t="shared" si="3"/>
        <v>6.130790190735695</v>
      </c>
      <c r="N47" s="468">
        <v>53.62</v>
      </c>
      <c r="O47" s="69" t="s">
        <v>243</v>
      </c>
    </row>
    <row r="48" spans="1:39" ht="15.75" customHeight="1" x14ac:dyDescent="0.25">
      <c r="A48" s="1"/>
      <c r="B48" s="18" t="s">
        <v>7</v>
      </c>
      <c r="C48" s="18" t="s">
        <v>41</v>
      </c>
      <c r="D48" s="125">
        <v>2</v>
      </c>
      <c r="E48" s="40">
        <f t="shared" si="9"/>
        <v>4.12</v>
      </c>
      <c r="F48" s="41">
        <v>8.24</v>
      </c>
      <c r="G48" s="40">
        <f t="shared" si="10"/>
        <v>2.93</v>
      </c>
      <c r="H48" s="105">
        <v>5.86</v>
      </c>
      <c r="I48" s="136">
        <v>7.8</v>
      </c>
      <c r="J48" s="97">
        <v>8.5</v>
      </c>
      <c r="K48" s="122">
        <f t="shared" si="11"/>
        <v>-0.70000000000000018</v>
      </c>
      <c r="L48" s="481">
        <v>8</v>
      </c>
      <c r="M48" s="482">
        <f t="shared" si="3"/>
        <v>4</v>
      </c>
      <c r="N48" s="468">
        <v>11.33</v>
      </c>
      <c r="O48" s="69" t="s">
        <v>245</v>
      </c>
    </row>
    <row r="49" spans="1:15" ht="15.75" customHeight="1" x14ac:dyDescent="0.25">
      <c r="B49" s="18" t="s">
        <v>7</v>
      </c>
      <c r="C49" s="18" t="s">
        <v>42</v>
      </c>
      <c r="D49" s="125">
        <v>2</v>
      </c>
      <c r="E49" s="40">
        <f t="shared" si="9"/>
        <v>2.92</v>
      </c>
      <c r="F49" s="41">
        <v>5.84</v>
      </c>
      <c r="G49" s="40">
        <f t="shared" si="10"/>
        <v>2.9449999999999998</v>
      </c>
      <c r="H49" s="105">
        <v>5.89</v>
      </c>
      <c r="I49" s="136">
        <v>8.4</v>
      </c>
      <c r="J49" s="97">
        <v>12.64</v>
      </c>
      <c r="K49" s="122">
        <f t="shared" si="11"/>
        <v>-4.24</v>
      </c>
      <c r="L49" s="481">
        <v>8</v>
      </c>
      <c r="M49" s="482">
        <f t="shared" si="3"/>
        <v>4</v>
      </c>
      <c r="N49" s="468">
        <v>12.47</v>
      </c>
      <c r="O49" s="69" t="s">
        <v>244</v>
      </c>
    </row>
    <row r="50" spans="1:15" ht="15.75" customHeight="1" x14ac:dyDescent="0.25">
      <c r="B50" s="18" t="s">
        <v>7</v>
      </c>
      <c r="C50" s="18" t="s">
        <v>43</v>
      </c>
      <c r="D50" s="125">
        <v>4</v>
      </c>
      <c r="E50" s="40">
        <f t="shared" si="9"/>
        <v>1.69</v>
      </c>
      <c r="F50" s="41">
        <v>6.76</v>
      </c>
      <c r="G50" s="40">
        <f t="shared" si="10"/>
        <v>2.73</v>
      </c>
      <c r="H50" s="105">
        <v>10.92</v>
      </c>
      <c r="I50" s="136">
        <v>16.86</v>
      </c>
      <c r="J50" s="97">
        <v>26.79</v>
      </c>
      <c r="K50" s="122">
        <f t="shared" si="11"/>
        <v>-9.93</v>
      </c>
      <c r="L50" s="481">
        <v>25</v>
      </c>
      <c r="M50" s="482">
        <f t="shared" si="3"/>
        <v>6.25</v>
      </c>
      <c r="N50" s="468">
        <v>19.97</v>
      </c>
    </row>
    <row r="51" spans="1:15" ht="15.75" customHeight="1" x14ac:dyDescent="0.25">
      <c r="B51" s="18" t="s">
        <v>7</v>
      </c>
      <c r="C51" s="18" t="s">
        <v>91</v>
      </c>
      <c r="D51" s="125">
        <v>4.25</v>
      </c>
      <c r="E51" s="40"/>
      <c r="F51" s="41"/>
      <c r="G51" s="40"/>
      <c r="H51" s="105"/>
      <c r="I51" s="136">
        <v>17.53</v>
      </c>
      <c r="J51" s="97">
        <v>20.67</v>
      </c>
      <c r="K51" s="122">
        <f t="shared" si="11"/>
        <v>-3.1400000000000006</v>
      </c>
      <c r="L51" s="481">
        <v>18</v>
      </c>
      <c r="M51" s="482">
        <f t="shared" si="3"/>
        <v>4.2352941176470589</v>
      </c>
      <c r="N51" s="468">
        <v>21.13</v>
      </c>
    </row>
    <row r="52" spans="1:15" ht="15.75" customHeight="1" x14ac:dyDescent="0.25">
      <c r="B52" s="18" t="s">
        <v>7</v>
      </c>
      <c r="C52" s="72" t="s">
        <v>99</v>
      </c>
      <c r="D52" s="125">
        <v>3</v>
      </c>
      <c r="E52" s="40"/>
      <c r="F52" s="41"/>
      <c r="G52" s="40"/>
      <c r="H52" s="105"/>
      <c r="I52" s="111">
        <v>16.100000000000001</v>
      </c>
      <c r="J52" s="95">
        <v>16.84</v>
      </c>
      <c r="K52" s="122">
        <f t="shared" si="11"/>
        <v>-0.73999999999999844</v>
      </c>
      <c r="L52" s="481">
        <v>16</v>
      </c>
      <c r="M52" s="482">
        <f t="shared" si="3"/>
        <v>5.333333333333333</v>
      </c>
      <c r="N52" s="468">
        <v>17.47</v>
      </c>
    </row>
    <row r="53" spans="1:15" ht="15.75" customHeight="1" x14ac:dyDescent="0.25">
      <c r="B53" s="18" t="s">
        <v>7</v>
      </c>
      <c r="C53" s="72" t="s">
        <v>100</v>
      </c>
      <c r="D53" s="125">
        <v>6.5</v>
      </c>
      <c r="E53" s="40"/>
      <c r="F53" s="41"/>
      <c r="G53" s="40"/>
      <c r="H53" s="105"/>
      <c r="I53" s="111">
        <v>15.1</v>
      </c>
      <c r="J53" s="95">
        <v>14.48</v>
      </c>
      <c r="K53" s="122">
        <f t="shared" si="11"/>
        <v>0.61999999999999922</v>
      </c>
      <c r="L53" s="481">
        <v>0</v>
      </c>
      <c r="M53" s="482">
        <f t="shared" si="3"/>
        <v>0</v>
      </c>
      <c r="N53" s="468">
        <v>0</v>
      </c>
    </row>
    <row r="54" spans="1:15" ht="15.75" customHeight="1" x14ac:dyDescent="0.25">
      <c r="B54" s="18" t="s">
        <v>7</v>
      </c>
      <c r="C54" s="72" t="s">
        <v>102</v>
      </c>
      <c r="D54" s="125">
        <v>4</v>
      </c>
      <c r="E54" s="40"/>
      <c r="F54" s="41"/>
      <c r="G54" s="40"/>
      <c r="H54" s="105"/>
      <c r="I54" s="111">
        <v>10.5</v>
      </c>
      <c r="J54" s="95">
        <v>0</v>
      </c>
      <c r="K54" s="122">
        <f t="shared" si="11"/>
        <v>10.5</v>
      </c>
      <c r="L54" s="481">
        <v>0</v>
      </c>
      <c r="M54" s="482">
        <f t="shared" si="3"/>
        <v>0</v>
      </c>
      <c r="N54" s="468">
        <v>0</v>
      </c>
    </row>
    <row r="55" spans="1:15" ht="15.75" customHeight="1" x14ac:dyDescent="0.25">
      <c r="B55" s="18" t="s">
        <v>7</v>
      </c>
      <c r="C55" s="72" t="s">
        <v>101</v>
      </c>
      <c r="D55" s="125">
        <v>0.3</v>
      </c>
      <c r="E55" s="40"/>
      <c r="F55" s="41"/>
      <c r="G55" s="40"/>
      <c r="H55" s="105"/>
      <c r="I55" s="111">
        <v>1.4</v>
      </c>
      <c r="J55" s="95">
        <v>0</v>
      </c>
      <c r="K55" s="122">
        <f t="shared" si="11"/>
        <v>1.4</v>
      </c>
      <c r="L55" s="481">
        <v>0</v>
      </c>
      <c r="M55" s="482">
        <f t="shared" si="3"/>
        <v>0</v>
      </c>
      <c r="N55" s="468">
        <v>0</v>
      </c>
    </row>
    <row r="56" spans="1:15" ht="15.75" customHeight="1" x14ac:dyDescent="0.25">
      <c r="B56" s="139" t="s">
        <v>7</v>
      </c>
      <c r="C56" s="133" t="s">
        <v>113</v>
      </c>
      <c r="D56" s="140">
        <v>10</v>
      </c>
      <c r="E56" s="40"/>
      <c r="F56" s="105"/>
      <c r="G56" s="40"/>
      <c r="H56" s="105"/>
      <c r="I56" s="111">
        <v>0</v>
      </c>
      <c r="J56" s="138">
        <v>0</v>
      </c>
      <c r="K56" s="122">
        <f t="shared" si="11"/>
        <v>0</v>
      </c>
      <c r="L56" s="469">
        <v>0</v>
      </c>
      <c r="M56" s="470">
        <f t="shared" si="3"/>
        <v>0</v>
      </c>
      <c r="N56" s="471">
        <v>0</v>
      </c>
    </row>
    <row r="57" spans="1:15" ht="15.75" customHeight="1" x14ac:dyDescent="0.25">
      <c r="A57" s="69"/>
      <c r="B57" s="12"/>
      <c r="C57" s="147" t="s">
        <v>114</v>
      </c>
      <c r="D57" s="171">
        <f>SUM(D44+D46)</f>
        <v>11</v>
      </c>
      <c r="E57" s="171"/>
      <c r="F57" s="171"/>
      <c r="G57" s="171"/>
      <c r="H57" s="171"/>
      <c r="I57" s="182">
        <f>SUM(I44,I46)</f>
        <v>41.06</v>
      </c>
      <c r="J57" s="171">
        <f>SUM(J44,J46)</f>
        <v>33.620000000000005</v>
      </c>
      <c r="K57" s="156">
        <f t="shared" si="11"/>
        <v>7.4399999999999977</v>
      </c>
      <c r="L57" s="248">
        <f>SUM(L44,L46)</f>
        <v>32</v>
      </c>
      <c r="M57" s="250">
        <f t="shared" si="3"/>
        <v>2.9090909090909092</v>
      </c>
      <c r="N57" s="484">
        <f>SUM(N44,N46)</f>
        <v>38.49</v>
      </c>
    </row>
    <row r="58" spans="1:15" ht="15.75" customHeight="1" x14ac:dyDescent="0.25">
      <c r="B58" s="12"/>
      <c r="C58" s="141" t="s">
        <v>118</v>
      </c>
      <c r="D58" s="145">
        <f>SUM(D45,D47)</f>
        <v>7.92</v>
      </c>
      <c r="E58" s="145"/>
      <c r="F58" s="145"/>
      <c r="G58" s="145"/>
      <c r="H58" s="145"/>
      <c r="I58" s="160">
        <f>SUM(I45,I47)</f>
        <v>44.63</v>
      </c>
      <c r="J58" s="145">
        <f>SUM(J45,J47)</f>
        <v>50.95</v>
      </c>
      <c r="K58" s="166">
        <f t="shared" si="11"/>
        <v>-6.32</v>
      </c>
      <c r="L58" s="248">
        <f>SUM(L45,L47)</f>
        <v>48</v>
      </c>
      <c r="M58" s="250">
        <f t="shared" si="3"/>
        <v>6.0606060606060606</v>
      </c>
      <c r="N58" s="484">
        <f>SUM(N45,N47)</f>
        <v>57.43</v>
      </c>
      <c r="O58" s="85" t="s">
        <v>214</v>
      </c>
    </row>
    <row r="59" spans="1:15" ht="15.75" customHeight="1" thickBot="1" x14ac:dyDescent="0.3">
      <c r="C59" s="146" t="s">
        <v>116</v>
      </c>
      <c r="D59" s="178">
        <f>SUM(D48:D56)</f>
        <v>36.049999999999997</v>
      </c>
      <c r="E59" s="178"/>
      <c r="F59" s="178"/>
      <c r="G59" s="178"/>
      <c r="H59" s="178"/>
      <c r="I59" s="183">
        <f>SUM(I48:I51,I56)</f>
        <v>50.59</v>
      </c>
      <c r="J59" s="178">
        <f>SUM(J48:J55)</f>
        <v>99.92</v>
      </c>
      <c r="K59" s="164">
        <f t="shared" si="11"/>
        <v>-49.33</v>
      </c>
      <c r="L59" s="472">
        <f>SUM(L48:L55)</f>
        <v>75</v>
      </c>
      <c r="M59" s="473">
        <f t="shared" si="3"/>
        <v>2.0804438280166435</v>
      </c>
      <c r="N59" s="547">
        <f>SUM(N48:N56)</f>
        <v>82.36999999999999</v>
      </c>
    </row>
    <row r="60" spans="1:15" ht="15.75" customHeight="1" thickTop="1" x14ac:dyDescent="0.25">
      <c r="C60" s="142" t="s">
        <v>9</v>
      </c>
      <c r="D60" s="181">
        <f>SUM(D57:D59)</f>
        <v>54.97</v>
      </c>
      <c r="E60" s="180"/>
      <c r="F60" s="180"/>
      <c r="G60" s="180"/>
      <c r="H60" s="180"/>
      <c r="I60" s="160">
        <f>SUM(I57:I59)</f>
        <v>136.28</v>
      </c>
      <c r="J60" s="145">
        <f>SUM(J57:J59)</f>
        <v>184.49</v>
      </c>
      <c r="K60" s="166">
        <f t="shared" si="11"/>
        <v>-48.210000000000008</v>
      </c>
      <c r="L60" s="476">
        <f>SUM(L57:L59)</f>
        <v>155</v>
      </c>
      <c r="M60" s="477">
        <f t="shared" si="3"/>
        <v>2.8197198471893761</v>
      </c>
      <c r="N60" s="503">
        <f>SUM(N57:N59)</f>
        <v>178.29</v>
      </c>
    </row>
    <row r="61" spans="1:15" s="15" customFormat="1" ht="15.75" customHeight="1" x14ac:dyDescent="0.25">
      <c r="A61" s="3" t="s">
        <v>19</v>
      </c>
      <c r="C61" s="3"/>
      <c r="D61" s="37"/>
      <c r="E61" s="103"/>
      <c r="F61" s="16"/>
      <c r="G61" s="103"/>
      <c r="H61" s="103"/>
      <c r="I61" s="114"/>
      <c r="J61" s="83"/>
      <c r="K61" s="114"/>
      <c r="L61" s="248"/>
      <c r="M61" s="250"/>
      <c r="N61" s="468"/>
    </row>
    <row r="62" spans="1:15" ht="15.75" customHeight="1" x14ac:dyDescent="0.25">
      <c r="B62" s="9" t="s">
        <v>3</v>
      </c>
      <c r="C62" s="9" t="s">
        <v>37</v>
      </c>
      <c r="D62" s="39">
        <v>4.43</v>
      </c>
      <c r="E62" s="131">
        <f>F62/D62</f>
        <v>1.3431151241534991</v>
      </c>
      <c r="F62" s="184">
        <v>5.95</v>
      </c>
      <c r="G62" s="131">
        <f>H62/D62</f>
        <v>3.7200902934537248</v>
      </c>
      <c r="H62" s="185">
        <v>16.48</v>
      </c>
      <c r="I62" s="122">
        <v>12.88</v>
      </c>
      <c r="J62" s="95">
        <v>18.329999999999998</v>
      </c>
      <c r="K62" s="166">
        <f>I62-J62</f>
        <v>-5.4499999999999975</v>
      </c>
      <c r="L62" s="248">
        <v>10</v>
      </c>
      <c r="M62" s="250">
        <f t="shared" si="3"/>
        <v>2.2573363431151243</v>
      </c>
      <c r="N62" s="504">
        <v>24.07</v>
      </c>
      <c r="O62" s="486"/>
    </row>
    <row r="63" spans="1:15" s="15" customFormat="1" ht="15.75" customHeight="1" x14ac:dyDescent="0.25">
      <c r="A63" s="3" t="s">
        <v>21</v>
      </c>
      <c r="C63" s="3"/>
      <c r="D63" s="37"/>
      <c r="E63" s="103"/>
      <c r="F63" s="16"/>
      <c r="G63" s="103"/>
      <c r="H63" s="103"/>
      <c r="I63" s="114"/>
      <c r="J63" s="83"/>
      <c r="K63" s="115"/>
      <c r="L63" s="478"/>
      <c r="M63" s="479"/>
      <c r="N63" s="480"/>
      <c r="O63" s="69" t="s">
        <v>128</v>
      </c>
    </row>
    <row r="64" spans="1:15" ht="15.75" customHeight="1" x14ac:dyDescent="0.25">
      <c r="B64" s="9" t="s">
        <v>3</v>
      </c>
      <c r="C64" s="9" t="s">
        <v>44</v>
      </c>
      <c r="D64" s="39">
        <v>3.55</v>
      </c>
      <c r="E64" s="131">
        <f>F64/D64</f>
        <v>2.4281690140845069</v>
      </c>
      <c r="F64" s="184">
        <v>8.6199999999999992</v>
      </c>
      <c r="G64" s="131">
        <f>H64/D64</f>
        <v>5.7098591549295774</v>
      </c>
      <c r="H64" s="185">
        <v>20.27</v>
      </c>
      <c r="I64" s="122">
        <v>22</v>
      </c>
      <c r="J64" s="95">
        <v>19.940000000000001</v>
      </c>
      <c r="K64" s="122">
        <f>I64-J64</f>
        <v>2.0599999999999987</v>
      </c>
      <c r="L64" s="481">
        <v>20</v>
      </c>
      <c r="M64" s="482">
        <f t="shared" si="3"/>
        <v>5.6338028169014089</v>
      </c>
      <c r="N64" s="468">
        <v>17.079999999999998</v>
      </c>
    </row>
    <row r="65" spans="1:15" ht="15.75" customHeight="1" x14ac:dyDescent="0.25">
      <c r="B65" s="9" t="s">
        <v>86</v>
      </c>
      <c r="C65" s="9" t="s">
        <v>45</v>
      </c>
      <c r="D65" s="39">
        <v>1.9</v>
      </c>
      <c r="E65" s="131">
        <f>F65/D65</f>
        <v>2.1578947368421053</v>
      </c>
      <c r="F65" s="184">
        <v>4.0999999999999996</v>
      </c>
      <c r="G65" s="131">
        <f>H65/D65</f>
        <v>4.121052631578948</v>
      </c>
      <c r="H65" s="185">
        <v>7.83</v>
      </c>
      <c r="I65" s="122">
        <v>8.77</v>
      </c>
      <c r="J65" s="95">
        <v>8.73</v>
      </c>
      <c r="K65" s="122">
        <f t="shared" ref="K65:K71" si="12">I65-J65</f>
        <v>3.9999999999999147E-2</v>
      </c>
      <c r="L65" s="481">
        <v>8</v>
      </c>
      <c r="M65" s="482">
        <f t="shared" si="3"/>
        <v>4.2105263157894735</v>
      </c>
      <c r="N65" s="468">
        <v>11.12</v>
      </c>
    </row>
    <row r="66" spans="1:15" ht="15.75" customHeight="1" x14ac:dyDescent="0.25">
      <c r="B66" s="9" t="s">
        <v>203</v>
      </c>
      <c r="C66" s="9" t="s">
        <v>204</v>
      </c>
      <c r="D66" s="39">
        <v>5</v>
      </c>
      <c r="E66" s="131"/>
      <c r="F66" s="184"/>
      <c r="G66" s="131"/>
      <c r="H66" s="185"/>
      <c r="I66" s="122">
        <v>0</v>
      </c>
      <c r="J66" s="95">
        <v>0</v>
      </c>
      <c r="K66" s="122">
        <v>0</v>
      </c>
      <c r="L66" s="481">
        <v>10</v>
      </c>
      <c r="M66" s="482">
        <f>L66/D66</f>
        <v>2</v>
      </c>
      <c r="N66" s="468">
        <v>12</v>
      </c>
    </row>
    <row r="67" spans="1:15" ht="15.75" customHeight="1" x14ac:dyDescent="0.25">
      <c r="B67" s="18" t="s">
        <v>7</v>
      </c>
      <c r="C67" s="18" t="s">
        <v>92</v>
      </c>
      <c r="D67" s="125">
        <v>7</v>
      </c>
      <c r="E67" s="137"/>
      <c r="F67" s="187">
        <v>30.08</v>
      </c>
      <c r="G67" s="137"/>
      <c r="H67" s="188">
        <v>40.35</v>
      </c>
      <c r="I67" s="136">
        <v>34.729999999999997</v>
      </c>
      <c r="J67" s="97">
        <v>51.36</v>
      </c>
      <c r="K67" s="122">
        <f t="shared" si="12"/>
        <v>-16.630000000000003</v>
      </c>
      <c r="L67" s="469">
        <v>35</v>
      </c>
      <c r="M67" s="470">
        <f t="shared" si="3"/>
        <v>5</v>
      </c>
      <c r="N67" s="471">
        <v>29.45</v>
      </c>
    </row>
    <row r="68" spans="1:15" ht="15.75" customHeight="1" x14ac:dyDescent="0.25">
      <c r="B68" s="12"/>
      <c r="C68" s="147" t="s">
        <v>114</v>
      </c>
      <c r="D68" s="193">
        <v>3.55</v>
      </c>
      <c r="E68" s="171"/>
      <c r="F68" s="171"/>
      <c r="G68" s="171"/>
      <c r="H68" s="171"/>
      <c r="I68" s="182">
        <v>22</v>
      </c>
      <c r="J68" s="171">
        <v>19.940000000000001</v>
      </c>
      <c r="K68" s="156">
        <f t="shared" si="12"/>
        <v>2.0599999999999987</v>
      </c>
      <c r="L68" s="248">
        <v>22</v>
      </c>
      <c r="M68" s="250">
        <f t="shared" si="3"/>
        <v>6.1971830985915499</v>
      </c>
      <c r="N68" s="484">
        <v>17.079999999999998</v>
      </c>
    </row>
    <row r="69" spans="1:15" ht="15.75" customHeight="1" x14ac:dyDescent="0.25">
      <c r="B69" s="12"/>
      <c r="C69" s="71" t="s">
        <v>118</v>
      </c>
      <c r="D69" s="194">
        <v>6.9</v>
      </c>
      <c r="E69" s="145"/>
      <c r="F69" s="145"/>
      <c r="G69" s="145"/>
      <c r="H69" s="145"/>
      <c r="I69" s="160">
        <v>7.47</v>
      </c>
      <c r="J69" s="145">
        <v>8.77</v>
      </c>
      <c r="K69" s="166">
        <f t="shared" si="12"/>
        <v>-1.2999999999999998</v>
      </c>
      <c r="L69" s="248">
        <v>8.77</v>
      </c>
      <c r="M69" s="250">
        <f t="shared" si="3"/>
        <v>1.2710144927536231</v>
      </c>
      <c r="N69" s="484">
        <f>SUM(N65,N66)</f>
        <v>23.119999999999997</v>
      </c>
    </row>
    <row r="70" spans="1:15" ht="15.75" customHeight="1" thickBot="1" x14ac:dyDescent="0.3">
      <c r="C70" s="152" t="s">
        <v>116</v>
      </c>
      <c r="D70" s="195">
        <v>7</v>
      </c>
      <c r="E70" s="178"/>
      <c r="F70" s="178"/>
      <c r="G70" s="178"/>
      <c r="H70" s="178"/>
      <c r="I70" s="183">
        <v>34.729999999999997</v>
      </c>
      <c r="J70" s="178">
        <v>51.36</v>
      </c>
      <c r="K70" s="164">
        <f t="shared" si="12"/>
        <v>-16.630000000000003</v>
      </c>
      <c r="L70" s="472">
        <v>34.729999999999997</v>
      </c>
      <c r="M70" s="473">
        <f t="shared" si="3"/>
        <v>4.9614285714285709</v>
      </c>
      <c r="N70" s="547">
        <v>29.45</v>
      </c>
    </row>
    <row r="71" spans="1:15" ht="15.75" customHeight="1" thickTop="1" x14ac:dyDescent="0.25">
      <c r="B71" s="9"/>
      <c r="C71" s="79" t="s">
        <v>117</v>
      </c>
      <c r="D71" s="181">
        <f>SUM(D68:D70)</f>
        <v>17.45</v>
      </c>
      <c r="E71" s="181">
        <f t="shared" ref="E71:J71" si="13">SUM(E68:E70)</f>
        <v>0</v>
      </c>
      <c r="F71" s="181">
        <f t="shared" si="13"/>
        <v>0</v>
      </c>
      <c r="G71" s="181">
        <f t="shared" si="13"/>
        <v>0</v>
      </c>
      <c r="H71" s="181">
        <f t="shared" si="13"/>
        <v>0</v>
      </c>
      <c r="I71" s="181">
        <f t="shared" si="13"/>
        <v>64.199999999999989</v>
      </c>
      <c r="J71" s="181">
        <f t="shared" si="13"/>
        <v>80.069999999999993</v>
      </c>
      <c r="K71" s="166">
        <f t="shared" si="12"/>
        <v>-15.870000000000005</v>
      </c>
      <c r="L71" s="248">
        <f t="shared" ref="L71" si="14">SUM(L68:L70)</f>
        <v>65.5</v>
      </c>
      <c r="M71" s="250">
        <f t="shared" si="3"/>
        <v>3.7535816618911175</v>
      </c>
      <c r="N71" s="504">
        <f>SUM(N68:N70)</f>
        <v>69.649999999999991</v>
      </c>
      <c r="O71" s="486"/>
    </row>
    <row r="72" spans="1:15" s="15" customFormat="1" ht="15.75" customHeight="1" x14ac:dyDescent="0.25">
      <c r="A72" s="3" t="s">
        <v>23</v>
      </c>
      <c r="D72" s="42"/>
      <c r="E72" s="103"/>
      <c r="F72" s="16"/>
      <c r="G72" s="103"/>
      <c r="H72" s="103"/>
      <c r="I72" s="114"/>
      <c r="J72" s="83"/>
      <c r="K72" s="115"/>
      <c r="L72" s="478"/>
      <c r="M72" s="479"/>
      <c r="N72" s="480"/>
      <c r="O72" s="69" t="s">
        <v>129</v>
      </c>
    </row>
    <row r="73" spans="1:15" s="8" customFormat="1" ht="15.75" customHeight="1" x14ac:dyDescent="0.25">
      <c r="A73" s="1"/>
      <c r="B73" s="9" t="s">
        <v>203</v>
      </c>
      <c r="C73" s="9" t="s">
        <v>204</v>
      </c>
      <c r="D73" s="36">
        <v>0.5</v>
      </c>
      <c r="E73" s="38"/>
      <c r="F73" s="17"/>
      <c r="G73" s="38"/>
      <c r="H73" s="38"/>
      <c r="I73" s="109">
        <v>0</v>
      </c>
      <c r="J73" s="65">
        <v>0</v>
      </c>
      <c r="K73" s="109">
        <v>0</v>
      </c>
      <c r="L73" s="481">
        <v>1</v>
      </c>
      <c r="M73" s="482">
        <f>L73/D73</f>
        <v>2</v>
      </c>
      <c r="N73" s="468">
        <v>0.48</v>
      </c>
      <c r="O73" s="69"/>
    </row>
    <row r="74" spans="1:15" s="8" customFormat="1" ht="15.75" customHeight="1" x14ac:dyDescent="0.25">
      <c r="A74" s="1"/>
      <c r="B74" s="8" t="s">
        <v>199</v>
      </c>
      <c r="C74" s="8" t="s">
        <v>200</v>
      </c>
      <c r="D74" s="36">
        <v>2</v>
      </c>
      <c r="E74" s="38"/>
      <c r="F74" s="17"/>
      <c r="G74" s="38"/>
      <c r="H74" s="38"/>
      <c r="I74" s="109">
        <v>0</v>
      </c>
      <c r="J74" s="65">
        <v>0</v>
      </c>
      <c r="K74" s="109">
        <v>0</v>
      </c>
      <c r="L74" s="481">
        <v>2</v>
      </c>
      <c r="M74" s="482">
        <f>L74/D74</f>
        <v>1</v>
      </c>
      <c r="N74" s="468">
        <v>1.5</v>
      </c>
    </row>
    <row r="75" spans="1:15" ht="15.75" customHeight="1" x14ac:dyDescent="0.25">
      <c r="B75" s="18" t="s">
        <v>7</v>
      </c>
      <c r="C75" s="18" t="s">
        <v>42</v>
      </c>
      <c r="D75" s="125">
        <v>6</v>
      </c>
      <c r="E75" s="137"/>
      <c r="F75" s="187">
        <v>28.04</v>
      </c>
      <c r="G75" s="137"/>
      <c r="H75" s="188">
        <v>23.04</v>
      </c>
      <c r="I75" s="136">
        <v>27.1</v>
      </c>
      <c r="J75" s="97">
        <v>32.29</v>
      </c>
      <c r="K75" s="122">
        <f>I75-J75</f>
        <v>-5.1899999999999977</v>
      </c>
      <c r="L75" s="481">
        <v>30</v>
      </c>
      <c r="M75" s="482">
        <f t="shared" ref="M75:M142" si="15">L75/D75</f>
        <v>5</v>
      </c>
      <c r="N75" s="468">
        <v>16.05</v>
      </c>
    </row>
    <row r="76" spans="1:15" ht="15.75" customHeight="1" x14ac:dyDescent="0.25">
      <c r="B76" s="18" t="s">
        <v>7</v>
      </c>
      <c r="C76" s="18" t="s">
        <v>46</v>
      </c>
      <c r="D76" s="125">
        <v>3.8</v>
      </c>
      <c r="E76" s="137"/>
      <c r="F76" s="187">
        <v>13.71</v>
      </c>
      <c r="G76" s="137"/>
      <c r="H76" s="188">
        <v>17.29</v>
      </c>
      <c r="I76" s="136">
        <v>16</v>
      </c>
      <c r="J76" s="97">
        <v>19.010000000000002</v>
      </c>
      <c r="K76" s="122">
        <f t="shared" ref="K76:K84" si="16">I76-J76</f>
        <v>-3.0100000000000016</v>
      </c>
      <c r="L76" s="481">
        <v>18</v>
      </c>
      <c r="M76" s="482">
        <f t="shared" si="15"/>
        <v>4.7368421052631584</v>
      </c>
      <c r="N76" s="468">
        <v>11.75</v>
      </c>
    </row>
    <row r="77" spans="1:15" ht="15.75" customHeight="1" x14ac:dyDescent="0.25">
      <c r="B77" s="18" t="s">
        <v>7</v>
      </c>
      <c r="C77" s="18" t="s">
        <v>47</v>
      </c>
      <c r="D77" s="125">
        <v>2.5</v>
      </c>
      <c r="E77" s="137"/>
      <c r="F77" s="187"/>
      <c r="G77" s="137"/>
      <c r="H77" s="188"/>
      <c r="I77" s="136">
        <v>11.9</v>
      </c>
      <c r="J77" s="97">
        <v>17.97</v>
      </c>
      <c r="K77" s="122">
        <f t="shared" si="16"/>
        <v>-6.0699999999999985</v>
      </c>
      <c r="L77" s="481">
        <v>15</v>
      </c>
      <c r="M77" s="482">
        <f t="shared" si="15"/>
        <v>6</v>
      </c>
      <c r="N77" s="468">
        <v>12.06</v>
      </c>
    </row>
    <row r="78" spans="1:15" ht="15.75" customHeight="1" x14ac:dyDescent="0.25">
      <c r="B78" s="18" t="s">
        <v>7</v>
      </c>
      <c r="C78" s="18" t="s">
        <v>91</v>
      </c>
      <c r="D78" s="125">
        <v>1</v>
      </c>
      <c r="E78" s="137"/>
      <c r="F78" s="187"/>
      <c r="G78" s="137"/>
      <c r="H78" s="188"/>
      <c r="I78" s="136">
        <v>7.5</v>
      </c>
      <c r="J78" s="97">
        <v>7.68</v>
      </c>
      <c r="K78" s="122">
        <f t="shared" si="16"/>
        <v>-0.17999999999999972</v>
      </c>
      <c r="L78" s="481">
        <v>7</v>
      </c>
      <c r="M78" s="482">
        <f t="shared" si="15"/>
        <v>7</v>
      </c>
      <c r="N78" s="468">
        <v>6.97</v>
      </c>
    </row>
    <row r="79" spans="1:15" ht="15.75" customHeight="1" x14ac:dyDescent="0.25">
      <c r="B79" s="18" t="s">
        <v>7</v>
      </c>
      <c r="C79" s="18" t="s">
        <v>102</v>
      </c>
      <c r="D79" s="125">
        <v>4</v>
      </c>
      <c r="E79" s="137"/>
      <c r="F79" s="187"/>
      <c r="G79" s="137"/>
      <c r="H79" s="188"/>
      <c r="I79" s="136">
        <v>0</v>
      </c>
      <c r="J79" s="97">
        <v>0</v>
      </c>
      <c r="K79" s="122">
        <f t="shared" si="16"/>
        <v>0</v>
      </c>
      <c r="L79" s="481">
        <v>0</v>
      </c>
      <c r="M79" s="482">
        <f t="shared" si="15"/>
        <v>0</v>
      </c>
      <c r="N79" s="468">
        <v>0</v>
      </c>
    </row>
    <row r="80" spans="1:15" ht="15.75" customHeight="1" x14ac:dyDescent="0.25">
      <c r="B80" s="18" t="s">
        <v>7</v>
      </c>
      <c r="C80" s="196" t="s">
        <v>79</v>
      </c>
      <c r="D80" s="197">
        <v>5</v>
      </c>
      <c r="E80" s="198"/>
      <c r="F80" s="199"/>
      <c r="G80" s="198"/>
      <c r="H80" s="200"/>
      <c r="I80" s="201">
        <v>30.74</v>
      </c>
      <c r="J80" s="202">
        <v>32.56</v>
      </c>
      <c r="K80" s="122">
        <f t="shared" si="16"/>
        <v>-1.8200000000000038</v>
      </c>
      <c r="L80" s="469">
        <v>30</v>
      </c>
      <c r="M80" s="470">
        <f t="shared" si="15"/>
        <v>6</v>
      </c>
      <c r="N80" s="471">
        <v>30</v>
      </c>
    </row>
    <row r="81" spans="1:16" ht="15.75" customHeight="1" x14ac:dyDescent="0.25">
      <c r="B81" s="12"/>
      <c r="C81" s="204" t="s">
        <v>114</v>
      </c>
      <c r="D81" s="145">
        <v>0</v>
      </c>
      <c r="E81" s="145"/>
      <c r="F81" s="145"/>
      <c r="G81" s="145"/>
      <c r="H81" s="145"/>
      <c r="I81" s="160">
        <v>0</v>
      </c>
      <c r="J81" s="145">
        <v>0</v>
      </c>
      <c r="K81" s="156">
        <f t="shared" si="16"/>
        <v>0</v>
      </c>
      <c r="L81" s="248">
        <v>0</v>
      </c>
      <c r="M81" s="250">
        <v>0</v>
      </c>
      <c r="N81" s="484">
        <v>0</v>
      </c>
    </row>
    <row r="82" spans="1:16" ht="15.75" customHeight="1" x14ac:dyDescent="0.25">
      <c r="B82" s="12"/>
      <c r="C82" s="205" t="s">
        <v>119</v>
      </c>
      <c r="D82" s="145">
        <v>2.5</v>
      </c>
      <c r="E82" s="145"/>
      <c r="F82" s="145"/>
      <c r="G82" s="145"/>
      <c r="H82" s="145"/>
      <c r="I82" s="160">
        <v>0</v>
      </c>
      <c r="J82" s="145">
        <v>0</v>
      </c>
      <c r="K82" s="166">
        <f t="shared" si="16"/>
        <v>0</v>
      </c>
      <c r="L82" s="248">
        <v>0</v>
      </c>
      <c r="M82" s="250">
        <v>0</v>
      </c>
      <c r="N82" s="484">
        <f>SUM(N73,N74)</f>
        <v>1.98</v>
      </c>
    </row>
    <row r="83" spans="1:16" ht="15.75" customHeight="1" thickBot="1" x14ac:dyDescent="0.3">
      <c r="C83" s="206" t="s">
        <v>116</v>
      </c>
      <c r="D83" s="178">
        <f>SUM(D75:D80)</f>
        <v>22.3</v>
      </c>
      <c r="E83" s="178"/>
      <c r="F83" s="178"/>
      <c r="G83" s="178"/>
      <c r="H83" s="178"/>
      <c r="I83" s="183">
        <f>SUM(I75:I78,I80)</f>
        <v>93.24</v>
      </c>
      <c r="J83" s="178">
        <f>SUM(J75:J80)</f>
        <v>109.50999999999999</v>
      </c>
      <c r="K83" s="164">
        <f t="shared" si="16"/>
        <v>-16.269999999999996</v>
      </c>
      <c r="L83" s="472">
        <f>SUM(L75:L82)</f>
        <v>100</v>
      </c>
      <c r="M83" s="473">
        <f t="shared" si="15"/>
        <v>4.4843049327354256</v>
      </c>
      <c r="N83" s="547">
        <f>SUM(N75:N80)</f>
        <v>76.83</v>
      </c>
    </row>
    <row r="84" spans="1:16" ht="15.75" customHeight="1" thickTop="1" x14ac:dyDescent="0.25">
      <c r="C84" s="207" t="s">
        <v>117</v>
      </c>
      <c r="D84" s="181">
        <v>28.79</v>
      </c>
      <c r="E84" s="181"/>
      <c r="F84" s="181"/>
      <c r="G84" s="181"/>
      <c r="H84" s="181"/>
      <c r="I84" s="160">
        <f>SUM(I81:I83)</f>
        <v>93.24</v>
      </c>
      <c r="J84" s="145">
        <f>SUM(J81:J83)</f>
        <v>109.50999999999999</v>
      </c>
      <c r="K84" s="166">
        <f t="shared" si="16"/>
        <v>-16.269999999999996</v>
      </c>
      <c r="L84" s="248">
        <f>SUM(L75:L82)</f>
        <v>100</v>
      </c>
      <c r="M84" s="250">
        <f t="shared" si="15"/>
        <v>3.4734282737061482</v>
      </c>
      <c r="N84" s="504">
        <f>SUM(N81:N83)</f>
        <v>78.81</v>
      </c>
      <c r="O84" s="486"/>
    </row>
    <row r="85" spans="1:16" s="15" customFormat="1" ht="15.75" customHeight="1" x14ac:dyDescent="0.25">
      <c r="A85" s="3" t="s">
        <v>48</v>
      </c>
      <c r="C85" s="3"/>
      <c r="D85" s="37"/>
      <c r="E85" s="103"/>
      <c r="F85" s="16"/>
      <c r="G85" s="103"/>
      <c r="H85" s="103"/>
      <c r="I85" s="114"/>
      <c r="J85" s="83"/>
      <c r="K85" s="115"/>
      <c r="L85" s="478"/>
      <c r="M85" s="479"/>
      <c r="N85" s="480"/>
      <c r="O85" s="69" t="s">
        <v>205</v>
      </c>
      <c r="P85" s="15" t="s">
        <v>229</v>
      </c>
    </row>
    <row r="86" spans="1:16" ht="15.75" customHeight="1" x14ac:dyDescent="0.25">
      <c r="B86" s="9" t="s">
        <v>3</v>
      </c>
      <c r="C86" s="9" t="s">
        <v>49</v>
      </c>
      <c r="D86" s="39">
        <v>5.07</v>
      </c>
      <c r="E86" s="131">
        <f>F86/D86</f>
        <v>3.8737672583826428</v>
      </c>
      <c r="F86" s="184">
        <v>19.64</v>
      </c>
      <c r="G86" s="131">
        <f t="shared" ref="G86:G93" si="17">H86/D86</f>
        <v>4.2899408284023668</v>
      </c>
      <c r="H86" s="185">
        <v>21.75</v>
      </c>
      <c r="I86" s="122">
        <v>16.75</v>
      </c>
      <c r="J86" s="95">
        <v>30.52</v>
      </c>
      <c r="K86" s="122">
        <f>I86-J86</f>
        <v>-13.77</v>
      </c>
      <c r="L86" s="481">
        <v>30</v>
      </c>
      <c r="M86" s="482">
        <f t="shared" si="15"/>
        <v>5.9171597633136095</v>
      </c>
      <c r="N86" s="468">
        <v>29.91</v>
      </c>
    </row>
    <row r="87" spans="1:16" ht="15.75" customHeight="1" x14ac:dyDescent="0.25">
      <c r="B87" s="9" t="s">
        <v>86</v>
      </c>
      <c r="C87" s="9" t="s">
        <v>50</v>
      </c>
      <c r="D87" s="39">
        <v>1.23</v>
      </c>
      <c r="E87" s="131">
        <f t="shared" ref="E87:E93" si="18">F87/D87</f>
        <v>6.6016260162601617</v>
      </c>
      <c r="F87" s="184">
        <v>8.1199999999999992</v>
      </c>
      <c r="G87" s="131">
        <f t="shared" si="17"/>
        <v>3.0081300813008132</v>
      </c>
      <c r="H87" s="185">
        <v>3.7</v>
      </c>
      <c r="I87" s="122">
        <v>5.32</v>
      </c>
      <c r="J87" s="95">
        <v>8.36</v>
      </c>
      <c r="K87" s="122">
        <f t="shared" ref="K87:K98" si="19">I87-J87</f>
        <v>-3.0399999999999991</v>
      </c>
      <c r="L87" s="481">
        <v>6</v>
      </c>
      <c r="M87" s="482">
        <f t="shared" si="15"/>
        <v>4.8780487804878048</v>
      </c>
      <c r="N87" s="468">
        <v>8</v>
      </c>
      <c r="O87" s="560" t="s">
        <v>225</v>
      </c>
    </row>
    <row r="88" spans="1:16" ht="15.75" customHeight="1" x14ac:dyDescent="0.25">
      <c r="B88" s="9" t="s">
        <v>86</v>
      </c>
      <c r="C88" s="9" t="s">
        <v>51</v>
      </c>
      <c r="D88" s="39">
        <v>1.58</v>
      </c>
      <c r="E88" s="131">
        <f t="shared" si="18"/>
        <v>4.6139240506329111</v>
      </c>
      <c r="F88" s="184">
        <v>7.29</v>
      </c>
      <c r="G88" s="131">
        <f t="shared" si="17"/>
        <v>5.3670886075949369</v>
      </c>
      <c r="H88" s="185">
        <v>8.48</v>
      </c>
      <c r="I88" s="122">
        <v>4.91</v>
      </c>
      <c r="J88" s="95">
        <v>10.7</v>
      </c>
      <c r="K88" s="122">
        <f t="shared" si="19"/>
        <v>-5.7899999999999991</v>
      </c>
      <c r="L88" s="481">
        <v>8</v>
      </c>
      <c r="M88" s="482">
        <f t="shared" si="15"/>
        <v>5.0632911392405058</v>
      </c>
      <c r="N88" s="468">
        <v>10</v>
      </c>
      <c r="O88" s="69" t="s">
        <v>226</v>
      </c>
    </row>
    <row r="89" spans="1:16" ht="15.75" customHeight="1" x14ac:dyDescent="0.25">
      <c r="B89" s="9" t="s">
        <v>86</v>
      </c>
      <c r="C89" s="9" t="s">
        <v>11</v>
      </c>
      <c r="D89" s="39">
        <v>0.21</v>
      </c>
      <c r="E89" s="131">
        <f t="shared" si="18"/>
        <v>7.4761904761904772</v>
      </c>
      <c r="F89" s="184">
        <v>1.57</v>
      </c>
      <c r="G89" s="131">
        <f t="shared" si="17"/>
        <v>7.6190476190476195</v>
      </c>
      <c r="H89" s="185">
        <v>1.6</v>
      </c>
      <c r="I89" s="122">
        <v>0.92</v>
      </c>
      <c r="J89" s="95">
        <v>1.4</v>
      </c>
      <c r="K89" s="122">
        <f t="shared" si="19"/>
        <v>-0.47999999999999987</v>
      </c>
      <c r="L89" s="481">
        <v>2</v>
      </c>
      <c r="M89" s="482">
        <f t="shared" si="15"/>
        <v>9.5238095238095237</v>
      </c>
      <c r="N89" s="468">
        <v>1.86</v>
      </c>
      <c r="O89" s="69" t="s">
        <v>271</v>
      </c>
    </row>
    <row r="90" spans="1:16" ht="15.75" customHeight="1" x14ac:dyDescent="0.25">
      <c r="A90" s="1"/>
      <c r="B90" s="9" t="s">
        <v>86</v>
      </c>
      <c r="C90" s="9" t="s">
        <v>52</v>
      </c>
      <c r="D90" s="39">
        <v>0.68</v>
      </c>
      <c r="E90" s="131">
        <f t="shared" si="18"/>
        <v>7.4117647058823524</v>
      </c>
      <c r="F90" s="184">
        <v>5.04</v>
      </c>
      <c r="G90" s="131">
        <f t="shared" si="17"/>
        <v>8.602941176470587</v>
      </c>
      <c r="H90" s="185">
        <v>5.85</v>
      </c>
      <c r="I90" s="122">
        <v>2.75</v>
      </c>
      <c r="J90" s="95">
        <v>4.5999999999999996</v>
      </c>
      <c r="K90" s="122">
        <f t="shared" si="19"/>
        <v>-1.8499999999999996</v>
      </c>
      <c r="L90" s="481">
        <v>4</v>
      </c>
      <c r="M90" s="482">
        <f t="shared" si="15"/>
        <v>5.8823529411764701</v>
      </c>
      <c r="N90" s="468">
        <v>3</v>
      </c>
      <c r="O90" s="69" t="s">
        <v>227</v>
      </c>
    </row>
    <row r="91" spans="1:16" ht="15.75" customHeight="1" x14ac:dyDescent="0.25">
      <c r="B91" s="9" t="s">
        <v>86</v>
      </c>
      <c r="C91" s="9" t="s">
        <v>53</v>
      </c>
      <c r="D91" s="39">
        <v>0.74</v>
      </c>
      <c r="E91" s="131">
        <f t="shared" si="18"/>
        <v>5.6486486486486482</v>
      </c>
      <c r="F91" s="184">
        <v>4.18</v>
      </c>
      <c r="G91" s="131">
        <f t="shared" si="17"/>
        <v>10.756756756756756</v>
      </c>
      <c r="H91" s="185">
        <v>7.96</v>
      </c>
      <c r="I91" s="122">
        <v>4.08</v>
      </c>
      <c r="J91" s="95">
        <v>5.03</v>
      </c>
      <c r="K91" s="122">
        <f t="shared" si="19"/>
        <v>-0.95000000000000018</v>
      </c>
      <c r="L91" s="481">
        <v>5</v>
      </c>
      <c r="M91" s="482">
        <f t="shared" si="15"/>
        <v>6.756756756756757</v>
      </c>
      <c r="N91" s="468">
        <v>4</v>
      </c>
    </row>
    <row r="92" spans="1:16" ht="15.75" customHeight="1" x14ac:dyDescent="0.25">
      <c r="B92" s="9" t="s">
        <v>86</v>
      </c>
      <c r="C92" s="9" t="s">
        <v>54</v>
      </c>
      <c r="D92" s="39">
        <v>1.1299999999999999</v>
      </c>
      <c r="E92" s="131">
        <f t="shared" si="18"/>
        <v>4.6283185840707972</v>
      </c>
      <c r="F92" s="184">
        <v>5.23</v>
      </c>
      <c r="G92" s="131">
        <f t="shared" si="17"/>
        <v>4.9823008849557526</v>
      </c>
      <c r="H92" s="185">
        <v>5.63</v>
      </c>
      <c r="I92" s="122">
        <v>4.6900000000000004</v>
      </c>
      <c r="J92" s="138">
        <v>0</v>
      </c>
      <c r="K92" s="122">
        <f t="shared" si="19"/>
        <v>4.6900000000000004</v>
      </c>
      <c r="L92" s="481">
        <v>5</v>
      </c>
      <c r="M92" s="482">
        <f t="shared" si="15"/>
        <v>4.4247787610619476</v>
      </c>
      <c r="N92" s="468">
        <v>0</v>
      </c>
    </row>
    <row r="93" spans="1:16" ht="15.75" customHeight="1" x14ac:dyDescent="0.25">
      <c r="B93" s="9" t="s">
        <v>89</v>
      </c>
      <c r="C93" s="9" t="s">
        <v>55</v>
      </c>
      <c r="D93" s="39">
        <v>6.15</v>
      </c>
      <c r="E93" s="131">
        <f t="shared" si="18"/>
        <v>6.3203252032520316</v>
      </c>
      <c r="F93" s="184">
        <v>38.869999999999997</v>
      </c>
      <c r="G93" s="131">
        <f t="shared" si="17"/>
        <v>5.9235772357723571</v>
      </c>
      <c r="H93" s="185">
        <v>36.43</v>
      </c>
      <c r="I93" s="122">
        <v>18.73</v>
      </c>
      <c r="J93" s="95">
        <v>37.21</v>
      </c>
      <c r="K93" s="122">
        <f t="shared" si="19"/>
        <v>-18.48</v>
      </c>
      <c r="L93" s="481">
        <v>35</v>
      </c>
      <c r="M93" s="482">
        <f t="shared" si="15"/>
        <v>5.6910569105691051</v>
      </c>
      <c r="N93" s="468">
        <v>52.36</v>
      </c>
    </row>
    <row r="94" spans="1:16" ht="15.75" customHeight="1" x14ac:dyDescent="0.25">
      <c r="B94" s="72" t="s">
        <v>80</v>
      </c>
      <c r="C94" s="72" t="s">
        <v>5</v>
      </c>
      <c r="D94" s="214">
        <v>1.1200000000000001</v>
      </c>
      <c r="E94" s="131"/>
      <c r="F94" s="184"/>
      <c r="G94" s="131"/>
      <c r="H94" s="185"/>
      <c r="I94" s="122">
        <v>16.98</v>
      </c>
      <c r="J94" s="95">
        <v>0</v>
      </c>
      <c r="K94" s="122">
        <f t="shared" si="19"/>
        <v>16.98</v>
      </c>
      <c r="L94" s="469">
        <v>0</v>
      </c>
      <c r="M94" s="470"/>
      <c r="N94" s="471">
        <v>0</v>
      </c>
    </row>
    <row r="95" spans="1:16" ht="15.75" customHeight="1" x14ac:dyDescent="0.25">
      <c r="B95" s="12"/>
      <c r="C95" s="147" t="s">
        <v>114</v>
      </c>
      <c r="D95" s="171">
        <v>5.07</v>
      </c>
      <c r="E95" s="171"/>
      <c r="F95" s="171"/>
      <c r="G95" s="171"/>
      <c r="H95" s="171"/>
      <c r="I95" s="182">
        <v>21.98</v>
      </c>
      <c r="J95" s="171">
        <v>16.75</v>
      </c>
      <c r="K95" s="156">
        <f t="shared" si="19"/>
        <v>5.23</v>
      </c>
      <c r="L95" s="248">
        <v>16.75</v>
      </c>
      <c r="M95" s="250">
        <f t="shared" si="15"/>
        <v>3.3037475345167651</v>
      </c>
      <c r="N95" s="484">
        <v>29.91</v>
      </c>
    </row>
    <row r="96" spans="1:16" ht="15.75" customHeight="1" x14ac:dyDescent="0.25">
      <c r="B96" s="12"/>
      <c r="C96" s="71" t="s">
        <v>118</v>
      </c>
      <c r="D96" s="145">
        <f>SUM(D87:D94)</f>
        <v>12.84</v>
      </c>
      <c r="E96" s="145"/>
      <c r="F96" s="145"/>
      <c r="G96" s="145"/>
      <c r="H96" s="145"/>
      <c r="I96" s="160">
        <f>SUM(I87:I91,I93:I94)</f>
        <v>53.69</v>
      </c>
      <c r="J96" s="145">
        <f>SUM(J87:J91,J93:J94)</f>
        <v>67.3</v>
      </c>
      <c r="K96" s="166">
        <f t="shared" si="19"/>
        <v>-13.61</v>
      </c>
      <c r="L96" s="248">
        <f>SUM(L87:L91,L93:L94)</f>
        <v>60</v>
      </c>
      <c r="M96" s="250">
        <f t="shared" si="15"/>
        <v>4.6728971962616823</v>
      </c>
      <c r="N96" s="484">
        <f>SUM(N87:N94)</f>
        <v>79.22</v>
      </c>
      <c r="O96" s="85" t="s">
        <v>216</v>
      </c>
    </row>
    <row r="97" spans="1:15" ht="15.75" customHeight="1" thickBot="1" x14ac:dyDescent="0.3">
      <c r="C97" s="152" t="s">
        <v>116</v>
      </c>
      <c r="D97" s="178" t="s">
        <v>108</v>
      </c>
      <c r="E97" s="178"/>
      <c r="F97" s="178"/>
      <c r="G97" s="178"/>
      <c r="H97" s="178"/>
      <c r="I97" s="183">
        <v>0</v>
      </c>
      <c r="J97" s="178">
        <v>0</v>
      </c>
      <c r="K97" s="164">
        <v>0</v>
      </c>
      <c r="L97" s="472">
        <v>0</v>
      </c>
      <c r="M97" s="473"/>
      <c r="N97" s="485">
        <v>0</v>
      </c>
    </row>
    <row r="98" spans="1:15" ht="15.75" customHeight="1" thickTop="1" x14ac:dyDescent="0.25">
      <c r="C98" s="79" t="s">
        <v>117</v>
      </c>
      <c r="D98" s="181">
        <f>SUM(D95,D96)</f>
        <v>17.91</v>
      </c>
      <c r="E98" s="181"/>
      <c r="F98" s="181"/>
      <c r="G98" s="181"/>
      <c r="H98" s="181"/>
      <c r="I98" s="160">
        <f>SUM(I95,I96)</f>
        <v>75.67</v>
      </c>
      <c r="J98" s="145">
        <f>SUM(J95,J96)</f>
        <v>84.05</v>
      </c>
      <c r="K98" s="166">
        <f t="shared" si="19"/>
        <v>-8.3799999999999955</v>
      </c>
      <c r="L98" s="248">
        <f>SUM(L95,L96)</f>
        <v>76.75</v>
      </c>
      <c r="M98" s="250">
        <f t="shared" si="15"/>
        <v>4.2853154662199886</v>
      </c>
      <c r="N98" s="504">
        <f>SUM(N95:N97)</f>
        <v>109.13</v>
      </c>
    </row>
    <row r="99" spans="1:15" s="15" customFormat="1" ht="15.75" customHeight="1" x14ac:dyDescent="0.25">
      <c r="A99" s="3" t="s">
        <v>25</v>
      </c>
      <c r="C99" s="3"/>
      <c r="D99" s="37"/>
      <c r="E99" s="103"/>
      <c r="F99" s="16"/>
      <c r="G99" s="103"/>
      <c r="H99" s="103"/>
      <c r="I99" s="114"/>
      <c r="J99" s="83"/>
      <c r="K99" s="114"/>
      <c r="L99" s="478"/>
      <c r="M99" s="479"/>
      <c r="N99" s="480"/>
      <c r="O99" s="15" t="s">
        <v>255</v>
      </c>
    </row>
    <row r="100" spans="1:15" s="25" customFormat="1" ht="15.75" customHeight="1" x14ac:dyDescent="0.25">
      <c r="A100" s="44"/>
      <c r="B100" s="119" t="s">
        <v>3</v>
      </c>
      <c r="C100" s="119" t="s">
        <v>56</v>
      </c>
      <c r="D100" s="209">
        <v>1.49</v>
      </c>
      <c r="E100" s="210">
        <f>F100/D100</f>
        <v>2.6577181208053693</v>
      </c>
      <c r="F100" s="211">
        <v>3.96</v>
      </c>
      <c r="G100" s="210">
        <f>H100/D100</f>
        <v>4.6577181208053693</v>
      </c>
      <c r="H100" s="212">
        <v>6.94</v>
      </c>
      <c r="I100" s="213">
        <v>8.1</v>
      </c>
      <c r="J100" s="202">
        <v>10.050000000000001</v>
      </c>
      <c r="K100" s="223">
        <f>I100-J100</f>
        <v>-1.9500000000000011</v>
      </c>
      <c r="L100" s="469">
        <v>7</v>
      </c>
      <c r="M100" s="470">
        <f t="shared" si="15"/>
        <v>4.6979865771812079</v>
      </c>
      <c r="N100" s="505">
        <v>7.67</v>
      </c>
      <c r="O100" s="25" t="s">
        <v>256</v>
      </c>
    </row>
    <row r="101" spans="1:15" ht="15.75" customHeight="1" x14ac:dyDescent="0.25">
      <c r="A101" s="1" t="s">
        <v>93</v>
      </c>
      <c r="B101" s="8"/>
      <c r="C101" s="1"/>
      <c r="D101" s="87"/>
      <c r="E101" s="38"/>
      <c r="F101" s="17"/>
      <c r="G101" s="38"/>
      <c r="H101" s="38"/>
      <c r="I101" s="113"/>
      <c r="J101" s="65"/>
      <c r="K101" s="113"/>
      <c r="L101" s="478"/>
      <c r="M101" s="479"/>
      <c r="N101" s="480"/>
      <c r="O101" s="151" t="s">
        <v>257</v>
      </c>
    </row>
    <row r="102" spans="1:15" ht="15.75" customHeight="1" x14ac:dyDescent="0.25">
      <c r="B102" s="72" t="s">
        <v>7</v>
      </c>
      <c r="C102" s="72" t="s">
        <v>99</v>
      </c>
      <c r="D102" s="36">
        <v>1</v>
      </c>
      <c r="E102" s="33">
        <f>F102/D102</f>
        <v>3.96</v>
      </c>
      <c r="F102" s="32">
        <v>3.96</v>
      </c>
      <c r="G102" s="33">
        <f>H102/D102</f>
        <v>6.94</v>
      </c>
      <c r="H102" s="101">
        <v>6.94</v>
      </c>
      <c r="I102" s="110">
        <v>4.84</v>
      </c>
      <c r="J102" s="95">
        <v>4.93</v>
      </c>
      <c r="K102" s="113">
        <f>I102-J102</f>
        <v>-8.9999999999999858E-2</v>
      </c>
      <c r="L102" s="481">
        <v>0</v>
      </c>
      <c r="M102" s="482">
        <v>0</v>
      </c>
      <c r="N102" s="468"/>
    </row>
    <row r="103" spans="1:15" s="15" customFormat="1" ht="15.75" customHeight="1" x14ac:dyDescent="0.25">
      <c r="A103" s="13" t="s">
        <v>184</v>
      </c>
      <c r="B103" s="498"/>
      <c r="C103" s="498"/>
      <c r="D103" s="499"/>
      <c r="E103" s="500"/>
      <c r="F103" s="501"/>
      <c r="G103" s="500"/>
      <c r="H103" s="501"/>
      <c r="I103" s="502"/>
      <c r="J103" s="186"/>
      <c r="K103" s="114"/>
      <c r="L103" s="491"/>
      <c r="M103" s="479"/>
      <c r="N103" s="480"/>
    </row>
    <row r="104" spans="1:15" ht="15.75" customHeight="1" x14ac:dyDescent="0.25">
      <c r="B104" s="9" t="s">
        <v>86</v>
      </c>
      <c r="C104" s="9" t="s">
        <v>217</v>
      </c>
      <c r="D104" s="61">
        <v>4.95</v>
      </c>
      <c r="E104" s="33"/>
      <c r="F104" s="101"/>
      <c r="G104" s="33"/>
      <c r="H104" s="101"/>
      <c r="I104" s="110">
        <v>0</v>
      </c>
      <c r="J104" s="95">
        <v>0</v>
      </c>
      <c r="K104" s="113"/>
      <c r="L104" s="469">
        <v>28</v>
      </c>
      <c r="M104" s="470">
        <v>5.65</v>
      </c>
      <c r="N104" s="553">
        <v>7.46</v>
      </c>
    </row>
    <row r="105" spans="1:15" s="15" customFormat="1" ht="15.75" customHeight="1" x14ac:dyDescent="0.25">
      <c r="A105" s="13" t="s">
        <v>103</v>
      </c>
      <c r="C105" s="81"/>
      <c r="D105" s="82"/>
      <c r="E105" s="83"/>
      <c r="F105" s="84"/>
      <c r="G105" s="83"/>
      <c r="H105" s="84"/>
      <c r="I105" s="114"/>
      <c r="J105" s="84"/>
      <c r="K105" s="114"/>
      <c r="L105" s="248"/>
      <c r="M105" s="250"/>
      <c r="N105" s="546"/>
    </row>
    <row r="106" spans="1:15" ht="15.75" customHeight="1" x14ac:dyDescent="0.25">
      <c r="A106" s="43"/>
      <c r="B106" s="94" t="s">
        <v>7</v>
      </c>
      <c r="C106" s="126" t="s">
        <v>121</v>
      </c>
      <c r="D106" s="127">
        <v>3.98</v>
      </c>
      <c r="E106" s="66"/>
      <c r="F106" s="128"/>
      <c r="G106" s="66"/>
      <c r="H106" s="128"/>
      <c r="I106" s="111">
        <v>5.52</v>
      </c>
      <c r="J106" s="97">
        <v>10.029999999999999</v>
      </c>
      <c r="K106" s="113">
        <f>I106-J106</f>
        <v>-4.51</v>
      </c>
      <c r="L106" s="248">
        <v>15</v>
      </c>
      <c r="M106" s="250">
        <f t="shared" si="15"/>
        <v>3.7688442211055277</v>
      </c>
      <c r="N106" s="548">
        <v>19.36</v>
      </c>
    </row>
    <row r="107" spans="1:15" s="15" customFormat="1" ht="15.75" customHeight="1" x14ac:dyDescent="0.25">
      <c r="A107" s="13" t="s">
        <v>193</v>
      </c>
      <c r="B107" s="232"/>
      <c r="C107" s="232"/>
      <c r="D107" s="487"/>
      <c r="E107" s="488"/>
      <c r="F107" s="117"/>
      <c r="G107" s="488"/>
      <c r="H107" s="117"/>
      <c r="I107" s="489"/>
      <c r="J107" s="490"/>
      <c r="K107" s="114"/>
      <c r="L107" s="491"/>
      <c r="M107" s="479"/>
      <c r="N107" s="492"/>
    </row>
    <row r="108" spans="1:15" ht="15.75" customHeight="1" x14ac:dyDescent="0.25">
      <c r="A108" s="43"/>
      <c r="B108" s="94" t="s">
        <v>7</v>
      </c>
      <c r="C108" s="126" t="s">
        <v>121</v>
      </c>
      <c r="D108" s="127">
        <v>1.68</v>
      </c>
      <c r="E108" s="66"/>
      <c r="F108" s="128"/>
      <c r="G108" s="66"/>
      <c r="H108" s="128"/>
      <c r="I108" s="111">
        <v>0</v>
      </c>
      <c r="J108" s="97">
        <v>8.4</v>
      </c>
      <c r="K108" s="113">
        <f>I108-J108</f>
        <v>-8.4</v>
      </c>
      <c r="L108" s="248">
        <v>10</v>
      </c>
      <c r="M108" s="250">
        <f>L108/D108</f>
        <v>5.9523809523809526</v>
      </c>
      <c r="N108" s="549">
        <v>10.73</v>
      </c>
    </row>
    <row r="109" spans="1:15" s="15" customFormat="1" ht="15.75" customHeight="1" x14ac:dyDescent="0.25">
      <c r="A109" s="13" t="s">
        <v>27</v>
      </c>
      <c r="C109" s="3"/>
      <c r="D109" s="37"/>
      <c r="E109" s="103"/>
      <c r="F109" s="16"/>
      <c r="G109" s="103"/>
      <c r="H109" s="103"/>
      <c r="I109" s="114"/>
      <c r="J109" s="83"/>
      <c r="K109" s="115"/>
      <c r="L109" s="478"/>
      <c r="M109" s="479"/>
      <c r="N109" s="480"/>
      <c r="O109" s="15" t="s">
        <v>209</v>
      </c>
    </row>
    <row r="110" spans="1:15" ht="15.75" customHeight="1" x14ac:dyDescent="0.25">
      <c r="B110" s="9" t="s">
        <v>3</v>
      </c>
      <c r="C110" s="9" t="s">
        <v>57</v>
      </c>
      <c r="D110" s="39">
        <v>7.0000000000000007E-2</v>
      </c>
      <c r="E110" s="131">
        <f>F110/D110</f>
        <v>4.7142857142857144</v>
      </c>
      <c r="F110" s="184">
        <v>0.33</v>
      </c>
      <c r="G110" s="131">
        <f>H110/D110</f>
        <v>3.2857142857142856</v>
      </c>
      <c r="H110" s="185">
        <v>0.23</v>
      </c>
      <c r="I110" s="122">
        <v>0.25</v>
      </c>
      <c r="J110" s="95">
        <v>0.8</v>
      </c>
      <c r="K110" s="122">
        <f>I110-J110</f>
        <v>-0.55000000000000004</v>
      </c>
      <c r="L110" s="481">
        <v>0.5</v>
      </c>
      <c r="M110" s="482">
        <f t="shared" si="15"/>
        <v>7.1428571428571423</v>
      </c>
      <c r="N110" s="468">
        <v>0.4</v>
      </c>
      <c r="O110" s="560" t="s">
        <v>225</v>
      </c>
    </row>
    <row r="111" spans="1:15" ht="15.75" customHeight="1" x14ac:dyDescent="0.25">
      <c r="A111" s="1"/>
      <c r="B111" s="9"/>
      <c r="C111" s="9" t="s">
        <v>58</v>
      </c>
      <c r="D111" s="39">
        <v>2.36</v>
      </c>
      <c r="E111" s="131">
        <f>F111/D111</f>
        <v>3.4745762711864407</v>
      </c>
      <c r="F111" s="184">
        <v>8.1999999999999993</v>
      </c>
      <c r="G111" s="131">
        <f>H111/D111</f>
        <v>3.4745762711864407</v>
      </c>
      <c r="H111" s="185">
        <v>8.1999999999999993</v>
      </c>
      <c r="I111" s="122">
        <v>9.5399999999999991</v>
      </c>
      <c r="J111" s="95">
        <v>10.02</v>
      </c>
      <c r="K111" s="122">
        <f t="shared" ref="K111:K118" si="20">I111-J111</f>
        <v>-0.48000000000000043</v>
      </c>
      <c r="L111" s="481">
        <v>10</v>
      </c>
      <c r="M111" s="482">
        <f t="shared" si="15"/>
        <v>4.2372881355932206</v>
      </c>
      <c r="N111" s="468">
        <v>12.94</v>
      </c>
      <c r="O111" s="69" t="s">
        <v>226</v>
      </c>
    </row>
    <row r="112" spans="1:15" ht="15.75" customHeight="1" x14ac:dyDescent="0.25">
      <c r="B112" s="9"/>
      <c r="C112" s="9" t="s">
        <v>59</v>
      </c>
      <c r="D112" s="39">
        <v>1.17</v>
      </c>
      <c r="E112" s="131">
        <f>F112/D112</f>
        <v>3.4786324786324792</v>
      </c>
      <c r="F112" s="184">
        <v>4.07</v>
      </c>
      <c r="G112" s="131">
        <f>H112/D112</f>
        <v>4.8461538461538467</v>
      </c>
      <c r="H112" s="185">
        <v>5.67</v>
      </c>
      <c r="I112" s="122">
        <v>4.25</v>
      </c>
      <c r="J112" s="95">
        <v>4.7699999999999996</v>
      </c>
      <c r="K112" s="122">
        <f t="shared" si="20"/>
        <v>-0.51999999999999957</v>
      </c>
      <c r="L112" s="481">
        <v>5</v>
      </c>
      <c r="M112" s="482">
        <f t="shared" si="15"/>
        <v>4.2735042735042734</v>
      </c>
      <c r="N112" s="468">
        <v>6.14</v>
      </c>
      <c r="O112" s="69" t="s">
        <v>234</v>
      </c>
    </row>
    <row r="113" spans="1:15" ht="15.75" customHeight="1" x14ac:dyDescent="0.25">
      <c r="B113" s="9"/>
      <c r="C113" s="9" t="s">
        <v>60</v>
      </c>
      <c r="D113" s="39">
        <v>0.95</v>
      </c>
      <c r="E113" s="131">
        <f>F113/D113</f>
        <v>4.6315789473684212</v>
      </c>
      <c r="F113" s="184">
        <v>4.4000000000000004</v>
      </c>
      <c r="G113" s="131">
        <f>H113/D113</f>
        <v>4.7473684210526317</v>
      </c>
      <c r="H113" s="185">
        <v>4.51</v>
      </c>
      <c r="I113" s="122">
        <v>3.13</v>
      </c>
      <c r="J113" s="95">
        <v>3.88</v>
      </c>
      <c r="K113" s="122">
        <f t="shared" si="20"/>
        <v>-0.75</v>
      </c>
      <c r="L113" s="481">
        <v>4</v>
      </c>
      <c r="M113" s="482">
        <f t="shared" si="15"/>
        <v>4.2105263157894735</v>
      </c>
      <c r="N113" s="468">
        <v>4.49</v>
      </c>
      <c r="O113" s="69" t="s">
        <v>227</v>
      </c>
    </row>
    <row r="114" spans="1:15" ht="15.75" customHeight="1" x14ac:dyDescent="0.25">
      <c r="B114" s="18" t="s">
        <v>7</v>
      </c>
      <c r="C114" s="18" t="s">
        <v>121</v>
      </c>
      <c r="D114" s="125">
        <v>3.02</v>
      </c>
      <c r="E114" s="137"/>
      <c r="F114" s="187"/>
      <c r="G114" s="137"/>
      <c r="H114" s="188"/>
      <c r="I114" s="136">
        <v>17.010000000000002</v>
      </c>
      <c r="J114" s="97">
        <v>9.19</v>
      </c>
      <c r="K114" s="122">
        <f t="shared" si="20"/>
        <v>7.8200000000000021</v>
      </c>
      <c r="L114" s="469">
        <v>20</v>
      </c>
      <c r="M114" s="470">
        <f t="shared" si="15"/>
        <v>6.6225165562913908</v>
      </c>
      <c r="N114" s="471">
        <v>20.89</v>
      </c>
      <c r="O114" s="69" t="s">
        <v>258</v>
      </c>
    </row>
    <row r="115" spans="1:15" ht="15.75" customHeight="1" x14ac:dyDescent="0.25">
      <c r="B115" s="12"/>
      <c r="C115" s="147" t="s">
        <v>114</v>
      </c>
      <c r="D115" s="171">
        <f>SUM(D110:D113)</f>
        <v>4.55</v>
      </c>
      <c r="E115" s="171"/>
      <c r="F115" s="171"/>
      <c r="G115" s="171"/>
      <c r="H115" s="171"/>
      <c r="I115" s="182">
        <f>SUM(I110:I113)</f>
        <v>17.169999999999998</v>
      </c>
      <c r="J115" s="171">
        <f>SUM(J110:J114)</f>
        <v>28.659999999999997</v>
      </c>
      <c r="K115" s="156">
        <f t="shared" si="20"/>
        <v>-11.489999999999998</v>
      </c>
      <c r="L115" s="248">
        <f>SUM(L110:L113)</f>
        <v>19.5</v>
      </c>
      <c r="M115" s="250">
        <f t="shared" si="15"/>
        <v>4.2857142857142856</v>
      </c>
      <c r="N115" s="484">
        <f>SUM(N110:N113)</f>
        <v>23.97</v>
      </c>
      <c r="O115" s="85" t="s">
        <v>215</v>
      </c>
    </row>
    <row r="116" spans="1:15" ht="15.75" customHeight="1" x14ac:dyDescent="0.25">
      <c r="B116" s="12"/>
      <c r="C116" s="71" t="s">
        <v>119</v>
      </c>
      <c r="D116" s="145" t="s">
        <v>108</v>
      </c>
      <c r="E116" s="145"/>
      <c r="F116" s="145"/>
      <c r="G116" s="145"/>
      <c r="H116" s="145"/>
      <c r="I116" s="160">
        <v>0</v>
      </c>
      <c r="J116" s="145">
        <v>0</v>
      </c>
      <c r="K116" s="166">
        <f t="shared" si="20"/>
        <v>0</v>
      </c>
      <c r="L116" s="248">
        <v>0</v>
      </c>
      <c r="M116" s="250"/>
      <c r="N116" s="566">
        <v>0</v>
      </c>
      <c r="O116" s="568" t="s">
        <v>230</v>
      </c>
    </row>
    <row r="117" spans="1:15" ht="15.75" customHeight="1" thickBot="1" x14ac:dyDescent="0.3">
      <c r="C117" s="152" t="s">
        <v>116</v>
      </c>
      <c r="D117" s="178">
        <v>3.02</v>
      </c>
      <c r="E117" s="178"/>
      <c r="F117" s="178"/>
      <c r="G117" s="178"/>
      <c r="H117" s="178"/>
      <c r="I117" s="183">
        <v>17.010000000000002</v>
      </c>
      <c r="J117" s="178">
        <v>9.19</v>
      </c>
      <c r="K117" s="164">
        <f t="shared" si="20"/>
        <v>7.8200000000000021</v>
      </c>
      <c r="L117" s="472">
        <v>15</v>
      </c>
      <c r="M117" s="473">
        <f t="shared" si="15"/>
        <v>4.9668874172185431</v>
      </c>
      <c r="N117" s="547">
        <v>20.89</v>
      </c>
    </row>
    <row r="118" spans="1:15" ht="15.75" customHeight="1" thickTop="1" x14ac:dyDescent="0.25">
      <c r="C118" s="79" t="s">
        <v>117</v>
      </c>
      <c r="D118" s="181">
        <f>SUM(D115,D117)</f>
        <v>7.57</v>
      </c>
      <c r="E118" s="181"/>
      <c r="F118" s="181"/>
      <c r="G118" s="181"/>
      <c r="H118" s="181"/>
      <c r="I118" s="160">
        <f>SUM(I115:I117)</f>
        <v>34.18</v>
      </c>
      <c r="J118" s="145">
        <f>SUM(J115,J117)</f>
        <v>37.849999999999994</v>
      </c>
      <c r="K118" s="166">
        <f t="shared" si="20"/>
        <v>-3.6699999999999946</v>
      </c>
      <c r="L118" s="248">
        <f>SUM(L115,L117)</f>
        <v>34.5</v>
      </c>
      <c r="M118" s="250">
        <f t="shared" si="15"/>
        <v>4.5574636723910169</v>
      </c>
      <c r="N118" s="549">
        <f>SUM(N115:N117)</f>
        <v>44.86</v>
      </c>
    </row>
    <row r="119" spans="1:15" s="15" customFormat="1" ht="15.75" customHeight="1" x14ac:dyDescent="0.25">
      <c r="A119" s="3" t="s">
        <v>28</v>
      </c>
      <c r="C119" s="3"/>
      <c r="D119" s="37"/>
      <c r="E119" s="103"/>
      <c r="F119" s="16"/>
      <c r="G119" s="103"/>
      <c r="H119" s="103"/>
      <c r="I119" s="114"/>
      <c r="J119" s="83"/>
      <c r="K119" s="115"/>
      <c r="L119" s="478"/>
      <c r="M119" s="479"/>
      <c r="N119" s="480"/>
    </row>
    <row r="120" spans="1:15" ht="15.75" customHeight="1" x14ac:dyDescent="0.25">
      <c r="B120" s="9" t="s">
        <v>3</v>
      </c>
      <c r="C120" s="9" t="s">
        <v>53</v>
      </c>
      <c r="D120" s="39">
        <v>1.1000000000000001</v>
      </c>
      <c r="E120" s="131">
        <f>F120/D120</f>
        <v>4.8</v>
      </c>
      <c r="F120" s="184">
        <v>5.28</v>
      </c>
      <c r="G120" s="131">
        <f>H120/D120</f>
        <v>3.8272727272727267</v>
      </c>
      <c r="H120" s="185">
        <v>4.21</v>
      </c>
      <c r="I120" s="122">
        <v>4.53</v>
      </c>
      <c r="J120" s="95">
        <v>5.36</v>
      </c>
      <c r="K120" s="122">
        <f>I120-J120</f>
        <v>-0.83000000000000007</v>
      </c>
      <c r="L120" s="481">
        <v>5</v>
      </c>
      <c r="M120" s="482">
        <f t="shared" si="15"/>
        <v>4.545454545454545</v>
      </c>
      <c r="N120" s="468">
        <v>4.46</v>
      </c>
    </row>
    <row r="121" spans="1:15" ht="15.75" customHeight="1" x14ac:dyDescent="0.25">
      <c r="B121" s="9" t="s">
        <v>3</v>
      </c>
      <c r="C121" s="9" t="s">
        <v>61</v>
      </c>
      <c r="D121" s="39">
        <v>0.83</v>
      </c>
      <c r="E121" s="131">
        <f>F121/D121</f>
        <v>4.7951807228915664</v>
      </c>
      <c r="F121" s="184">
        <v>3.98</v>
      </c>
      <c r="G121" s="131">
        <f>H121/D121</f>
        <v>4.9156626506024104</v>
      </c>
      <c r="H121" s="185">
        <v>4.08</v>
      </c>
      <c r="I121" s="122">
        <v>4.49</v>
      </c>
      <c r="J121" s="95">
        <v>6.04</v>
      </c>
      <c r="K121" s="122">
        <f t="shared" ref="K121:K127" si="21">I121-J121</f>
        <v>-1.5499999999999998</v>
      </c>
      <c r="L121" s="481">
        <v>5</v>
      </c>
      <c r="M121" s="482">
        <f t="shared" si="15"/>
        <v>6.024096385542169</v>
      </c>
      <c r="N121" s="468">
        <v>4.6500000000000004</v>
      </c>
    </row>
    <row r="122" spans="1:15" ht="15.75" customHeight="1" x14ac:dyDescent="0.25">
      <c r="B122" s="72" t="s">
        <v>86</v>
      </c>
      <c r="C122" s="9"/>
      <c r="D122" s="39">
        <v>0.05</v>
      </c>
      <c r="E122" s="131"/>
      <c r="F122" s="184"/>
      <c r="G122" s="131"/>
      <c r="H122" s="185"/>
      <c r="I122" s="124">
        <v>0.23</v>
      </c>
      <c r="J122" s="95">
        <v>0.24</v>
      </c>
      <c r="K122" s="122">
        <f t="shared" si="21"/>
        <v>-9.9999999999999811E-3</v>
      </c>
      <c r="L122" s="481">
        <v>0.25</v>
      </c>
      <c r="M122" s="482">
        <f t="shared" si="15"/>
        <v>5</v>
      </c>
      <c r="N122" s="468">
        <v>0.14000000000000001</v>
      </c>
    </row>
    <row r="123" spans="1:15" ht="15.75" customHeight="1" x14ac:dyDescent="0.25">
      <c r="B123" s="9" t="s">
        <v>6</v>
      </c>
      <c r="C123" s="9"/>
      <c r="D123" s="39">
        <v>13.45</v>
      </c>
      <c r="E123" s="131">
        <f>F123/D123</f>
        <v>5.9977695167286251</v>
      </c>
      <c r="F123" s="184">
        <v>80.67</v>
      </c>
      <c r="G123" s="131">
        <f>H123/D123</f>
        <v>3.5591078066914497</v>
      </c>
      <c r="H123" s="185">
        <v>47.87</v>
      </c>
      <c r="I123" s="122">
        <v>61.53</v>
      </c>
      <c r="J123" s="95">
        <v>51.54</v>
      </c>
      <c r="K123" s="122">
        <f t="shared" si="21"/>
        <v>9.990000000000002</v>
      </c>
      <c r="L123" s="469">
        <v>52</v>
      </c>
      <c r="M123" s="470">
        <f t="shared" si="15"/>
        <v>3.8661710037174721</v>
      </c>
      <c r="N123" s="471">
        <v>54.8</v>
      </c>
      <c r="O123" s="560" t="s">
        <v>239</v>
      </c>
    </row>
    <row r="124" spans="1:15" ht="15.75" customHeight="1" x14ac:dyDescent="0.25">
      <c r="B124" s="12"/>
      <c r="C124" s="147" t="s">
        <v>114</v>
      </c>
      <c r="D124" s="171">
        <f>SUM(D120:D121,D123)</f>
        <v>15.379999999999999</v>
      </c>
      <c r="E124" s="171">
        <f t="shared" ref="E124:J124" si="22">SUM(E120:E121,E123)</f>
        <v>15.59295023962019</v>
      </c>
      <c r="F124" s="171">
        <f t="shared" si="22"/>
        <v>89.93</v>
      </c>
      <c r="G124" s="171">
        <f t="shared" si="22"/>
        <v>12.302043184566585</v>
      </c>
      <c r="H124" s="171">
        <f t="shared" si="22"/>
        <v>56.16</v>
      </c>
      <c r="I124" s="182">
        <f t="shared" si="22"/>
        <v>70.55</v>
      </c>
      <c r="J124" s="171">
        <f t="shared" si="22"/>
        <v>62.94</v>
      </c>
      <c r="K124" s="156">
        <f t="shared" si="21"/>
        <v>7.6099999999999994</v>
      </c>
      <c r="L124" s="248">
        <f t="shared" ref="L124" si="23">SUM(L120:L121,L123)</f>
        <v>62</v>
      </c>
      <c r="M124" s="250">
        <f t="shared" si="15"/>
        <v>4.031209362808843</v>
      </c>
      <c r="N124" s="484">
        <f>SUM(N120,N121,N123)</f>
        <v>63.91</v>
      </c>
      <c r="O124" s="69" t="s">
        <v>238</v>
      </c>
    </row>
    <row r="125" spans="1:15" ht="15.75" customHeight="1" x14ac:dyDescent="0.25">
      <c r="B125" s="12"/>
      <c r="C125" s="71" t="s">
        <v>118</v>
      </c>
      <c r="D125" s="145">
        <v>0.05</v>
      </c>
      <c r="E125" s="145"/>
      <c r="F125" s="145"/>
      <c r="G125" s="145"/>
      <c r="H125" s="145"/>
      <c r="I125" s="160">
        <v>0.24</v>
      </c>
      <c r="J125" s="145">
        <v>0.23</v>
      </c>
      <c r="K125" s="166">
        <f t="shared" si="21"/>
        <v>9.9999999999999811E-3</v>
      </c>
      <c r="L125" s="248">
        <v>0.23</v>
      </c>
      <c r="M125" s="250">
        <f t="shared" si="15"/>
        <v>4.5999999999999996</v>
      </c>
      <c r="N125" s="468">
        <v>0.14000000000000001</v>
      </c>
      <c r="O125" s="69" t="s">
        <v>270</v>
      </c>
    </row>
    <row r="126" spans="1:15" ht="15.75" customHeight="1" thickBot="1" x14ac:dyDescent="0.3">
      <c r="C126" s="152" t="s">
        <v>116</v>
      </c>
      <c r="D126" s="178" t="s">
        <v>108</v>
      </c>
      <c r="E126" s="178"/>
      <c r="F126" s="178"/>
      <c r="G126" s="178"/>
      <c r="H126" s="178"/>
      <c r="I126" s="183">
        <v>0</v>
      </c>
      <c r="J126" s="178">
        <v>0</v>
      </c>
      <c r="K126" s="164">
        <f t="shared" si="21"/>
        <v>0</v>
      </c>
      <c r="L126" s="472">
        <v>0</v>
      </c>
      <c r="M126" s="473"/>
      <c r="N126" s="474">
        <v>0</v>
      </c>
      <c r="O126" s="69" t="s">
        <v>269</v>
      </c>
    </row>
    <row r="127" spans="1:15" ht="15.75" customHeight="1" thickTop="1" x14ac:dyDescent="0.25">
      <c r="C127" s="79" t="s">
        <v>117</v>
      </c>
      <c r="D127" s="181">
        <f>SUM(D124:D125)</f>
        <v>15.43</v>
      </c>
      <c r="E127" s="180">
        <f t="shared" ref="E127:J127" si="24">SUM(E124:E125)</f>
        <v>15.59295023962019</v>
      </c>
      <c r="F127" s="180">
        <f t="shared" si="24"/>
        <v>89.93</v>
      </c>
      <c r="G127" s="180">
        <f t="shared" si="24"/>
        <v>12.302043184566585</v>
      </c>
      <c r="H127" s="180">
        <f t="shared" si="24"/>
        <v>56.16</v>
      </c>
      <c r="I127" s="160">
        <f t="shared" si="24"/>
        <v>70.789999999999992</v>
      </c>
      <c r="J127" s="145">
        <f t="shared" si="24"/>
        <v>63.169999999999995</v>
      </c>
      <c r="K127" s="166">
        <f t="shared" si="21"/>
        <v>7.6199999999999974</v>
      </c>
      <c r="L127" s="248">
        <f t="shared" ref="L127" si="25">SUM(L124:L125)</f>
        <v>62.23</v>
      </c>
      <c r="M127" s="250">
        <f t="shared" si="15"/>
        <v>4.0330524951393389</v>
      </c>
      <c r="N127" s="549">
        <f>SUM(N124:N126)</f>
        <v>64.05</v>
      </c>
    </row>
    <row r="128" spans="1:15" s="15" customFormat="1" ht="15.75" customHeight="1" x14ac:dyDescent="0.25">
      <c r="A128" s="3" t="s">
        <v>62</v>
      </c>
      <c r="C128" s="3"/>
      <c r="D128" s="37"/>
      <c r="E128" s="103"/>
      <c r="F128" s="16"/>
      <c r="G128" s="103"/>
      <c r="H128" s="103"/>
      <c r="I128" s="114"/>
      <c r="J128" s="83"/>
      <c r="K128" s="115"/>
      <c r="L128" s="478"/>
      <c r="M128" s="479"/>
      <c r="N128" s="480"/>
    </row>
    <row r="129" spans="1:15" ht="15.75" customHeight="1" x14ac:dyDescent="0.25">
      <c r="B129" s="18" t="s">
        <v>7</v>
      </c>
      <c r="C129" s="18" t="s">
        <v>46</v>
      </c>
      <c r="D129" s="125">
        <v>11.2</v>
      </c>
      <c r="E129" s="137"/>
      <c r="F129" s="187">
        <v>63.69</v>
      </c>
      <c r="G129" s="137"/>
      <c r="H129" s="188">
        <v>63.84</v>
      </c>
      <c r="I129" s="136">
        <v>66.959999999999994</v>
      </c>
      <c r="J129" s="97">
        <v>58.81</v>
      </c>
      <c r="K129" s="122">
        <f>I129-J129</f>
        <v>8.1499999999999915</v>
      </c>
      <c r="L129" s="481">
        <v>60</v>
      </c>
      <c r="M129" s="482">
        <f t="shared" si="15"/>
        <v>5.3571428571428577</v>
      </c>
      <c r="N129" s="468">
        <v>60.47</v>
      </c>
      <c r="O129" s="561" t="s">
        <v>231</v>
      </c>
    </row>
    <row r="130" spans="1:15" ht="15.75" customHeight="1" x14ac:dyDescent="0.25">
      <c r="B130" s="18" t="s">
        <v>7</v>
      </c>
      <c r="C130" s="72" t="s">
        <v>99</v>
      </c>
      <c r="D130" s="125">
        <v>7</v>
      </c>
      <c r="E130" s="137"/>
      <c r="F130" s="187"/>
      <c r="G130" s="137"/>
      <c r="H130" s="188"/>
      <c r="I130" s="136">
        <v>48.88</v>
      </c>
      <c r="J130" s="95">
        <v>38.14</v>
      </c>
      <c r="K130" s="122">
        <f t="shared" ref="K130:K134" si="26">I130-J130</f>
        <v>10.740000000000002</v>
      </c>
      <c r="L130" s="469">
        <v>35</v>
      </c>
      <c r="M130" s="470">
        <f t="shared" si="15"/>
        <v>5</v>
      </c>
      <c r="N130" s="471">
        <v>29.61</v>
      </c>
      <c r="O130" s="562" t="s">
        <v>231</v>
      </c>
    </row>
    <row r="131" spans="1:15" ht="15.75" customHeight="1" x14ac:dyDescent="0.25">
      <c r="B131" s="12"/>
      <c r="C131" s="147" t="s">
        <v>114</v>
      </c>
      <c r="D131" s="190" t="s">
        <v>108</v>
      </c>
      <c r="E131" s="186"/>
      <c r="F131" s="186"/>
      <c r="G131" s="186"/>
      <c r="H131" s="186"/>
      <c r="I131" s="191">
        <v>0</v>
      </c>
      <c r="J131" s="190">
        <v>0</v>
      </c>
      <c r="K131" s="156">
        <f t="shared" si="26"/>
        <v>0</v>
      </c>
      <c r="L131" s="248">
        <v>0</v>
      </c>
      <c r="M131" s="250"/>
      <c r="N131" s="468"/>
    </row>
    <row r="132" spans="1:15" ht="15.75" customHeight="1" x14ac:dyDescent="0.25">
      <c r="B132" s="12"/>
      <c r="C132" s="71" t="s">
        <v>119</v>
      </c>
      <c r="D132" s="138" t="s">
        <v>108</v>
      </c>
      <c r="E132" s="95"/>
      <c r="F132" s="192"/>
      <c r="G132" s="95"/>
      <c r="H132" s="192"/>
      <c r="I132" s="136">
        <v>0</v>
      </c>
      <c r="J132" s="97">
        <v>0</v>
      </c>
      <c r="K132" s="166">
        <f t="shared" si="26"/>
        <v>0</v>
      </c>
      <c r="L132" s="248">
        <v>0</v>
      </c>
      <c r="M132" s="250"/>
      <c r="N132" s="468"/>
    </row>
    <row r="133" spans="1:15" ht="15.75" customHeight="1" thickBot="1" x14ac:dyDescent="0.3">
      <c r="C133" s="152" t="s">
        <v>116</v>
      </c>
      <c r="D133" s="189">
        <f>SUM(D129:D130)</f>
        <v>18.2</v>
      </c>
      <c r="E133" s="189"/>
      <c r="F133" s="165"/>
      <c r="G133" s="189"/>
      <c r="H133" s="165"/>
      <c r="I133" s="164">
        <f>SUM(I129,I130)</f>
        <v>115.84</v>
      </c>
      <c r="J133" s="165">
        <f>SUM(J129:J130)</f>
        <v>96.95</v>
      </c>
      <c r="K133" s="164">
        <f t="shared" si="26"/>
        <v>18.89</v>
      </c>
      <c r="L133" s="472">
        <f>SUM(L129:L130)</f>
        <v>95</v>
      </c>
      <c r="M133" s="473">
        <f t="shared" si="15"/>
        <v>5.2197802197802199</v>
      </c>
      <c r="N133" s="552">
        <f>SUM(N129,N130)</f>
        <v>90.08</v>
      </c>
    </row>
    <row r="134" spans="1:15" ht="15.75" customHeight="1" thickTop="1" x14ac:dyDescent="0.25">
      <c r="C134" s="79" t="s">
        <v>117</v>
      </c>
      <c r="D134" s="130">
        <v>18.2</v>
      </c>
      <c r="E134" s="129"/>
      <c r="F134" s="129"/>
      <c r="G134" s="129"/>
      <c r="H134" s="129"/>
      <c r="I134" s="166">
        <v>115.84</v>
      </c>
      <c r="J134" s="153">
        <v>96.95</v>
      </c>
      <c r="K134" s="166">
        <f t="shared" si="26"/>
        <v>18.89</v>
      </c>
      <c r="L134" s="476">
        <f>L133</f>
        <v>95</v>
      </c>
      <c r="M134" s="477">
        <f t="shared" si="15"/>
        <v>5.2197802197802199</v>
      </c>
      <c r="N134" s="550">
        <v>90.08</v>
      </c>
    </row>
    <row r="135" spans="1:15" s="15" customFormat="1" ht="15.75" customHeight="1" x14ac:dyDescent="0.25">
      <c r="A135" s="13" t="s">
        <v>30</v>
      </c>
      <c r="C135" s="3"/>
      <c r="D135" s="37"/>
      <c r="E135" s="103"/>
      <c r="F135" s="16"/>
      <c r="G135" s="103"/>
      <c r="H135" s="103"/>
      <c r="I135" s="114"/>
      <c r="J135" s="83"/>
      <c r="K135" s="115"/>
      <c r="L135" s="248"/>
      <c r="M135" s="250"/>
      <c r="N135" s="468"/>
      <c r="O135" s="494" t="s">
        <v>130</v>
      </c>
    </row>
    <row r="136" spans="1:15" ht="15.75" customHeight="1" x14ac:dyDescent="0.25">
      <c r="B136" s="9" t="s">
        <v>3</v>
      </c>
      <c r="C136" s="9" t="s">
        <v>57</v>
      </c>
      <c r="D136" s="39">
        <v>0.66</v>
      </c>
      <c r="E136" s="131"/>
      <c r="F136" s="184"/>
      <c r="G136" s="131"/>
      <c r="H136" s="185"/>
      <c r="I136" s="122">
        <v>2.82</v>
      </c>
      <c r="J136" s="95">
        <v>2.57</v>
      </c>
      <c r="K136" s="122">
        <f>I136-J136</f>
        <v>0.25</v>
      </c>
      <c r="L136" s="248">
        <v>2.5</v>
      </c>
      <c r="M136" s="250">
        <f t="shared" si="15"/>
        <v>3.7878787878787876</v>
      </c>
      <c r="N136" s="468">
        <v>4.18</v>
      </c>
      <c r="O136" s="69" t="s">
        <v>259</v>
      </c>
    </row>
    <row r="137" spans="1:15" ht="15.75" customHeight="1" x14ac:dyDescent="0.25">
      <c r="A137" s="1"/>
      <c r="B137" s="9" t="s">
        <v>3</v>
      </c>
      <c r="C137" s="9" t="s">
        <v>51</v>
      </c>
      <c r="D137" s="39">
        <v>2.79</v>
      </c>
      <c r="E137" s="131"/>
      <c r="F137" s="184"/>
      <c r="G137" s="131"/>
      <c r="H137" s="185"/>
      <c r="I137" s="122">
        <v>16.260000000000002</v>
      </c>
      <c r="J137" s="95">
        <v>9.8000000000000007</v>
      </c>
      <c r="K137" s="122">
        <f t="shared" ref="K137:K146" si="27">I137-J137</f>
        <v>6.4600000000000009</v>
      </c>
      <c r="L137" s="248">
        <v>10</v>
      </c>
      <c r="M137" s="250">
        <f t="shared" si="15"/>
        <v>3.5842293906810037</v>
      </c>
      <c r="N137" s="468">
        <v>14.58</v>
      </c>
      <c r="O137" s="69" t="s">
        <v>260</v>
      </c>
    </row>
    <row r="138" spans="1:15" ht="15.75" customHeight="1" x14ac:dyDescent="0.25">
      <c r="B138" s="9" t="s">
        <v>3</v>
      </c>
      <c r="C138" s="9" t="s">
        <v>63</v>
      </c>
      <c r="D138" s="39">
        <v>2.7</v>
      </c>
      <c r="E138" s="131"/>
      <c r="F138" s="184"/>
      <c r="G138" s="131"/>
      <c r="H138" s="185"/>
      <c r="I138" s="122">
        <v>8.07</v>
      </c>
      <c r="J138" s="95">
        <v>2.84</v>
      </c>
      <c r="K138" s="122">
        <f t="shared" si="27"/>
        <v>5.23</v>
      </c>
      <c r="L138" s="248">
        <v>8</v>
      </c>
      <c r="M138" s="250">
        <f t="shared" si="15"/>
        <v>2.9629629629629628</v>
      </c>
      <c r="N138" s="468">
        <v>14.36</v>
      </c>
      <c r="O138" s="69" t="s">
        <v>261</v>
      </c>
    </row>
    <row r="139" spans="1:15" ht="15.75" customHeight="1" x14ac:dyDescent="0.25">
      <c r="B139" s="9" t="s">
        <v>3</v>
      </c>
      <c r="C139" s="9" t="s">
        <v>64</v>
      </c>
      <c r="D139" s="39">
        <v>0.85</v>
      </c>
      <c r="E139" s="131"/>
      <c r="F139" s="184"/>
      <c r="G139" s="131"/>
      <c r="H139" s="185"/>
      <c r="I139" s="122">
        <v>1.4</v>
      </c>
      <c r="J139" s="95">
        <v>1.3</v>
      </c>
      <c r="K139" s="122">
        <f t="shared" si="27"/>
        <v>9.9999999999999867E-2</v>
      </c>
      <c r="L139" s="248">
        <v>1.5</v>
      </c>
      <c r="M139" s="250">
        <f t="shared" si="15"/>
        <v>1.7647058823529411</v>
      </c>
      <c r="N139" s="468">
        <v>3.33</v>
      </c>
      <c r="O139" s="69" t="s">
        <v>263</v>
      </c>
    </row>
    <row r="140" spans="1:15" ht="15.75" customHeight="1" x14ac:dyDescent="0.25">
      <c r="B140" s="9" t="s">
        <v>3</v>
      </c>
      <c r="C140" s="9" t="s">
        <v>45</v>
      </c>
      <c r="D140" s="39">
        <v>0.78</v>
      </c>
      <c r="E140" s="131"/>
      <c r="F140" s="184"/>
      <c r="G140" s="131"/>
      <c r="H140" s="185"/>
      <c r="I140" s="122">
        <v>1.67</v>
      </c>
      <c r="J140" s="95">
        <v>1.1000000000000001</v>
      </c>
      <c r="K140" s="122">
        <f t="shared" si="27"/>
        <v>0.56999999999999984</v>
      </c>
      <c r="L140" s="248">
        <v>2</v>
      </c>
      <c r="M140" s="250">
        <f t="shared" si="15"/>
        <v>2.5641025641025639</v>
      </c>
      <c r="N140" s="468">
        <v>4.09</v>
      </c>
      <c r="O140" s="69" t="s">
        <v>264</v>
      </c>
    </row>
    <row r="141" spans="1:15" ht="15.75" customHeight="1" x14ac:dyDescent="0.25">
      <c r="A141" s="1"/>
      <c r="B141" s="9" t="s">
        <v>3</v>
      </c>
      <c r="C141" s="9" t="s">
        <v>65</v>
      </c>
      <c r="D141" s="39">
        <v>4.92</v>
      </c>
      <c r="E141" s="131"/>
      <c r="F141" s="184"/>
      <c r="G141" s="131"/>
      <c r="H141" s="185"/>
      <c r="I141" s="122">
        <v>21.55</v>
      </c>
      <c r="J141" s="95">
        <v>15.29</v>
      </c>
      <c r="K141" s="122">
        <f t="shared" si="27"/>
        <v>6.2600000000000016</v>
      </c>
      <c r="L141" s="248">
        <v>20</v>
      </c>
      <c r="M141" s="250">
        <f t="shared" si="15"/>
        <v>4.0650406504065044</v>
      </c>
      <c r="N141" s="468">
        <v>24.83</v>
      </c>
      <c r="O141" s="69" t="s">
        <v>265</v>
      </c>
    </row>
    <row r="142" spans="1:15" ht="15.75" customHeight="1" x14ac:dyDescent="0.25">
      <c r="A142" s="1"/>
      <c r="B142" s="18" t="s">
        <v>7</v>
      </c>
      <c r="C142" s="18" t="s">
        <v>87</v>
      </c>
      <c r="D142" s="125">
        <v>6.41</v>
      </c>
      <c r="E142" s="137"/>
      <c r="F142" s="187"/>
      <c r="G142" s="137"/>
      <c r="H142" s="188"/>
      <c r="I142" s="136">
        <v>23.13</v>
      </c>
      <c r="J142" s="97">
        <v>25.8</v>
      </c>
      <c r="K142" s="122">
        <f t="shared" si="27"/>
        <v>-2.6700000000000017</v>
      </c>
      <c r="L142" s="248">
        <v>0</v>
      </c>
      <c r="M142" s="250">
        <f t="shared" si="15"/>
        <v>0</v>
      </c>
      <c r="N142" s="468">
        <v>0</v>
      </c>
      <c r="O142" s="69" t="s">
        <v>266</v>
      </c>
    </row>
    <row r="143" spans="1:15" ht="15.75" customHeight="1" x14ac:dyDescent="0.25">
      <c r="B143" s="12"/>
      <c r="C143" s="147" t="s">
        <v>114</v>
      </c>
      <c r="D143" s="171">
        <f>SUM(D136:D141)</f>
        <v>12.7</v>
      </c>
      <c r="E143" s="171">
        <f t="shared" ref="E143:H143" si="28">SUM(E136:E141)</f>
        <v>0</v>
      </c>
      <c r="F143" s="171">
        <f t="shared" si="28"/>
        <v>0</v>
      </c>
      <c r="G143" s="171">
        <f t="shared" si="28"/>
        <v>0</v>
      </c>
      <c r="H143" s="171">
        <f t="shared" si="28"/>
        <v>0</v>
      </c>
      <c r="I143" s="182">
        <f>SUM(I136:I142)</f>
        <v>74.899999999999991</v>
      </c>
      <c r="J143" s="171">
        <f>SUM(J136:J142)</f>
        <v>58.7</v>
      </c>
      <c r="K143" s="156">
        <f t="shared" si="27"/>
        <v>16.199999999999989</v>
      </c>
      <c r="L143" s="478">
        <f>SUM(L136:L141)</f>
        <v>44</v>
      </c>
      <c r="M143" s="479">
        <f t="shared" ref="M143:M191" si="29">L143/D143</f>
        <v>3.4645669291338583</v>
      </c>
      <c r="N143" s="551">
        <f>SUM(N136:N142)</f>
        <v>65.36999999999999</v>
      </c>
      <c r="O143" s="69" t="s">
        <v>268</v>
      </c>
    </row>
    <row r="144" spans="1:15" ht="15.75" customHeight="1" x14ac:dyDescent="0.25">
      <c r="B144" s="12"/>
      <c r="C144" s="71" t="s">
        <v>120</v>
      </c>
      <c r="D144" s="145" t="s">
        <v>108</v>
      </c>
      <c r="E144" s="145"/>
      <c r="F144" s="145"/>
      <c r="G144" s="145"/>
      <c r="H144" s="145"/>
      <c r="I144" s="160">
        <v>0</v>
      </c>
      <c r="J144" s="145">
        <v>0</v>
      </c>
      <c r="K144" s="166">
        <f t="shared" si="27"/>
        <v>0</v>
      </c>
      <c r="L144" s="248">
        <v>0</v>
      </c>
      <c r="M144" s="250">
        <v>0</v>
      </c>
      <c r="N144" s="566"/>
      <c r="O144" s="568" t="s">
        <v>230</v>
      </c>
    </row>
    <row r="145" spans="1:15" ht="15.75" customHeight="1" thickBot="1" x14ac:dyDescent="0.3">
      <c r="C145" s="152" t="s">
        <v>116</v>
      </c>
      <c r="D145" s="178">
        <v>6.41</v>
      </c>
      <c r="E145" s="178"/>
      <c r="F145" s="178"/>
      <c r="G145" s="178"/>
      <c r="H145" s="178"/>
      <c r="I145" s="183">
        <v>23.13</v>
      </c>
      <c r="J145" s="178">
        <v>25.8</v>
      </c>
      <c r="K145" s="164">
        <f t="shared" si="27"/>
        <v>-2.6700000000000017</v>
      </c>
      <c r="L145" s="472">
        <v>0</v>
      </c>
      <c r="M145" s="473">
        <f t="shared" si="29"/>
        <v>0</v>
      </c>
      <c r="N145" s="474">
        <v>0</v>
      </c>
    </row>
    <row r="146" spans="1:15" ht="15.75" customHeight="1" thickTop="1" x14ac:dyDescent="0.25">
      <c r="C146" s="79" t="s">
        <v>117</v>
      </c>
      <c r="D146" s="181">
        <f>SUM(D143,D145)</f>
        <v>19.11</v>
      </c>
      <c r="E146" s="181"/>
      <c r="F146" s="181"/>
      <c r="G146" s="181"/>
      <c r="H146" s="181"/>
      <c r="I146" s="160">
        <f>SUM(I143:I145)</f>
        <v>98.029999999999987</v>
      </c>
      <c r="J146" s="145">
        <f>SUM(J143,J145)</f>
        <v>84.5</v>
      </c>
      <c r="K146" s="166">
        <f t="shared" si="27"/>
        <v>13.529999999999987</v>
      </c>
      <c r="L146" s="476">
        <f>SUM(L143,L145)</f>
        <v>44</v>
      </c>
      <c r="M146" s="477">
        <f t="shared" si="29"/>
        <v>2.3024594453165883</v>
      </c>
      <c r="N146" s="550">
        <v>65.37</v>
      </c>
      <c r="O146" s="85" t="s">
        <v>267</v>
      </c>
    </row>
    <row r="147" spans="1:15" s="15" customFormat="1" ht="15.75" customHeight="1" x14ac:dyDescent="0.25">
      <c r="A147" s="3" t="s">
        <v>33</v>
      </c>
      <c r="D147" s="42"/>
      <c r="E147" s="103"/>
      <c r="F147" s="16"/>
      <c r="G147" s="103"/>
      <c r="H147" s="103"/>
      <c r="I147" s="114"/>
      <c r="J147" s="83"/>
      <c r="K147" s="115"/>
      <c r="L147" s="248"/>
      <c r="M147" s="250"/>
      <c r="N147" s="468"/>
      <c r="O147" s="494" t="s">
        <v>131</v>
      </c>
    </row>
    <row r="148" spans="1:15" ht="15.75" customHeight="1" x14ac:dyDescent="0.25">
      <c r="B148" s="72" t="s">
        <v>3</v>
      </c>
      <c r="C148" s="72" t="s">
        <v>52</v>
      </c>
      <c r="D148" s="39">
        <v>1.79</v>
      </c>
      <c r="E148" s="131"/>
      <c r="F148" s="184"/>
      <c r="G148" s="131"/>
      <c r="H148" s="185"/>
      <c r="I148" s="122">
        <v>8.82</v>
      </c>
      <c r="J148" s="95">
        <v>7.67</v>
      </c>
      <c r="K148" s="122">
        <f>I148-J148</f>
        <v>1.1500000000000004</v>
      </c>
      <c r="L148" s="248">
        <v>7.5</v>
      </c>
      <c r="M148" s="250">
        <f t="shared" si="29"/>
        <v>4.1899441340782122</v>
      </c>
      <c r="N148" s="468">
        <v>7.22</v>
      </c>
      <c r="O148" s="69" t="s">
        <v>236</v>
      </c>
    </row>
    <row r="149" spans="1:15" ht="15.75" customHeight="1" x14ac:dyDescent="0.25">
      <c r="B149" s="72" t="s">
        <v>3</v>
      </c>
      <c r="C149" s="72" t="s">
        <v>32</v>
      </c>
      <c r="D149" s="39">
        <v>2.4700000000000002</v>
      </c>
      <c r="E149" s="131"/>
      <c r="F149" s="184"/>
      <c r="G149" s="131"/>
      <c r="H149" s="185"/>
      <c r="I149" s="122">
        <v>11.47</v>
      </c>
      <c r="J149" s="95">
        <v>9.4600000000000009</v>
      </c>
      <c r="K149" s="122">
        <f t="shared" ref="K149:K177" si="30">I149-J149</f>
        <v>2.0099999999999998</v>
      </c>
      <c r="L149" s="248">
        <v>10</v>
      </c>
      <c r="M149" s="250">
        <f t="shared" si="29"/>
        <v>4.048582995951417</v>
      </c>
      <c r="N149" s="468">
        <v>8.76</v>
      </c>
      <c r="O149" s="69" t="s">
        <v>262</v>
      </c>
    </row>
    <row r="150" spans="1:15" ht="15.75" customHeight="1" x14ac:dyDescent="0.25">
      <c r="B150" s="9" t="s">
        <v>3</v>
      </c>
      <c r="C150" s="9" t="s">
        <v>54</v>
      </c>
      <c r="D150" s="39">
        <v>0.92</v>
      </c>
      <c r="E150" s="131">
        <f t="shared" ref="E150:E171" si="31">F150/D150</f>
        <v>4.0108695652173907</v>
      </c>
      <c r="F150" s="184">
        <v>3.69</v>
      </c>
      <c r="G150" s="131">
        <f t="shared" ref="G150:G171" si="32">H150/D150</f>
        <v>3.4239130434782608</v>
      </c>
      <c r="H150" s="185">
        <v>3.15</v>
      </c>
      <c r="I150" s="122">
        <v>4.32</v>
      </c>
      <c r="J150" s="95">
        <v>4.51</v>
      </c>
      <c r="K150" s="122">
        <f t="shared" si="30"/>
        <v>-0.1899999999999995</v>
      </c>
      <c r="L150" s="248">
        <v>6</v>
      </c>
      <c r="M150" s="250">
        <f t="shared" si="29"/>
        <v>6.5217391304347823</v>
      </c>
      <c r="N150" s="468">
        <v>6.11</v>
      </c>
      <c r="O150" s="69" t="s">
        <v>235</v>
      </c>
    </row>
    <row r="151" spans="1:15" ht="15.75" customHeight="1" x14ac:dyDescent="0.25">
      <c r="B151" s="9" t="s">
        <v>3</v>
      </c>
      <c r="C151" s="9" t="s">
        <v>66</v>
      </c>
      <c r="D151" s="39">
        <v>0.55000000000000004</v>
      </c>
      <c r="E151" s="131">
        <f t="shared" si="31"/>
        <v>2.5818181818181816</v>
      </c>
      <c r="F151" s="184">
        <v>1.42</v>
      </c>
      <c r="G151" s="131">
        <f t="shared" si="32"/>
        <v>2.8</v>
      </c>
      <c r="H151" s="185">
        <v>1.54</v>
      </c>
      <c r="I151" s="122">
        <v>1.72</v>
      </c>
      <c r="J151" s="95">
        <v>1.1299999999999999</v>
      </c>
      <c r="K151" s="122">
        <f t="shared" si="30"/>
        <v>0.59000000000000008</v>
      </c>
      <c r="L151" s="248">
        <v>2</v>
      </c>
      <c r="M151" s="250">
        <f t="shared" si="29"/>
        <v>3.6363636363636362</v>
      </c>
      <c r="N151" s="468">
        <v>1</v>
      </c>
      <c r="O151" s="69" t="s">
        <v>240</v>
      </c>
    </row>
    <row r="152" spans="1:15" ht="15.75" customHeight="1" x14ac:dyDescent="0.25">
      <c r="A152" s="1"/>
      <c r="B152" s="9" t="s">
        <v>3</v>
      </c>
      <c r="C152" s="9" t="s">
        <v>67</v>
      </c>
      <c r="D152" s="39">
        <v>0.96</v>
      </c>
      <c r="E152" s="131">
        <f t="shared" si="31"/>
        <v>2.166666666666667</v>
      </c>
      <c r="F152" s="184">
        <v>2.08</v>
      </c>
      <c r="G152" s="131">
        <f t="shared" si="32"/>
        <v>2.5208333333333335</v>
      </c>
      <c r="H152" s="185">
        <v>2.42</v>
      </c>
      <c r="I152" s="122">
        <v>2.88</v>
      </c>
      <c r="J152" s="95">
        <v>2.46</v>
      </c>
      <c r="K152" s="122">
        <f t="shared" si="30"/>
        <v>0.41999999999999993</v>
      </c>
      <c r="L152" s="248">
        <v>4</v>
      </c>
      <c r="M152" s="250">
        <f t="shared" si="29"/>
        <v>4.166666666666667</v>
      </c>
      <c r="N152" s="468">
        <v>2.19</v>
      </c>
      <c r="O152" s="69" t="s">
        <v>237</v>
      </c>
    </row>
    <row r="153" spans="1:15" ht="15.75" customHeight="1" x14ac:dyDescent="0.25">
      <c r="B153" s="9" t="s">
        <v>3</v>
      </c>
      <c r="C153" s="9" t="s">
        <v>68</v>
      </c>
      <c r="D153" s="39">
        <v>0.56999999999999995</v>
      </c>
      <c r="E153" s="131">
        <f t="shared" si="31"/>
        <v>4.5964912280701764</v>
      </c>
      <c r="F153" s="184">
        <v>2.62</v>
      </c>
      <c r="G153" s="131">
        <f t="shared" si="32"/>
        <v>2.929824561403509</v>
      </c>
      <c r="H153" s="185">
        <v>1.67</v>
      </c>
      <c r="I153" s="122">
        <v>2.1800000000000002</v>
      </c>
      <c r="J153" s="95">
        <v>1.32</v>
      </c>
      <c r="K153" s="122">
        <f t="shared" si="30"/>
        <v>0.8600000000000001</v>
      </c>
      <c r="L153" s="248">
        <v>2</v>
      </c>
      <c r="M153" s="250">
        <f t="shared" si="29"/>
        <v>3.5087719298245617</v>
      </c>
      <c r="N153" s="566">
        <v>1</v>
      </c>
      <c r="O153" s="568" t="s">
        <v>230</v>
      </c>
    </row>
    <row r="154" spans="1:15" ht="15.75" customHeight="1" x14ac:dyDescent="0.25">
      <c r="B154" s="9" t="s">
        <v>3</v>
      </c>
      <c r="C154" s="72" t="s">
        <v>69</v>
      </c>
      <c r="D154" s="39">
        <v>0.9</v>
      </c>
      <c r="E154" s="131">
        <f t="shared" si="31"/>
        <v>4.9444444444444446</v>
      </c>
      <c r="F154" s="184">
        <v>4.45</v>
      </c>
      <c r="G154" s="131">
        <f t="shared" si="32"/>
        <v>3.3444444444444441</v>
      </c>
      <c r="H154" s="185">
        <v>3.01</v>
      </c>
      <c r="I154" s="122">
        <v>5.25</v>
      </c>
      <c r="J154" s="95">
        <v>3.84</v>
      </c>
      <c r="K154" s="122">
        <f t="shared" si="30"/>
        <v>1.4100000000000001</v>
      </c>
      <c r="L154" s="248">
        <v>4</v>
      </c>
      <c r="M154" s="250">
        <f t="shared" si="29"/>
        <v>4.4444444444444446</v>
      </c>
      <c r="N154" s="468">
        <v>3.42</v>
      </c>
    </row>
    <row r="155" spans="1:15" ht="15.75" customHeight="1" x14ac:dyDescent="0.25">
      <c r="B155" s="9" t="s">
        <v>3</v>
      </c>
      <c r="C155" s="9" t="s">
        <v>70</v>
      </c>
      <c r="D155" s="39">
        <v>2.68</v>
      </c>
      <c r="E155" s="131">
        <f t="shared" si="31"/>
        <v>2.9141791044776117</v>
      </c>
      <c r="F155" s="184">
        <v>7.81</v>
      </c>
      <c r="G155" s="131">
        <f t="shared" si="32"/>
        <v>3.4664179104477606</v>
      </c>
      <c r="H155" s="185">
        <v>9.2899999999999991</v>
      </c>
      <c r="I155" s="122">
        <v>12</v>
      </c>
      <c r="J155" s="95">
        <v>11.47</v>
      </c>
      <c r="K155" s="122">
        <f t="shared" si="30"/>
        <v>0.52999999999999936</v>
      </c>
      <c r="L155" s="248">
        <v>14</v>
      </c>
      <c r="M155" s="250">
        <f t="shared" si="29"/>
        <v>5.2238805970149249</v>
      </c>
      <c r="N155" s="468">
        <v>8.94</v>
      </c>
    </row>
    <row r="156" spans="1:15" ht="15.75" customHeight="1" x14ac:dyDescent="0.25">
      <c r="A156" s="1"/>
      <c r="B156" s="9" t="s">
        <v>3</v>
      </c>
      <c r="C156" s="9" t="s">
        <v>71</v>
      </c>
      <c r="D156" s="39">
        <v>0.53</v>
      </c>
      <c r="E156" s="131">
        <f t="shared" si="31"/>
        <v>4.5849056603773581</v>
      </c>
      <c r="F156" s="184">
        <v>2.4300000000000002</v>
      </c>
      <c r="G156" s="131">
        <f t="shared" si="32"/>
        <v>3.6037735849056602</v>
      </c>
      <c r="H156" s="185">
        <v>1.91</v>
      </c>
      <c r="I156" s="122">
        <v>2.84</v>
      </c>
      <c r="J156" s="95">
        <v>3.75</v>
      </c>
      <c r="K156" s="122">
        <f t="shared" si="30"/>
        <v>-0.91000000000000014</v>
      </c>
      <c r="L156" s="248">
        <v>4</v>
      </c>
      <c r="M156" s="250">
        <f t="shared" si="29"/>
        <v>7.5471698113207539</v>
      </c>
      <c r="N156" s="468">
        <v>2.15</v>
      </c>
    </row>
    <row r="157" spans="1:15" ht="15.75" customHeight="1" x14ac:dyDescent="0.25">
      <c r="B157" s="9" t="s">
        <v>3</v>
      </c>
      <c r="C157" s="9" t="s">
        <v>72</v>
      </c>
      <c r="D157" s="39">
        <v>1.25</v>
      </c>
      <c r="E157" s="131">
        <f t="shared" si="31"/>
        <v>4.2320000000000002</v>
      </c>
      <c r="F157" s="184">
        <v>5.29</v>
      </c>
      <c r="G157" s="131">
        <f t="shared" si="32"/>
        <v>4.1680000000000001</v>
      </c>
      <c r="H157" s="185">
        <v>5.21</v>
      </c>
      <c r="I157" s="122">
        <v>6.22</v>
      </c>
      <c r="J157" s="95">
        <v>4.1100000000000003</v>
      </c>
      <c r="K157" s="122">
        <f t="shared" si="30"/>
        <v>2.1099999999999994</v>
      </c>
      <c r="L157" s="248">
        <v>4</v>
      </c>
      <c r="M157" s="250">
        <f t="shared" si="29"/>
        <v>3.2</v>
      </c>
      <c r="N157" s="468">
        <v>5</v>
      </c>
    </row>
    <row r="158" spans="1:15" ht="15.75" customHeight="1" x14ac:dyDescent="0.25">
      <c r="B158" s="9" t="s">
        <v>3</v>
      </c>
      <c r="C158" s="9" t="s">
        <v>73</v>
      </c>
      <c r="D158" s="39">
        <v>1.63</v>
      </c>
      <c r="E158" s="131">
        <f t="shared" si="31"/>
        <v>4.073619631901841</v>
      </c>
      <c r="F158" s="184">
        <v>6.64</v>
      </c>
      <c r="G158" s="131">
        <f t="shared" si="32"/>
        <v>4.3496932515337425</v>
      </c>
      <c r="H158" s="185">
        <v>7.09</v>
      </c>
      <c r="I158" s="122">
        <v>8.42</v>
      </c>
      <c r="J158" s="95">
        <v>6.91</v>
      </c>
      <c r="K158" s="122">
        <f t="shared" si="30"/>
        <v>1.5099999999999998</v>
      </c>
      <c r="L158" s="248">
        <v>6</v>
      </c>
      <c r="M158" s="250">
        <f t="shared" si="29"/>
        <v>3.6809815950920246</v>
      </c>
      <c r="N158" s="468">
        <v>7</v>
      </c>
    </row>
    <row r="159" spans="1:15" ht="15.75" customHeight="1" x14ac:dyDescent="0.25">
      <c r="B159" s="9" t="s">
        <v>3</v>
      </c>
      <c r="C159" s="9" t="s">
        <v>74</v>
      </c>
      <c r="D159" s="39">
        <v>1.72</v>
      </c>
      <c r="E159" s="131">
        <f t="shared" si="31"/>
        <v>3.7965116279069768</v>
      </c>
      <c r="F159" s="184">
        <v>6.53</v>
      </c>
      <c r="G159" s="131">
        <f t="shared" si="32"/>
        <v>2.9127906976744184</v>
      </c>
      <c r="H159" s="185">
        <v>5.01</v>
      </c>
      <c r="I159" s="122">
        <v>6.16</v>
      </c>
      <c r="J159" s="95">
        <v>7.39</v>
      </c>
      <c r="K159" s="122">
        <f t="shared" si="30"/>
        <v>-1.2299999999999995</v>
      </c>
      <c r="L159" s="248">
        <v>7</v>
      </c>
      <c r="M159" s="250">
        <f t="shared" si="29"/>
        <v>4.0697674418604652</v>
      </c>
      <c r="N159" s="468">
        <v>6.34</v>
      </c>
    </row>
    <row r="160" spans="1:15" ht="15.75" customHeight="1" x14ac:dyDescent="0.25">
      <c r="A160" s="1"/>
      <c r="B160" s="9" t="s">
        <v>3</v>
      </c>
      <c r="C160" s="9" t="s">
        <v>75</v>
      </c>
      <c r="D160" s="39">
        <v>1.57</v>
      </c>
      <c r="E160" s="131">
        <f t="shared" si="31"/>
        <v>3.3503184713375793</v>
      </c>
      <c r="F160" s="184">
        <v>5.26</v>
      </c>
      <c r="G160" s="131">
        <f t="shared" si="32"/>
        <v>2.6942675159235669</v>
      </c>
      <c r="H160" s="185">
        <v>4.2300000000000004</v>
      </c>
      <c r="I160" s="122">
        <v>6.93</v>
      </c>
      <c r="J160" s="95">
        <v>5.29</v>
      </c>
      <c r="K160" s="122">
        <f t="shared" si="30"/>
        <v>1.6399999999999997</v>
      </c>
      <c r="L160" s="248">
        <v>6</v>
      </c>
      <c r="M160" s="250">
        <f t="shared" si="29"/>
        <v>3.8216560509554141</v>
      </c>
      <c r="N160" s="468">
        <v>4.95</v>
      </c>
    </row>
    <row r="161" spans="1:15" ht="15.75" customHeight="1" x14ac:dyDescent="0.25">
      <c r="B161" s="9" t="s">
        <v>3</v>
      </c>
      <c r="C161" s="9" t="s">
        <v>76</v>
      </c>
      <c r="D161" s="39">
        <v>1.01</v>
      </c>
      <c r="E161" s="131">
        <f t="shared" si="31"/>
        <v>4.7128712871287126</v>
      </c>
      <c r="F161" s="184">
        <v>4.76</v>
      </c>
      <c r="G161" s="131">
        <f t="shared" si="32"/>
        <v>4.1287128712871288</v>
      </c>
      <c r="H161" s="185">
        <v>4.17</v>
      </c>
      <c r="I161" s="122">
        <v>6.29</v>
      </c>
      <c r="J161" s="95">
        <v>4.6399999999999997</v>
      </c>
      <c r="K161" s="122">
        <f t="shared" si="30"/>
        <v>1.6500000000000004</v>
      </c>
      <c r="L161" s="248">
        <v>5</v>
      </c>
      <c r="M161" s="250">
        <f t="shared" si="29"/>
        <v>4.9504950495049505</v>
      </c>
      <c r="N161" s="468">
        <v>4.88</v>
      </c>
    </row>
    <row r="162" spans="1:15" ht="15.75" customHeight="1" x14ac:dyDescent="0.25">
      <c r="B162" s="9" t="s">
        <v>3</v>
      </c>
      <c r="C162" s="9" t="s">
        <v>77</v>
      </c>
      <c r="D162" s="39">
        <v>1.5</v>
      </c>
      <c r="E162" s="131">
        <f t="shared" si="31"/>
        <v>5.4466666666666663</v>
      </c>
      <c r="F162" s="184">
        <v>8.17</v>
      </c>
      <c r="G162" s="131">
        <f t="shared" si="32"/>
        <v>3.34</v>
      </c>
      <c r="H162" s="185">
        <v>5.01</v>
      </c>
      <c r="I162" s="122">
        <v>8.81</v>
      </c>
      <c r="J162" s="95">
        <v>5.47</v>
      </c>
      <c r="K162" s="122">
        <f t="shared" si="30"/>
        <v>3.3400000000000007</v>
      </c>
      <c r="L162" s="248">
        <v>5</v>
      </c>
      <c r="M162" s="250">
        <f t="shared" si="29"/>
        <v>3.3333333333333335</v>
      </c>
      <c r="N162" s="468">
        <v>5.83</v>
      </c>
    </row>
    <row r="163" spans="1:15" ht="15.75" customHeight="1" x14ac:dyDescent="0.25">
      <c r="B163" s="9" t="s">
        <v>86</v>
      </c>
      <c r="C163" s="9" t="s">
        <v>49</v>
      </c>
      <c r="D163" s="39">
        <v>2.71</v>
      </c>
      <c r="E163" s="131">
        <f t="shared" si="31"/>
        <v>3.2509225092250924</v>
      </c>
      <c r="F163" s="184">
        <v>8.81</v>
      </c>
      <c r="G163" s="131">
        <f t="shared" si="32"/>
        <v>2.9188191881918821</v>
      </c>
      <c r="H163" s="185">
        <v>7.91</v>
      </c>
      <c r="I163" s="122">
        <v>10.26</v>
      </c>
      <c r="J163" s="95">
        <v>9.73</v>
      </c>
      <c r="K163" s="122">
        <f t="shared" si="30"/>
        <v>0.52999999999999936</v>
      </c>
      <c r="L163" s="248">
        <v>10</v>
      </c>
      <c r="M163" s="250">
        <f t="shared" si="29"/>
        <v>3.6900369003690039</v>
      </c>
      <c r="N163" s="468">
        <v>8.01</v>
      </c>
    </row>
    <row r="164" spans="1:15" ht="15.75" customHeight="1" x14ac:dyDescent="0.25">
      <c r="A164" s="1"/>
      <c r="B164" s="9" t="s">
        <v>86</v>
      </c>
      <c r="C164" s="9" t="s">
        <v>44</v>
      </c>
      <c r="D164" s="39">
        <v>1.04</v>
      </c>
      <c r="E164" s="131">
        <f t="shared" si="31"/>
        <v>5.4423076923076925</v>
      </c>
      <c r="F164" s="184">
        <v>5.66</v>
      </c>
      <c r="G164" s="131">
        <f t="shared" si="32"/>
        <v>3.125</v>
      </c>
      <c r="H164" s="185">
        <v>3.25</v>
      </c>
      <c r="I164" s="122">
        <v>3.6</v>
      </c>
      <c r="J164" s="95">
        <v>3.67</v>
      </c>
      <c r="K164" s="122">
        <f t="shared" si="30"/>
        <v>-6.999999999999984E-2</v>
      </c>
      <c r="L164" s="248">
        <v>3</v>
      </c>
      <c r="M164" s="250">
        <f t="shared" si="29"/>
        <v>2.8846153846153846</v>
      </c>
      <c r="N164" s="468">
        <v>4.43</v>
      </c>
    </row>
    <row r="165" spans="1:15" ht="15.75" customHeight="1" x14ac:dyDescent="0.25">
      <c r="B165" s="9" t="s">
        <v>86</v>
      </c>
      <c r="C165" s="9" t="s">
        <v>12</v>
      </c>
      <c r="D165" s="39">
        <v>1.31</v>
      </c>
      <c r="E165" s="131">
        <f t="shared" si="31"/>
        <v>2.6946564885496183</v>
      </c>
      <c r="F165" s="184">
        <v>3.53</v>
      </c>
      <c r="G165" s="131">
        <f t="shared" si="32"/>
        <v>3.5496183206106871</v>
      </c>
      <c r="H165" s="185">
        <v>4.6500000000000004</v>
      </c>
      <c r="I165" s="122">
        <v>4.84</v>
      </c>
      <c r="J165" s="95">
        <v>5.75</v>
      </c>
      <c r="K165" s="122">
        <f t="shared" si="30"/>
        <v>-0.91000000000000014</v>
      </c>
      <c r="L165" s="248">
        <v>7</v>
      </c>
      <c r="M165" s="250">
        <f t="shared" si="29"/>
        <v>5.343511450381679</v>
      </c>
      <c r="N165" s="468">
        <v>5.5</v>
      </c>
    </row>
    <row r="166" spans="1:15" ht="15.75" customHeight="1" x14ac:dyDescent="0.25">
      <c r="B166" s="9" t="s">
        <v>86</v>
      </c>
      <c r="C166" s="9" t="s">
        <v>36</v>
      </c>
      <c r="D166" s="39">
        <v>1.22</v>
      </c>
      <c r="E166" s="131">
        <f t="shared" si="31"/>
        <v>3.4754098360655741</v>
      </c>
      <c r="F166" s="184">
        <v>4.24</v>
      </c>
      <c r="G166" s="131">
        <f t="shared" si="32"/>
        <v>4.1065573770491799</v>
      </c>
      <c r="H166" s="185">
        <v>5.01</v>
      </c>
      <c r="I166" s="122">
        <v>4.51</v>
      </c>
      <c r="J166" s="95">
        <v>5.35</v>
      </c>
      <c r="K166" s="122">
        <f t="shared" si="30"/>
        <v>-0.83999999999999986</v>
      </c>
      <c r="L166" s="248">
        <v>3</v>
      </c>
      <c r="M166" s="250">
        <f t="shared" si="29"/>
        <v>2.459016393442623</v>
      </c>
      <c r="N166" s="468">
        <v>4.5</v>
      </c>
    </row>
    <row r="167" spans="1:15" ht="15.75" customHeight="1" x14ac:dyDescent="0.25">
      <c r="B167" s="9" t="s">
        <v>86</v>
      </c>
      <c r="C167" s="9" t="s">
        <v>63</v>
      </c>
      <c r="D167" s="39">
        <v>0.45</v>
      </c>
      <c r="E167" s="131">
        <f t="shared" si="31"/>
        <v>7.0444444444444443</v>
      </c>
      <c r="F167" s="184">
        <v>3.17</v>
      </c>
      <c r="G167" s="131">
        <f t="shared" si="32"/>
        <v>4.2444444444444445</v>
      </c>
      <c r="H167" s="185">
        <v>1.91</v>
      </c>
      <c r="I167" s="122">
        <v>1.66</v>
      </c>
      <c r="J167" s="95">
        <v>1.97</v>
      </c>
      <c r="K167" s="122">
        <f t="shared" si="30"/>
        <v>-0.31000000000000005</v>
      </c>
      <c r="L167" s="248">
        <v>2</v>
      </c>
      <c r="M167" s="250">
        <f t="shared" si="29"/>
        <v>4.4444444444444446</v>
      </c>
      <c r="N167" s="468">
        <v>2.57</v>
      </c>
    </row>
    <row r="168" spans="1:15" ht="15.75" customHeight="1" x14ac:dyDescent="0.25">
      <c r="A168" s="1"/>
      <c r="B168" s="9" t="s">
        <v>86</v>
      </c>
      <c r="C168" s="9" t="s">
        <v>64</v>
      </c>
      <c r="D168" s="39">
        <v>0.32</v>
      </c>
      <c r="E168" s="131">
        <f t="shared" si="31"/>
        <v>1.09375</v>
      </c>
      <c r="F168" s="184">
        <v>0.35</v>
      </c>
      <c r="G168" s="131">
        <f t="shared" si="32"/>
        <v>3.7187499999999996</v>
      </c>
      <c r="H168" s="185">
        <v>1.19</v>
      </c>
      <c r="I168" s="122">
        <v>1.18</v>
      </c>
      <c r="J168" s="95">
        <v>1.4</v>
      </c>
      <c r="K168" s="122">
        <f t="shared" si="30"/>
        <v>-0.21999999999999997</v>
      </c>
      <c r="L168" s="248">
        <v>2</v>
      </c>
      <c r="M168" s="250">
        <f t="shared" si="29"/>
        <v>6.25</v>
      </c>
      <c r="N168" s="468">
        <v>1</v>
      </c>
    </row>
    <row r="169" spans="1:15" ht="15.75" customHeight="1" x14ac:dyDescent="0.25">
      <c r="A169" s="1"/>
      <c r="B169" s="9" t="s">
        <v>199</v>
      </c>
      <c r="C169" s="9" t="s">
        <v>206</v>
      </c>
      <c r="D169" s="39">
        <v>5.5</v>
      </c>
      <c r="E169" s="131"/>
      <c r="F169" s="184"/>
      <c r="G169" s="131"/>
      <c r="H169" s="185"/>
      <c r="I169" s="122">
        <v>0</v>
      </c>
      <c r="J169" s="95">
        <v>0</v>
      </c>
      <c r="K169" s="122">
        <v>0</v>
      </c>
      <c r="L169" s="248">
        <v>5</v>
      </c>
      <c r="M169" s="250">
        <f t="shared" si="29"/>
        <v>0.90909090909090906</v>
      </c>
      <c r="N169" s="468">
        <v>6.56</v>
      </c>
    </row>
    <row r="170" spans="1:15" ht="15.75" customHeight="1" x14ac:dyDescent="0.25">
      <c r="A170" s="1"/>
      <c r="B170" s="9" t="s">
        <v>199</v>
      </c>
      <c r="C170" s="9" t="s">
        <v>207</v>
      </c>
      <c r="D170" s="39">
        <v>5.5</v>
      </c>
      <c r="E170" s="131"/>
      <c r="F170" s="184"/>
      <c r="G170" s="131"/>
      <c r="H170" s="185"/>
      <c r="I170" s="122">
        <v>0</v>
      </c>
      <c r="J170" s="95">
        <v>0</v>
      </c>
      <c r="K170" s="122">
        <v>0</v>
      </c>
      <c r="L170" s="248">
        <v>5</v>
      </c>
      <c r="M170" s="250">
        <f t="shared" si="29"/>
        <v>0.90909090909090906</v>
      </c>
      <c r="N170" s="468">
        <v>6.97</v>
      </c>
    </row>
    <row r="171" spans="1:15" ht="15.75" customHeight="1" x14ac:dyDescent="0.25">
      <c r="B171" s="18" t="s">
        <v>7</v>
      </c>
      <c r="C171" s="18" t="s">
        <v>46</v>
      </c>
      <c r="D171" s="125">
        <v>5.0999999999999996</v>
      </c>
      <c r="E171" s="137">
        <f t="shared" si="31"/>
        <v>3.5627450980392164</v>
      </c>
      <c r="F171" s="187">
        <v>18.170000000000002</v>
      </c>
      <c r="G171" s="137">
        <f t="shared" si="32"/>
        <v>5.7313725490196079</v>
      </c>
      <c r="H171" s="188">
        <v>29.23</v>
      </c>
      <c r="I171" s="136">
        <v>29.34</v>
      </c>
      <c r="J171" s="97">
        <v>30.54</v>
      </c>
      <c r="K171" s="122">
        <f t="shared" si="30"/>
        <v>-1.1999999999999993</v>
      </c>
      <c r="L171" s="248">
        <v>30</v>
      </c>
      <c r="M171" s="250">
        <f t="shared" si="29"/>
        <v>5.882352941176471</v>
      </c>
      <c r="N171" s="468">
        <v>15.84</v>
      </c>
    </row>
    <row r="172" spans="1:15" ht="15.75" customHeight="1" x14ac:dyDescent="0.25">
      <c r="B172" s="18" t="s">
        <v>7</v>
      </c>
      <c r="C172" s="18" t="s">
        <v>42</v>
      </c>
      <c r="D172" s="125">
        <v>4</v>
      </c>
      <c r="E172" s="137"/>
      <c r="F172" s="187">
        <v>12.81</v>
      </c>
      <c r="G172" s="137"/>
      <c r="H172" s="188">
        <v>11.41</v>
      </c>
      <c r="I172" s="136">
        <v>18.02</v>
      </c>
      <c r="J172" s="97">
        <v>22.5</v>
      </c>
      <c r="K172" s="122">
        <f t="shared" si="30"/>
        <v>-4.4800000000000004</v>
      </c>
      <c r="L172" s="248">
        <v>20</v>
      </c>
      <c r="M172" s="250">
        <f t="shared" si="29"/>
        <v>5</v>
      </c>
      <c r="N172" s="468">
        <v>10.07</v>
      </c>
    </row>
    <row r="173" spans="1:15" ht="15.75" customHeight="1" x14ac:dyDescent="0.25">
      <c r="B173" s="18" t="s">
        <v>7</v>
      </c>
      <c r="C173" s="18" t="s">
        <v>47</v>
      </c>
      <c r="D173" s="125">
        <v>4.5</v>
      </c>
      <c r="E173" s="137"/>
      <c r="F173" s="187"/>
      <c r="G173" s="137"/>
      <c r="H173" s="188"/>
      <c r="I173" s="136">
        <v>23.8</v>
      </c>
      <c r="J173" s="97">
        <v>22.76</v>
      </c>
      <c r="K173" s="122">
        <f t="shared" si="30"/>
        <v>1.0399999999999991</v>
      </c>
      <c r="L173" s="248">
        <v>18</v>
      </c>
      <c r="M173" s="250">
        <f t="shared" si="29"/>
        <v>4</v>
      </c>
      <c r="N173" s="468">
        <v>20.6</v>
      </c>
    </row>
    <row r="174" spans="1:15" ht="15.75" customHeight="1" x14ac:dyDescent="0.25">
      <c r="B174" s="12"/>
      <c r="C174" s="147" t="s">
        <v>114</v>
      </c>
      <c r="D174" s="171">
        <f>SUM(D148:D162)</f>
        <v>20.05</v>
      </c>
      <c r="E174" s="171"/>
      <c r="F174" s="171"/>
      <c r="G174" s="171"/>
      <c r="H174" s="171"/>
      <c r="I174" s="182">
        <f>SUM(I148:I162)</f>
        <v>94.310000000000016</v>
      </c>
      <c r="J174" s="171">
        <f>SUM(J148:J162)</f>
        <v>79.42</v>
      </c>
      <c r="K174" s="156">
        <f t="shared" si="30"/>
        <v>14.890000000000015</v>
      </c>
      <c r="L174" s="478">
        <f>SUM(L148:L162)</f>
        <v>86.5</v>
      </c>
      <c r="M174" s="483">
        <f t="shared" si="29"/>
        <v>4.3142144638403987</v>
      </c>
      <c r="N174" s="492">
        <f>SUM(N148:N162)</f>
        <v>74.789999999999992</v>
      </c>
      <c r="O174" s="69" t="s">
        <v>210</v>
      </c>
    </row>
    <row r="175" spans="1:15" ht="15.75" customHeight="1" x14ac:dyDescent="0.25">
      <c r="B175" s="12"/>
      <c r="C175" s="71" t="s">
        <v>118</v>
      </c>
      <c r="D175" s="145">
        <f>SUM(D163:D170)</f>
        <v>18.05</v>
      </c>
      <c r="E175" s="145"/>
      <c r="F175" s="145"/>
      <c r="G175" s="145"/>
      <c r="H175" s="145"/>
      <c r="I175" s="160">
        <f>SUM(I163:I170)</f>
        <v>26.05</v>
      </c>
      <c r="J175" s="145">
        <f>SUM(J163:J170)</f>
        <v>27.869999999999997</v>
      </c>
      <c r="K175" s="166">
        <f t="shared" si="30"/>
        <v>-1.8199999999999967</v>
      </c>
      <c r="L175" s="248">
        <f>SUM(L163:L168)</f>
        <v>27</v>
      </c>
      <c r="M175" s="250">
        <f t="shared" si="29"/>
        <v>1.4958448753462603</v>
      </c>
      <c r="N175" s="484">
        <f>SUM(N163:N170)</f>
        <v>39.54</v>
      </c>
    </row>
    <row r="176" spans="1:15" ht="15.75" customHeight="1" thickBot="1" x14ac:dyDescent="0.3">
      <c r="C176" s="152" t="s">
        <v>116</v>
      </c>
      <c r="D176" s="178">
        <f>SUM(D171:D173)</f>
        <v>13.6</v>
      </c>
      <c r="E176" s="178"/>
      <c r="F176" s="178"/>
      <c r="G176" s="178"/>
      <c r="H176" s="178"/>
      <c r="I176" s="183">
        <f>SUM(I171:I173)</f>
        <v>71.16</v>
      </c>
      <c r="J176" s="178">
        <f>SUM(J171:J173)</f>
        <v>75.8</v>
      </c>
      <c r="K176" s="164">
        <f t="shared" si="30"/>
        <v>-4.6400000000000006</v>
      </c>
      <c r="L176" s="472">
        <f>SUM(L171:L173)</f>
        <v>68</v>
      </c>
      <c r="M176" s="473">
        <f t="shared" si="29"/>
        <v>5</v>
      </c>
      <c r="N176" s="547">
        <f>SUM(N171:N173)</f>
        <v>46.510000000000005</v>
      </c>
    </row>
    <row r="177" spans="1:15" ht="15.75" customHeight="1" thickTop="1" x14ac:dyDescent="0.25">
      <c r="A177" s="43"/>
      <c r="B177" s="8"/>
      <c r="C177" s="79" t="s">
        <v>117</v>
      </c>
      <c r="D177" s="181">
        <f>SUM(D174:D176)</f>
        <v>51.7</v>
      </c>
      <c r="E177" s="181"/>
      <c r="F177" s="181"/>
      <c r="G177" s="181"/>
      <c r="H177" s="181"/>
      <c r="I177" s="160">
        <f>SUM(I174:I176)</f>
        <v>191.52</v>
      </c>
      <c r="J177" s="145">
        <f>SUM(J174:J176)</f>
        <v>183.08999999999997</v>
      </c>
      <c r="K177" s="166">
        <f t="shared" si="30"/>
        <v>8.4300000000000352</v>
      </c>
      <c r="L177" s="248">
        <f>SUM(L174:L176)</f>
        <v>181.5</v>
      </c>
      <c r="M177" s="250">
        <f t="shared" si="29"/>
        <v>3.5106382978723403</v>
      </c>
      <c r="N177" s="549">
        <f>SUM(N174:N176)</f>
        <v>160.83999999999997</v>
      </c>
    </row>
    <row r="178" spans="1:15" s="15" customFormat="1" ht="15.75" customHeight="1" x14ac:dyDescent="0.25">
      <c r="A178" s="3" t="s">
        <v>34</v>
      </c>
      <c r="C178" s="3"/>
      <c r="D178" s="37"/>
      <c r="E178" s="103"/>
      <c r="F178" s="16"/>
      <c r="G178" s="103"/>
      <c r="H178" s="103"/>
      <c r="I178" s="114"/>
      <c r="J178" s="83"/>
      <c r="K178" s="115"/>
      <c r="L178" s="478"/>
      <c r="M178" s="479"/>
      <c r="N178" s="480"/>
    </row>
    <row r="179" spans="1:15" ht="15.75" customHeight="1" x14ac:dyDescent="0.25">
      <c r="B179" s="9" t="s">
        <v>3</v>
      </c>
      <c r="C179" s="9" t="s">
        <v>50</v>
      </c>
      <c r="D179" s="39">
        <v>2.69</v>
      </c>
      <c r="E179" s="131">
        <f>F179/D179</f>
        <v>0</v>
      </c>
      <c r="F179" s="184">
        <v>0</v>
      </c>
      <c r="G179" s="131">
        <f>H179/D179</f>
        <v>1.970260223048327</v>
      </c>
      <c r="H179" s="185">
        <v>5.3</v>
      </c>
      <c r="I179" s="122">
        <v>5.45</v>
      </c>
      <c r="J179" s="95">
        <v>10.72</v>
      </c>
      <c r="K179" s="122">
        <f t="shared" ref="K179:K185" si="33">I179-J179</f>
        <v>-5.2700000000000005</v>
      </c>
      <c r="L179" s="481">
        <v>8</v>
      </c>
      <c r="M179" s="482">
        <f t="shared" si="29"/>
        <v>2.9739776951672865</v>
      </c>
      <c r="N179" s="468">
        <v>9.57</v>
      </c>
    </row>
    <row r="180" spans="1:15" ht="15.75" customHeight="1" x14ac:dyDescent="0.25">
      <c r="B180" s="9" t="s">
        <v>6</v>
      </c>
      <c r="C180" s="9" t="s">
        <v>38</v>
      </c>
      <c r="D180" s="39">
        <v>1.6</v>
      </c>
      <c r="E180" s="131">
        <f>F180/D180</f>
        <v>1.9312499999999999</v>
      </c>
      <c r="F180" s="184">
        <v>3.09</v>
      </c>
      <c r="G180" s="131">
        <f>H180/D180</f>
        <v>1.9124999999999999</v>
      </c>
      <c r="H180" s="185">
        <v>3.06</v>
      </c>
      <c r="I180" s="122">
        <v>3.47</v>
      </c>
      <c r="J180" s="95">
        <v>2.33</v>
      </c>
      <c r="K180" s="122">
        <f t="shared" si="33"/>
        <v>1.1400000000000001</v>
      </c>
      <c r="L180" s="481">
        <v>2</v>
      </c>
      <c r="M180" s="482">
        <f t="shared" si="29"/>
        <v>1.25</v>
      </c>
      <c r="N180" s="468">
        <v>3.49</v>
      </c>
    </row>
    <row r="181" spans="1:15" ht="15.75" customHeight="1" x14ac:dyDescent="0.25">
      <c r="B181" s="18" t="s">
        <v>7</v>
      </c>
      <c r="C181" s="18" t="s">
        <v>121</v>
      </c>
      <c r="D181" s="39">
        <v>8.5500000000000007</v>
      </c>
      <c r="E181" s="131"/>
      <c r="F181" s="184"/>
      <c r="G181" s="131"/>
      <c r="H181" s="185"/>
      <c r="I181" s="124">
        <v>0</v>
      </c>
      <c r="J181" s="95">
        <v>9.82</v>
      </c>
      <c r="K181" s="122">
        <f t="shared" si="33"/>
        <v>-9.82</v>
      </c>
      <c r="L181" s="469">
        <v>10</v>
      </c>
      <c r="M181" s="470">
        <f t="shared" si="29"/>
        <v>1.1695906432748537</v>
      </c>
      <c r="N181" s="471">
        <v>9.6</v>
      </c>
    </row>
    <row r="182" spans="1:15" ht="15.75" customHeight="1" x14ac:dyDescent="0.25">
      <c r="B182" s="12"/>
      <c r="C182" s="147" t="s">
        <v>114</v>
      </c>
      <c r="D182" s="158">
        <f>SUM(D179:D180)</f>
        <v>4.29</v>
      </c>
      <c r="E182" s="158">
        <f t="shared" ref="E182:J182" si="34">SUM(E179:E180)</f>
        <v>1.9312499999999999</v>
      </c>
      <c r="F182" s="158">
        <f t="shared" si="34"/>
        <v>3.09</v>
      </c>
      <c r="G182" s="158">
        <f t="shared" si="34"/>
        <v>3.8827602230483267</v>
      </c>
      <c r="H182" s="158">
        <f t="shared" si="34"/>
        <v>8.36</v>
      </c>
      <c r="I182" s="156">
        <f t="shared" si="34"/>
        <v>8.92</v>
      </c>
      <c r="J182" s="158">
        <f t="shared" si="34"/>
        <v>13.05</v>
      </c>
      <c r="K182" s="156">
        <f t="shared" si="33"/>
        <v>-4.1300000000000008</v>
      </c>
      <c r="L182" s="248">
        <f t="shared" ref="L182" si="35">SUM(L179:L180)</f>
        <v>10</v>
      </c>
      <c r="M182" s="250">
        <f t="shared" si="29"/>
        <v>2.3310023310023311</v>
      </c>
      <c r="N182" s="484">
        <f>SUM(N179,N180)</f>
        <v>13.06</v>
      </c>
      <c r="O182" s="69" t="s">
        <v>211</v>
      </c>
    </row>
    <row r="183" spans="1:15" ht="15.75" customHeight="1" x14ac:dyDescent="0.25">
      <c r="B183" s="12"/>
      <c r="C183" s="71" t="s">
        <v>115</v>
      </c>
      <c r="D183" s="153">
        <v>0</v>
      </c>
      <c r="E183" s="153"/>
      <c r="F183" s="208"/>
      <c r="G183" s="153"/>
      <c r="H183" s="208"/>
      <c r="I183" s="160">
        <v>0</v>
      </c>
      <c r="J183" s="145">
        <v>0</v>
      </c>
      <c r="K183" s="166">
        <f t="shared" si="33"/>
        <v>0</v>
      </c>
      <c r="L183" s="248">
        <v>0</v>
      </c>
      <c r="M183" s="250">
        <v>0</v>
      </c>
      <c r="N183" s="468">
        <v>0</v>
      </c>
    </row>
    <row r="184" spans="1:15" ht="15.75" customHeight="1" thickBot="1" x14ac:dyDescent="0.3">
      <c r="C184" s="152" t="s">
        <v>116</v>
      </c>
      <c r="D184" s="165">
        <v>8.5500000000000007</v>
      </c>
      <c r="E184" s="165"/>
      <c r="F184" s="165"/>
      <c r="G184" s="165"/>
      <c r="H184" s="165"/>
      <c r="I184" s="164">
        <v>0</v>
      </c>
      <c r="J184" s="165">
        <v>9.92</v>
      </c>
      <c r="K184" s="164">
        <f t="shared" si="33"/>
        <v>-9.92</v>
      </c>
      <c r="L184" s="472">
        <v>10</v>
      </c>
      <c r="M184" s="473">
        <f t="shared" si="29"/>
        <v>1.1695906432748537</v>
      </c>
      <c r="N184" s="547">
        <v>9.6</v>
      </c>
    </row>
    <row r="185" spans="1:15" ht="15.75" customHeight="1" thickTop="1" x14ac:dyDescent="0.25">
      <c r="C185" s="79" t="s">
        <v>9</v>
      </c>
      <c r="D185" s="153">
        <f>SUM(D182,D184)</f>
        <v>12.84</v>
      </c>
      <c r="E185" s="153"/>
      <c r="F185" s="153"/>
      <c r="G185" s="153"/>
      <c r="H185" s="153"/>
      <c r="I185" s="166">
        <v>8.92</v>
      </c>
      <c r="J185" s="153">
        <f>SUM(J182,J184)</f>
        <v>22.97</v>
      </c>
      <c r="K185" s="166">
        <f t="shared" si="33"/>
        <v>-14.049999999999999</v>
      </c>
      <c r="L185" s="476">
        <f>SUM(L182,L184)</f>
        <v>20</v>
      </c>
      <c r="M185" s="477">
        <f t="shared" si="29"/>
        <v>1.557632398753894</v>
      </c>
      <c r="N185" s="550">
        <f>SUM(N182:N184)</f>
        <v>22.66</v>
      </c>
    </row>
    <row r="186" spans="1:15" s="15" customFormat="1" ht="15.75" customHeight="1" x14ac:dyDescent="0.25">
      <c r="A186" s="13"/>
      <c r="C186" s="81"/>
      <c r="D186" s="82"/>
      <c r="E186" s="83"/>
      <c r="F186" s="84"/>
      <c r="G186" s="83"/>
      <c r="H186" s="84"/>
      <c r="I186" s="114"/>
      <c r="J186" s="84"/>
      <c r="K186" s="115"/>
      <c r="L186" s="248"/>
      <c r="M186" s="250"/>
      <c r="N186" s="468"/>
    </row>
    <row r="187" spans="1:15" ht="15.75" customHeight="1" x14ac:dyDescent="0.25">
      <c r="A187" s="43"/>
      <c r="B187" s="85"/>
      <c r="C187" s="86"/>
      <c r="D187" s="64"/>
      <c r="E187" s="65"/>
      <c r="F187" s="80"/>
      <c r="G187" s="65"/>
      <c r="H187" s="80"/>
      <c r="I187" s="113"/>
      <c r="J187" s="65"/>
      <c r="K187" s="109"/>
      <c r="M187" s="250"/>
      <c r="N187" s="468"/>
    </row>
    <row r="188" spans="1:15" ht="15.75" customHeight="1" x14ac:dyDescent="0.25">
      <c r="C188" s="1"/>
      <c r="D188" s="1"/>
      <c r="E188" s="19"/>
      <c r="F188" s="19"/>
      <c r="G188" s="19"/>
      <c r="H188" s="19"/>
      <c r="I188" s="564"/>
      <c r="J188" s="64"/>
      <c r="K188" s="109"/>
      <c r="M188" s="250"/>
      <c r="N188" s="468"/>
    </row>
    <row r="189" spans="1:15" ht="15.75" customHeight="1" x14ac:dyDescent="0.25">
      <c r="A189" s="20"/>
      <c r="B189" s="15"/>
      <c r="C189" s="59" t="s">
        <v>123</v>
      </c>
      <c r="D189" s="218">
        <f>SUM(D22:D23,D31:D32,D39:D40,D57:D58,D68:D69,D82,D95:D96,D100,D104,D115,D124:D125,D143,D174:D175,D62)</f>
        <v>185.29000000000005</v>
      </c>
      <c r="F189" s="21" t="e">
        <f>F182+F174+F143+F131+F124+F115+#REF!+F95+F81+F68+#REF!+#REF!+F57+F39+F22+F31</f>
        <v>#REF!</v>
      </c>
      <c r="G189" s="46" t="e">
        <f>F189/F$191</f>
        <v>#REF!</v>
      </c>
      <c r="H189" s="106" t="e">
        <f>H182+H174+H143+H131+H124+H115+#REF!+H95+H81+H68+#REF!+#REF!+H57+H39+H22+H31</f>
        <v>#REF!</v>
      </c>
      <c r="I189" s="182">
        <f>SUM(I22,I31:I32,I39:I40,I57:I58,I68:I69,I95:I96,I100,I115,I124:I125,I143,I174:I175,I62,I182)</f>
        <v>745.78</v>
      </c>
      <c r="J189" s="221">
        <f>SUM(J22:J23,J31:J32,J39:J40,J57:J58,J68:J69,J62,J95:J96,J100,J115,J124:J125,J143,J174:J175,J182)</f>
        <v>747.51</v>
      </c>
      <c r="K189" s="224">
        <f>SUM(K22:K23,K31:K32,K39:K40,K57:K58,K68:K69,K95:K96,K115,K124:K125,K100,K143,K174:K175,K182,K62)</f>
        <v>0.27000000000001378</v>
      </c>
      <c r="L189" s="493">
        <f>SUM(L22:L23,L31:L32,L39:L40,L57:L58,L68:L69,L62,L95:L96,L100,L104,L115,L124:L125,L143,L174:L175,L182)</f>
        <v>790.75</v>
      </c>
      <c r="M189" s="479">
        <f t="shared" si="29"/>
        <v>4.267634518862323</v>
      </c>
      <c r="N189" s="496">
        <f>SUM(N22:N23,N31:N32,N39:N40,N57:N58,N62,N68:N69,N82,N95:N96,N100,N104,N115,N124:N125,N143,N174:N175,N182,)</f>
        <v>909.9899999999999</v>
      </c>
    </row>
    <row r="190" spans="1:15" ht="15.75" customHeight="1" x14ac:dyDescent="0.25">
      <c r="A190" s="22"/>
      <c r="C190" s="217" t="s">
        <v>122</v>
      </c>
      <c r="D190" s="219">
        <f>SUM(D24,D59,D70,D83,D102,D108,D106,D117,D133,D145,D176,D184)</f>
        <v>149.24</v>
      </c>
      <c r="F190" s="14" t="e">
        <f>F183+F175+F144+F132+F125+F116+#REF!+F96+F82+F69+#REF!+#REF!+F58+F40+F23+F32</f>
        <v>#REF!</v>
      </c>
      <c r="G190" s="47" t="e">
        <f>F190/F$191</f>
        <v>#REF!</v>
      </c>
      <c r="H190" s="104" t="e">
        <f>H183+H175+H144+H132+H125+H116+#REF!+H96+H82+H69+#REF!+#REF!+H58+H40+H23+H32</f>
        <v>#REF!</v>
      </c>
      <c r="I190" s="558">
        <f>SUM(I24,I59,I70,I83,I133,I176)</f>
        <v>445.26</v>
      </c>
      <c r="J190" s="557">
        <f>SUM(J24,J33,J59,J70,J83,J102,J106,J108,J117,J133,J145,J176,J184)</f>
        <v>596.80999999999995</v>
      </c>
      <c r="K190" s="225">
        <f>SUM(K24,K33,K59,K70,K83,K102,K106,K117,K133,K145,K176,K184)</f>
        <v>-92.649999999999991</v>
      </c>
      <c r="L190" s="249">
        <f>SUM(L24,L33,L59,L70,L83,L102,L106,L117,L133,L145,L176,L184)</f>
        <v>482.73</v>
      </c>
      <c r="M190" s="250">
        <f t="shared" si="29"/>
        <v>3.2345885821495575</v>
      </c>
      <c r="N190" s="497">
        <f>SUM(N24,N59,N70,N83,N102,N108,N106,N117,N133,N145,N176,N184)</f>
        <v>470.83</v>
      </c>
    </row>
    <row r="191" spans="1:15" ht="15.75" customHeight="1" thickBot="1" x14ac:dyDescent="0.3">
      <c r="A191" s="23"/>
      <c r="B191" s="10"/>
      <c r="C191" s="60" t="s">
        <v>97</v>
      </c>
      <c r="D191" s="220">
        <f>SUM(D189,D190)</f>
        <v>334.53000000000009</v>
      </c>
      <c r="E191" s="10"/>
      <c r="F191" s="24" t="e">
        <f>F189+F190</f>
        <v>#REF!</v>
      </c>
      <c r="G191" s="48"/>
      <c r="H191" s="107" t="e">
        <f>H189+H190</f>
        <v>#REF!</v>
      </c>
      <c r="I191" s="183">
        <f>SUM(I189:I190)</f>
        <v>1191.04</v>
      </c>
      <c r="J191" s="222">
        <f>SUM(J189:J190)</f>
        <v>1344.32</v>
      </c>
      <c r="K191" s="226">
        <f>I191-J191</f>
        <v>-153.27999999999997</v>
      </c>
      <c r="L191" s="472">
        <f>SUM(L189:L190)</f>
        <v>1273.48</v>
      </c>
      <c r="M191" s="473">
        <f t="shared" si="29"/>
        <v>3.8067736824798963</v>
      </c>
      <c r="N191" s="495">
        <f>SUM(N189:N190)</f>
        <v>1380.82</v>
      </c>
    </row>
    <row r="192" spans="1:15" ht="15.75" customHeight="1" thickTop="1" x14ac:dyDescent="0.25">
      <c r="K192" s="109"/>
    </row>
    <row r="193" spans="1:14" ht="15.75" customHeight="1" x14ac:dyDescent="0.25">
      <c r="A193" s="20"/>
      <c r="B193" s="15"/>
      <c r="C193" s="59" t="s">
        <v>26</v>
      </c>
      <c r="D193" s="45"/>
      <c r="E193" s="15"/>
      <c r="F193" s="51"/>
      <c r="G193" s="52"/>
      <c r="H193" s="53"/>
      <c r="I193" s="555">
        <f>SUM(I25,I34,I42,I60,I62,I71,I84,I98,I100,I104,I106)</f>
        <v>719.41999999999985</v>
      </c>
      <c r="J193" s="496">
        <f>SUM(J25,J34,J42,J60,J62,J71,J84,J98,J100,J104,J106)</f>
        <v>842.46</v>
      </c>
      <c r="K193" s="100"/>
      <c r="N193" s="496">
        <f>SUM(N25,N34,N42,N60,N62,N71,N84,N98,N100,N104,N106)</f>
        <v>922.23000000000013</v>
      </c>
    </row>
    <row r="194" spans="1:14" ht="15.75" customHeight="1" thickBot="1" x14ac:dyDescent="0.3">
      <c r="A194" s="43"/>
      <c r="B194" s="8"/>
      <c r="C194" s="58" t="s">
        <v>35</v>
      </c>
      <c r="D194" s="63"/>
      <c r="E194" s="8"/>
      <c r="F194" s="54"/>
      <c r="G194" s="50"/>
      <c r="H194" s="49"/>
      <c r="I194" s="556">
        <f>SUM(I108,I118,I127,I134,I146,I177,I185)</f>
        <v>519.28</v>
      </c>
      <c r="J194" s="485">
        <f>SUM(J108,J118,J127,J134,J146,J177,J185)</f>
        <v>496.92999999999995</v>
      </c>
      <c r="K194" s="98"/>
      <c r="L194" s="472"/>
      <c r="M194" s="475"/>
      <c r="N194" s="485">
        <f>SUM(N108,N118,N127,N134,N146,N177,N185)</f>
        <v>458.59000000000003</v>
      </c>
    </row>
    <row r="195" spans="1:14" ht="15.75" customHeight="1" thickTop="1" thickBot="1" x14ac:dyDescent="0.3">
      <c r="C195" s="60" t="s">
        <v>97</v>
      </c>
      <c r="I195" s="554">
        <f>SUM(I193:I194)</f>
        <v>1238.6999999999998</v>
      </c>
      <c r="J195" s="484">
        <f>SUM(J193:J194)</f>
        <v>1339.3899999999999</v>
      </c>
      <c r="N195" s="559">
        <f>SUM(N193:N194)</f>
        <v>1380.8200000000002</v>
      </c>
    </row>
    <row r="196" spans="1:14" ht="15.75" customHeight="1" thickTop="1" x14ac:dyDescent="0.25">
      <c r="F196" s="11"/>
    </row>
    <row r="197" spans="1:14" ht="15.75" customHeight="1" x14ac:dyDescent="0.25">
      <c r="A197" s="71" t="s">
        <v>94</v>
      </c>
    </row>
    <row r="198" spans="1:14" ht="15.75" customHeight="1" x14ac:dyDescent="0.25">
      <c r="A198" s="71" t="s">
        <v>95</v>
      </c>
    </row>
    <row r="199" spans="1:14" ht="15.75" customHeight="1" x14ac:dyDescent="0.25">
      <c r="A199" s="71" t="s">
        <v>96</v>
      </c>
    </row>
    <row r="201" spans="1:14" ht="15.75" customHeight="1" x14ac:dyDescent="0.25">
      <c r="A201" s="55"/>
    </row>
    <row r="202" spans="1:14" ht="15.75" customHeight="1" x14ac:dyDescent="0.25">
      <c r="A202" s="56"/>
    </row>
    <row r="203" spans="1:14" ht="15.75" customHeight="1" x14ac:dyDescent="0.25">
      <c r="A203" s="57"/>
    </row>
  </sheetData>
  <customSheetViews>
    <customSheetView guid="{F76F088D-E257-4637-81FB-2D037F8BCE3A}" hiddenColumns="1">
      <pane xSplit="11" ySplit="2" topLeftCell="L102" activePane="bottomRight" state="frozen"/>
      <selection pane="bottomRight" activeCell="M148" sqref="M148"/>
      <rowBreaks count="2" manualBreakCount="2">
        <brk id="59" max="16383" man="1"/>
        <brk id="106" max="16383" man="1"/>
      </rowBreaks>
      <colBreaks count="1" manualBreakCount="1">
        <brk id="13" max="1048575" man="1"/>
      </colBreaks>
      <pageMargins left="0.70866141732283472" right="0.70866141732283472" top="0.74803149606299213" bottom="0.74803149606299213" header="0.31496062992125984" footer="0.31496062992125984"/>
      <pageSetup scale="65" orientation="portrait" r:id="rId1"/>
    </customSheetView>
  </customSheetViews>
  <mergeCells count="12">
    <mergeCell ref="AL3:AM3"/>
    <mergeCell ref="Z3:AA3"/>
    <mergeCell ref="AB3:AC3"/>
    <mergeCell ref="AD3:AE3"/>
    <mergeCell ref="AF3:AG3"/>
    <mergeCell ref="AH3:AI3"/>
    <mergeCell ref="AJ3:AK3"/>
    <mergeCell ref="X3:Y3"/>
    <mergeCell ref="E1:F1"/>
    <mergeCell ref="G1:H1"/>
    <mergeCell ref="B2:C2"/>
    <mergeCell ref="V3:W3"/>
  </mergeCells>
  <pageMargins left="0.70866141732283472" right="0.70866141732283472" top="0.74803149606299213" bottom="0.74803149606299213" header="0.31496062992125984" footer="0.31496062992125984"/>
  <pageSetup scale="65" orientation="portrait" r:id="rId2"/>
  <rowBreaks count="2" manualBreakCount="2">
    <brk id="62" max="16383" man="1"/>
    <brk id="116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9"/>
  <sheetViews>
    <sheetView workbookViewId="0">
      <pane ySplit="2" topLeftCell="A18" activePane="bottomLeft" state="frozen"/>
      <selection pane="bottomLeft" activeCell="I51" sqref="I51"/>
    </sheetView>
  </sheetViews>
  <sheetFormatPr defaultRowHeight="15" x14ac:dyDescent="0.25"/>
  <cols>
    <col min="2" max="2" width="16.5703125" customWidth="1"/>
    <col min="3" max="3" width="17.85546875" style="227" customWidth="1"/>
    <col min="4" max="4" width="8.85546875" style="246"/>
    <col min="5" max="5" width="8.85546875" style="228"/>
    <col min="6" max="6" width="8.85546875" style="423"/>
    <col min="7" max="7" width="9.140625" style="419"/>
    <col min="8" max="8" width="9.140625" style="432" customWidth="1"/>
    <col min="9" max="9" width="9.140625" style="464"/>
    <col min="10" max="10" width="9.140625" style="462"/>
  </cols>
  <sheetData>
    <row r="1" spans="1:10" x14ac:dyDescent="0.25">
      <c r="A1" s="141" t="s">
        <v>188</v>
      </c>
      <c r="B1" s="94"/>
      <c r="C1" s="143"/>
      <c r="D1" s="242"/>
      <c r="E1" s="230">
        <v>2014</v>
      </c>
      <c r="F1" s="420">
        <v>2014</v>
      </c>
      <c r="G1" s="427">
        <v>2015</v>
      </c>
      <c r="H1" s="428">
        <v>2015</v>
      </c>
      <c r="I1" s="427">
        <v>2016</v>
      </c>
      <c r="J1" s="463">
        <v>2016</v>
      </c>
    </row>
    <row r="2" spans="1:10" s="239" customFormat="1" x14ac:dyDescent="0.25">
      <c r="A2" s="237" t="s">
        <v>0</v>
      </c>
      <c r="B2" s="575" t="s">
        <v>1</v>
      </c>
      <c r="C2" s="575"/>
      <c r="D2" s="243" t="s">
        <v>82</v>
      </c>
      <c r="E2" s="238" t="s">
        <v>105</v>
      </c>
      <c r="F2" s="421" t="s">
        <v>106</v>
      </c>
      <c r="G2" s="238" t="s">
        <v>105</v>
      </c>
      <c r="H2" s="429" t="s">
        <v>106</v>
      </c>
      <c r="I2" s="238" t="s">
        <v>105</v>
      </c>
      <c r="J2" s="460" t="s">
        <v>106</v>
      </c>
    </row>
    <row r="3" spans="1:10" x14ac:dyDescent="0.25">
      <c r="A3" s="179" t="s">
        <v>2</v>
      </c>
      <c r="B3" s="18"/>
      <c r="C3" s="132"/>
      <c r="D3" s="433"/>
      <c r="E3" s="434"/>
      <c r="F3" s="225"/>
      <c r="G3" s="435"/>
      <c r="H3" s="225"/>
      <c r="I3" s="453"/>
      <c r="J3" s="461"/>
    </row>
    <row r="4" spans="1:10" x14ac:dyDescent="0.25">
      <c r="A4" s="179"/>
      <c r="B4" s="18" t="s">
        <v>3</v>
      </c>
      <c r="C4" s="132" t="s">
        <v>10</v>
      </c>
      <c r="D4" s="436">
        <v>0.75</v>
      </c>
      <c r="E4" s="437">
        <v>2.63</v>
      </c>
      <c r="F4" s="433">
        <f>$E4/$D4</f>
        <v>3.5066666666666664</v>
      </c>
      <c r="G4" s="453">
        <v>3.7</v>
      </c>
      <c r="H4" s="438">
        <f>$G4/$D4</f>
        <v>4.9333333333333336</v>
      </c>
      <c r="I4" s="453">
        <v>3.28</v>
      </c>
      <c r="J4" s="465">
        <f>$I4/$D4</f>
        <v>4.3733333333333331</v>
      </c>
    </row>
    <row r="5" spans="1:10" x14ac:dyDescent="0.25">
      <c r="A5" s="179"/>
      <c r="B5" s="18" t="s">
        <v>3</v>
      </c>
      <c r="C5" s="132" t="s">
        <v>11</v>
      </c>
      <c r="D5" s="436">
        <v>1.4</v>
      </c>
      <c r="E5" s="437">
        <v>13.19</v>
      </c>
      <c r="F5" s="433">
        <f t="shared" ref="F5:F21" si="0">$E5/$D5</f>
        <v>9.4214285714285708</v>
      </c>
      <c r="G5" s="453">
        <v>10</v>
      </c>
      <c r="H5" s="438">
        <f t="shared" ref="H5:H74" si="1">$G5/$D5</f>
        <v>7.1428571428571432</v>
      </c>
      <c r="I5" s="453">
        <v>10</v>
      </c>
      <c r="J5" s="465">
        <f t="shared" ref="J5:J74" si="2">$I5/$D5</f>
        <v>7.1428571428571432</v>
      </c>
    </row>
    <row r="6" spans="1:10" x14ac:dyDescent="0.25">
      <c r="A6" s="141"/>
      <c r="B6" s="18" t="s">
        <v>3</v>
      </c>
      <c r="C6" s="132" t="s">
        <v>12</v>
      </c>
      <c r="D6" s="436">
        <v>0.72</v>
      </c>
      <c r="E6" s="437">
        <v>3.67</v>
      </c>
      <c r="F6" s="433">
        <f t="shared" si="0"/>
        <v>5.0972222222222223</v>
      </c>
      <c r="G6" s="453">
        <v>7.28</v>
      </c>
      <c r="H6" s="438">
        <f t="shared" si="1"/>
        <v>10.111111111111112</v>
      </c>
      <c r="I6" s="453">
        <v>7.25</v>
      </c>
      <c r="J6" s="465">
        <f t="shared" si="2"/>
        <v>10.069444444444445</v>
      </c>
    </row>
    <row r="7" spans="1:10" x14ac:dyDescent="0.25">
      <c r="A7" s="141"/>
      <c r="B7" s="18" t="s">
        <v>3</v>
      </c>
      <c r="C7" s="132" t="s">
        <v>14</v>
      </c>
      <c r="D7" s="436">
        <v>2.39</v>
      </c>
      <c r="E7" s="437">
        <v>15.96</v>
      </c>
      <c r="F7" s="433">
        <f t="shared" si="0"/>
        <v>6.6778242677824267</v>
      </c>
      <c r="G7" s="453">
        <v>15.76</v>
      </c>
      <c r="H7" s="438">
        <f t="shared" si="1"/>
        <v>6.5941422594142258</v>
      </c>
      <c r="I7" s="453">
        <v>13.3</v>
      </c>
      <c r="J7" s="465">
        <f t="shared" si="2"/>
        <v>5.5648535564853558</v>
      </c>
    </row>
    <row r="8" spans="1:10" x14ac:dyDescent="0.25">
      <c r="A8" s="141"/>
      <c r="B8" s="18" t="s">
        <v>3</v>
      </c>
      <c r="C8" s="132" t="s">
        <v>16</v>
      </c>
      <c r="D8" s="436">
        <v>2.35</v>
      </c>
      <c r="E8" s="437">
        <v>14.05</v>
      </c>
      <c r="F8" s="433">
        <f t="shared" si="0"/>
        <v>5.9787234042553195</v>
      </c>
      <c r="G8" s="453">
        <v>13.97</v>
      </c>
      <c r="H8" s="438">
        <f t="shared" si="1"/>
        <v>5.94468085106383</v>
      </c>
      <c r="I8" s="453">
        <v>13.85</v>
      </c>
      <c r="J8" s="465">
        <f t="shared" si="2"/>
        <v>5.8936170212765955</v>
      </c>
    </row>
    <row r="9" spans="1:10" x14ac:dyDescent="0.25">
      <c r="A9" s="141"/>
      <c r="B9" s="18" t="s">
        <v>3</v>
      </c>
      <c r="C9" s="132" t="s">
        <v>18</v>
      </c>
      <c r="D9" s="436">
        <v>1.8</v>
      </c>
      <c r="E9" s="437">
        <v>12.12</v>
      </c>
      <c r="F9" s="433">
        <f t="shared" si="0"/>
        <v>6.7333333333333325</v>
      </c>
      <c r="G9" s="453">
        <v>13.57</v>
      </c>
      <c r="H9" s="438">
        <f t="shared" si="1"/>
        <v>7.5388888888888888</v>
      </c>
      <c r="I9" s="453">
        <v>11.62</v>
      </c>
      <c r="J9" s="465">
        <f t="shared" si="2"/>
        <v>6.4555555555555548</v>
      </c>
    </row>
    <row r="10" spans="1:10" x14ac:dyDescent="0.25">
      <c r="A10" s="141"/>
      <c r="B10" s="18" t="s">
        <v>3</v>
      </c>
      <c r="C10" s="132" t="s">
        <v>20</v>
      </c>
      <c r="D10" s="436">
        <v>1.92</v>
      </c>
      <c r="E10" s="437">
        <v>13.61</v>
      </c>
      <c r="F10" s="433">
        <f t="shared" si="0"/>
        <v>7.088541666666667</v>
      </c>
      <c r="G10" s="453">
        <v>11.72</v>
      </c>
      <c r="H10" s="438">
        <f t="shared" si="1"/>
        <v>6.104166666666667</v>
      </c>
      <c r="I10" s="453">
        <v>12.4</v>
      </c>
      <c r="J10" s="465">
        <f t="shared" si="2"/>
        <v>6.4583333333333339</v>
      </c>
    </row>
    <row r="11" spans="1:10" x14ac:dyDescent="0.25">
      <c r="A11" s="141"/>
      <c r="B11" s="18" t="s">
        <v>3</v>
      </c>
      <c r="C11" s="132" t="s">
        <v>22</v>
      </c>
      <c r="D11" s="436">
        <v>1.43</v>
      </c>
      <c r="E11" s="437">
        <v>9.8000000000000007</v>
      </c>
      <c r="F11" s="433">
        <f t="shared" si="0"/>
        <v>6.8531468531468542</v>
      </c>
      <c r="G11" s="453">
        <v>12.44</v>
      </c>
      <c r="H11" s="438">
        <f t="shared" si="1"/>
        <v>8.6993006993007</v>
      </c>
      <c r="I11" s="453">
        <v>9.4499999999999993</v>
      </c>
      <c r="J11" s="465">
        <f t="shared" si="2"/>
        <v>6.6083916083916083</v>
      </c>
    </row>
    <row r="12" spans="1:10" x14ac:dyDescent="0.25">
      <c r="A12" s="141"/>
      <c r="B12" s="18" t="s">
        <v>3</v>
      </c>
      <c r="C12" s="132" t="s">
        <v>24</v>
      </c>
      <c r="D12" s="436">
        <v>1.03</v>
      </c>
      <c r="E12" s="437">
        <v>3.91</v>
      </c>
      <c r="F12" s="433">
        <f t="shared" si="0"/>
        <v>3.796116504854369</v>
      </c>
      <c r="G12" s="453">
        <v>5.41</v>
      </c>
      <c r="H12" s="438">
        <f t="shared" si="1"/>
        <v>5.2524271844660193</v>
      </c>
      <c r="I12" s="453">
        <v>6.46</v>
      </c>
      <c r="J12" s="465">
        <f t="shared" si="2"/>
        <v>6.2718446601941746</v>
      </c>
    </row>
    <row r="13" spans="1:10" x14ac:dyDescent="0.25">
      <c r="A13" s="141"/>
      <c r="B13" s="132" t="s">
        <v>84</v>
      </c>
      <c r="C13" s="132" t="s">
        <v>190</v>
      </c>
      <c r="D13" s="436">
        <v>1.1299999999999999</v>
      </c>
      <c r="E13" s="439">
        <v>2.0299999999999998</v>
      </c>
      <c r="F13" s="433">
        <f t="shared" si="0"/>
        <v>1.7964601769911503</v>
      </c>
      <c r="G13" s="453">
        <v>2.83</v>
      </c>
      <c r="H13" s="438">
        <f t="shared" si="1"/>
        <v>2.5044247787610621</v>
      </c>
      <c r="I13" s="453">
        <v>4.84</v>
      </c>
      <c r="J13" s="465">
        <f t="shared" si="2"/>
        <v>4.283185840707965</v>
      </c>
    </row>
    <row r="14" spans="1:10" s="70" customFormat="1" x14ac:dyDescent="0.25">
      <c r="A14" s="141"/>
      <c r="B14" s="132" t="s">
        <v>189</v>
      </c>
      <c r="C14" s="132" t="s">
        <v>151</v>
      </c>
      <c r="D14" s="436">
        <v>1.1100000000000001</v>
      </c>
      <c r="E14" s="439">
        <v>0</v>
      </c>
      <c r="F14" s="433">
        <f t="shared" si="0"/>
        <v>0</v>
      </c>
      <c r="G14" s="453">
        <v>1.36</v>
      </c>
      <c r="H14" s="438">
        <f t="shared" si="1"/>
        <v>1.2252252252252251</v>
      </c>
      <c r="I14" s="453">
        <v>3.93</v>
      </c>
      <c r="J14" s="465">
        <f t="shared" si="2"/>
        <v>3.5405405405405403</v>
      </c>
    </row>
    <row r="15" spans="1:10" s="70" customFormat="1" x14ac:dyDescent="0.25">
      <c r="A15" s="141"/>
      <c r="B15" s="132" t="s">
        <v>199</v>
      </c>
      <c r="C15" s="132" t="s">
        <v>40</v>
      </c>
      <c r="D15" s="436">
        <v>10</v>
      </c>
      <c r="E15" s="439">
        <v>0</v>
      </c>
      <c r="F15" s="433">
        <f t="shared" si="0"/>
        <v>0</v>
      </c>
      <c r="G15" s="453">
        <v>0</v>
      </c>
      <c r="H15" s="438">
        <f t="shared" si="1"/>
        <v>0</v>
      </c>
      <c r="I15" s="453">
        <v>33.6</v>
      </c>
      <c r="J15" s="465">
        <f t="shared" si="2"/>
        <v>3.3600000000000003</v>
      </c>
    </row>
    <row r="16" spans="1:10" x14ac:dyDescent="0.25">
      <c r="A16" s="141"/>
      <c r="B16" s="132" t="s">
        <v>7</v>
      </c>
      <c r="C16" s="132" t="s">
        <v>99</v>
      </c>
      <c r="D16" s="440">
        <v>2</v>
      </c>
      <c r="E16" s="439">
        <v>10.56</v>
      </c>
      <c r="F16" s="433">
        <f t="shared" si="0"/>
        <v>5.28</v>
      </c>
      <c r="G16" s="453">
        <v>14.28</v>
      </c>
      <c r="H16" s="438">
        <f t="shared" si="1"/>
        <v>7.14</v>
      </c>
      <c r="I16" s="453">
        <v>14.3</v>
      </c>
      <c r="J16" s="465">
        <f t="shared" si="2"/>
        <v>7.15</v>
      </c>
    </row>
    <row r="17" spans="1:10" x14ac:dyDescent="0.25">
      <c r="A17" s="141"/>
      <c r="B17" s="132" t="s">
        <v>7</v>
      </c>
      <c r="C17" s="132" t="s">
        <v>98</v>
      </c>
      <c r="D17" s="440">
        <v>1.5</v>
      </c>
      <c r="E17" s="439">
        <v>7.54</v>
      </c>
      <c r="F17" s="433">
        <f t="shared" si="0"/>
        <v>5.0266666666666664</v>
      </c>
      <c r="G17" s="453">
        <v>7.76</v>
      </c>
      <c r="H17" s="438">
        <f t="shared" si="1"/>
        <v>5.1733333333333329</v>
      </c>
      <c r="I17" s="453">
        <v>8.34</v>
      </c>
      <c r="J17" s="465">
        <f t="shared" si="2"/>
        <v>5.56</v>
      </c>
    </row>
    <row r="18" spans="1:10" x14ac:dyDescent="0.25">
      <c r="A18" s="141"/>
      <c r="B18" s="132" t="s">
        <v>7</v>
      </c>
      <c r="C18" s="132" t="s">
        <v>100</v>
      </c>
      <c r="D18" s="440">
        <v>1.3</v>
      </c>
      <c r="E18" s="439">
        <v>5.22</v>
      </c>
      <c r="F18" s="433">
        <f t="shared" si="0"/>
        <v>4.0153846153846153</v>
      </c>
      <c r="G18" s="453">
        <v>6.27</v>
      </c>
      <c r="H18" s="438">
        <f t="shared" si="1"/>
        <v>4.8230769230769228</v>
      </c>
      <c r="I18" s="453">
        <v>0</v>
      </c>
      <c r="J18" s="465">
        <f t="shared" si="2"/>
        <v>0</v>
      </c>
    </row>
    <row r="19" spans="1:10" x14ac:dyDescent="0.25">
      <c r="A19" s="141"/>
      <c r="B19" s="132" t="s">
        <v>7</v>
      </c>
      <c r="C19" s="143" t="s">
        <v>87</v>
      </c>
      <c r="D19" s="440">
        <v>10.5</v>
      </c>
      <c r="E19" s="441">
        <v>56.35</v>
      </c>
      <c r="F19" s="433">
        <f t="shared" si="0"/>
        <v>5.3666666666666671</v>
      </c>
      <c r="G19" s="453">
        <v>57.71</v>
      </c>
      <c r="H19" s="438">
        <f t="shared" si="1"/>
        <v>5.4961904761904758</v>
      </c>
      <c r="I19" s="453">
        <v>0</v>
      </c>
      <c r="J19" s="465">
        <f t="shared" si="2"/>
        <v>0</v>
      </c>
    </row>
    <row r="20" spans="1:10" s="70" customFormat="1" x14ac:dyDescent="0.25">
      <c r="A20" s="141"/>
      <c r="B20" s="132" t="s">
        <v>7</v>
      </c>
      <c r="C20" s="143" t="s">
        <v>121</v>
      </c>
      <c r="D20" s="440">
        <v>1.7</v>
      </c>
      <c r="E20" s="441">
        <v>0</v>
      </c>
      <c r="F20" s="433">
        <f t="shared" si="0"/>
        <v>0</v>
      </c>
      <c r="G20" s="453">
        <v>8.98</v>
      </c>
      <c r="H20" s="438">
        <f t="shared" si="1"/>
        <v>5.2823529411764714</v>
      </c>
      <c r="I20" s="453">
        <v>24.34</v>
      </c>
      <c r="J20" s="465">
        <f t="shared" si="2"/>
        <v>14.31764705882353</v>
      </c>
    </row>
    <row r="21" spans="1:10" s="70" customFormat="1" x14ac:dyDescent="0.25">
      <c r="A21" s="141"/>
      <c r="B21" s="139" t="s">
        <v>7</v>
      </c>
      <c r="C21" s="134" t="s">
        <v>113</v>
      </c>
      <c r="D21" s="440">
        <v>10.5</v>
      </c>
      <c r="E21" s="441">
        <v>0</v>
      </c>
      <c r="F21" s="433">
        <f t="shared" si="0"/>
        <v>0</v>
      </c>
      <c r="G21" s="453">
        <v>0</v>
      </c>
      <c r="H21" s="438">
        <f t="shared" si="1"/>
        <v>0</v>
      </c>
      <c r="I21" s="453">
        <v>38.03</v>
      </c>
      <c r="J21" s="465">
        <f t="shared" si="2"/>
        <v>3.6219047619047622</v>
      </c>
    </row>
    <row r="22" spans="1:10" s="240" customFormat="1" x14ac:dyDescent="0.25">
      <c r="A22" s="231" t="s">
        <v>13</v>
      </c>
      <c r="B22" s="232"/>
      <c r="C22" s="233"/>
      <c r="D22" s="442"/>
      <c r="E22" s="443"/>
      <c r="F22" s="225"/>
      <c r="G22" s="435"/>
      <c r="H22" s="438"/>
      <c r="I22" s="453"/>
      <c r="J22" s="465"/>
    </row>
    <row r="23" spans="1:10" x14ac:dyDescent="0.25">
      <c r="A23" s="141"/>
      <c r="B23" s="18" t="s">
        <v>3</v>
      </c>
      <c r="C23" s="132" t="s">
        <v>29</v>
      </c>
      <c r="D23" s="444">
        <v>4.32</v>
      </c>
      <c r="E23" s="437">
        <v>36.31</v>
      </c>
      <c r="F23" s="433">
        <f>E23/D23</f>
        <v>8.4050925925925934</v>
      </c>
      <c r="G23" s="453">
        <v>36.72</v>
      </c>
      <c r="H23" s="438">
        <f t="shared" si="1"/>
        <v>8.5</v>
      </c>
      <c r="I23" s="453">
        <v>43.1</v>
      </c>
      <c r="J23" s="465">
        <f t="shared" si="2"/>
        <v>9.9768518518518512</v>
      </c>
    </row>
    <row r="24" spans="1:10" x14ac:dyDescent="0.25">
      <c r="A24" s="141"/>
      <c r="B24" s="18" t="s">
        <v>3</v>
      </c>
      <c r="C24" s="132" t="s">
        <v>31</v>
      </c>
      <c r="D24" s="444">
        <v>1.92</v>
      </c>
      <c r="E24" s="437">
        <v>17.260000000000002</v>
      </c>
      <c r="F24" s="433">
        <f t="shared" ref="F24:F26" si="3">E24/D24</f>
        <v>8.9895833333333339</v>
      </c>
      <c r="G24" s="453">
        <v>13.52</v>
      </c>
      <c r="H24" s="438">
        <f t="shared" si="1"/>
        <v>7.041666666666667</v>
      </c>
      <c r="I24" s="453">
        <v>14.85</v>
      </c>
      <c r="J24" s="465">
        <f t="shared" si="2"/>
        <v>7.734375</v>
      </c>
    </row>
    <row r="25" spans="1:10" x14ac:dyDescent="0.25">
      <c r="A25" s="141"/>
      <c r="B25" s="18" t="s">
        <v>86</v>
      </c>
      <c r="C25" s="132" t="s">
        <v>32</v>
      </c>
      <c r="D25" s="444">
        <v>3.29</v>
      </c>
      <c r="E25" s="437">
        <v>38.07</v>
      </c>
      <c r="F25" s="433">
        <f t="shared" si="3"/>
        <v>11.571428571428571</v>
      </c>
      <c r="G25" s="453">
        <v>19.64</v>
      </c>
      <c r="H25" s="438">
        <f t="shared" si="1"/>
        <v>5.9696048632218845</v>
      </c>
      <c r="I25" s="453">
        <v>30.56</v>
      </c>
      <c r="J25" s="465">
        <f t="shared" si="2"/>
        <v>9.2887537993920972</v>
      </c>
    </row>
    <row r="26" spans="1:10" x14ac:dyDescent="0.25">
      <c r="A26" s="141"/>
      <c r="B26" s="18" t="s">
        <v>84</v>
      </c>
      <c r="C26" s="132" t="s">
        <v>191</v>
      </c>
      <c r="D26" s="444">
        <v>7.57</v>
      </c>
      <c r="E26" s="445">
        <v>0</v>
      </c>
      <c r="F26" s="433">
        <f t="shared" si="3"/>
        <v>0</v>
      </c>
      <c r="G26" s="453">
        <v>13.82</v>
      </c>
      <c r="H26" s="438">
        <f t="shared" si="1"/>
        <v>1.8256274768824305</v>
      </c>
      <c r="I26" s="453">
        <v>56.75</v>
      </c>
      <c r="J26" s="465">
        <f t="shared" si="2"/>
        <v>7.4966974900924699</v>
      </c>
    </row>
    <row r="27" spans="1:10" s="240" customFormat="1" x14ac:dyDescent="0.25">
      <c r="A27" s="231" t="s">
        <v>15</v>
      </c>
      <c r="B27" s="232"/>
      <c r="C27" s="234"/>
      <c r="D27" s="442"/>
      <c r="E27" s="443"/>
      <c r="F27" s="225"/>
      <c r="G27" s="453"/>
      <c r="H27" s="438"/>
      <c r="I27" s="453"/>
      <c r="J27" s="465"/>
    </row>
    <row r="28" spans="1:10" x14ac:dyDescent="0.25">
      <c r="A28" s="141"/>
      <c r="B28" s="18" t="s">
        <v>3</v>
      </c>
      <c r="C28" s="132" t="s">
        <v>36</v>
      </c>
      <c r="D28" s="438">
        <v>4.04</v>
      </c>
      <c r="E28" s="446">
        <v>20.239999999999998</v>
      </c>
      <c r="F28" s="433">
        <f>E28/D28</f>
        <v>5.0099009900990099</v>
      </c>
      <c r="G28" s="453">
        <v>26.77</v>
      </c>
      <c r="H28" s="438">
        <f t="shared" si="1"/>
        <v>6.6262376237623757</v>
      </c>
      <c r="I28" s="453">
        <v>25.52</v>
      </c>
      <c r="J28" s="465">
        <f t="shared" si="2"/>
        <v>6.3168316831683171</v>
      </c>
    </row>
    <row r="29" spans="1:10" x14ac:dyDescent="0.25">
      <c r="A29" s="141"/>
      <c r="B29" s="18" t="s">
        <v>86</v>
      </c>
      <c r="C29" s="132" t="s">
        <v>37</v>
      </c>
      <c r="D29" s="438">
        <v>5.04</v>
      </c>
      <c r="E29" s="446">
        <v>29.95</v>
      </c>
      <c r="F29" s="433">
        <f t="shared" ref="F29:F30" si="4">E29/D29</f>
        <v>5.9424603174603172</v>
      </c>
      <c r="G29" s="453">
        <v>32.630000000000003</v>
      </c>
      <c r="H29" s="438">
        <f t="shared" si="1"/>
        <v>6.4742063492063497</v>
      </c>
      <c r="I29" s="453">
        <v>27.26</v>
      </c>
      <c r="J29" s="465">
        <f t="shared" si="2"/>
        <v>5.4087301587301591</v>
      </c>
    </row>
    <row r="30" spans="1:10" x14ac:dyDescent="0.25">
      <c r="A30" s="141"/>
      <c r="B30" s="18" t="s">
        <v>6</v>
      </c>
      <c r="C30" s="132" t="s">
        <v>38</v>
      </c>
      <c r="D30" s="438">
        <v>1.65</v>
      </c>
      <c r="E30" s="446">
        <v>12.07</v>
      </c>
      <c r="F30" s="433">
        <f t="shared" si="4"/>
        <v>7.3151515151515154</v>
      </c>
      <c r="G30" s="453">
        <v>12.47</v>
      </c>
      <c r="H30" s="438">
        <f t="shared" si="1"/>
        <v>7.5575757575757585</v>
      </c>
      <c r="I30" s="453">
        <v>14.53</v>
      </c>
      <c r="J30" s="465">
        <f t="shared" si="2"/>
        <v>8.8060606060606066</v>
      </c>
    </row>
    <row r="31" spans="1:10" s="240" customFormat="1" x14ac:dyDescent="0.25">
      <c r="A31" s="231" t="s">
        <v>17</v>
      </c>
      <c r="B31" s="232"/>
      <c r="C31" s="234"/>
      <c r="D31" s="447"/>
      <c r="E31" s="443"/>
      <c r="F31" s="225"/>
      <c r="G31" s="453"/>
      <c r="H31" s="438"/>
      <c r="I31" s="453"/>
      <c r="J31" s="465"/>
    </row>
    <row r="32" spans="1:10" x14ac:dyDescent="0.25">
      <c r="A32" s="141"/>
      <c r="B32" s="18" t="s">
        <v>3</v>
      </c>
      <c r="C32" s="132" t="s">
        <v>39</v>
      </c>
      <c r="D32" s="436">
        <v>1.89</v>
      </c>
      <c r="E32" s="437">
        <v>9.23</v>
      </c>
      <c r="F32" s="433">
        <f>E32/D32</f>
        <v>4.8835978835978837</v>
      </c>
      <c r="G32" s="453">
        <v>10.7</v>
      </c>
      <c r="H32" s="438">
        <f t="shared" si="1"/>
        <v>5.6613756613756614</v>
      </c>
      <c r="I32" s="453">
        <v>7.22</v>
      </c>
      <c r="J32" s="465">
        <f t="shared" si="2"/>
        <v>3.82010582010582</v>
      </c>
    </row>
    <row r="33" spans="1:10" x14ac:dyDescent="0.25">
      <c r="A33" s="141"/>
      <c r="B33" s="18" t="s">
        <v>86</v>
      </c>
      <c r="C33" s="132" t="s">
        <v>31</v>
      </c>
      <c r="D33" s="436">
        <v>0.57999999999999996</v>
      </c>
      <c r="E33" s="437">
        <v>2.68</v>
      </c>
      <c r="F33" s="433">
        <f t="shared" ref="F33:F44" si="5">E33/D32</f>
        <v>1.4179894179894181</v>
      </c>
      <c r="G33" s="453">
        <v>3.99</v>
      </c>
      <c r="H33" s="438">
        <f t="shared" si="1"/>
        <v>6.8793103448275872</v>
      </c>
      <c r="I33" s="453">
        <v>3.81</v>
      </c>
      <c r="J33" s="465">
        <f t="shared" si="2"/>
        <v>6.5689655172413799</v>
      </c>
    </row>
    <row r="34" spans="1:10" x14ac:dyDescent="0.25">
      <c r="A34" s="141"/>
      <c r="B34" s="18" t="s">
        <v>4</v>
      </c>
      <c r="C34" s="132" t="s">
        <v>40</v>
      </c>
      <c r="D34" s="436">
        <v>9.11</v>
      </c>
      <c r="E34" s="437">
        <v>31.83</v>
      </c>
      <c r="F34" s="433">
        <f t="shared" ref="F34:F43" si="6">E34/D34</f>
        <v>3.4939626783754116</v>
      </c>
      <c r="G34" s="453">
        <v>22.92</v>
      </c>
      <c r="H34" s="438">
        <f t="shared" si="1"/>
        <v>2.5159165751920969</v>
      </c>
      <c r="I34" s="453">
        <v>31.27</v>
      </c>
      <c r="J34" s="465">
        <f t="shared" si="2"/>
        <v>3.4324917672886941</v>
      </c>
    </row>
    <row r="35" spans="1:10" x14ac:dyDescent="0.25">
      <c r="A35" s="141"/>
      <c r="B35" s="18" t="s">
        <v>89</v>
      </c>
      <c r="C35" s="132" t="s">
        <v>90</v>
      </c>
      <c r="D35" s="436">
        <v>7.34</v>
      </c>
      <c r="E35" s="437">
        <v>41.95</v>
      </c>
      <c r="F35" s="433">
        <f t="shared" si="6"/>
        <v>5.7152588555858319</v>
      </c>
      <c r="G35" s="453">
        <v>46.96</v>
      </c>
      <c r="H35" s="438">
        <f t="shared" si="1"/>
        <v>6.3978201634877383</v>
      </c>
      <c r="I35" s="453">
        <v>53.62</v>
      </c>
      <c r="J35" s="465">
        <f t="shared" si="2"/>
        <v>7.3051771117166213</v>
      </c>
    </row>
    <row r="36" spans="1:10" x14ac:dyDescent="0.25">
      <c r="A36" s="179"/>
      <c r="B36" s="18" t="s">
        <v>7</v>
      </c>
      <c r="C36" s="132" t="s">
        <v>41</v>
      </c>
      <c r="D36" s="438">
        <v>2</v>
      </c>
      <c r="E36" s="446">
        <v>7.8</v>
      </c>
      <c r="F36" s="433">
        <f t="shared" si="6"/>
        <v>3.9</v>
      </c>
      <c r="G36" s="453">
        <v>8.5</v>
      </c>
      <c r="H36" s="438">
        <f t="shared" si="1"/>
        <v>4.25</v>
      </c>
      <c r="I36" s="453">
        <v>11.33</v>
      </c>
      <c r="J36" s="465">
        <f t="shared" si="2"/>
        <v>5.665</v>
      </c>
    </row>
    <row r="37" spans="1:10" x14ac:dyDescent="0.25">
      <c r="A37" s="141"/>
      <c r="B37" s="18" t="s">
        <v>7</v>
      </c>
      <c r="C37" s="132" t="s">
        <v>42</v>
      </c>
      <c r="D37" s="438">
        <v>2</v>
      </c>
      <c r="E37" s="446">
        <v>8.4</v>
      </c>
      <c r="F37" s="433">
        <f t="shared" si="6"/>
        <v>4.2</v>
      </c>
      <c r="G37" s="453">
        <v>12.64</v>
      </c>
      <c r="H37" s="438">
        <f t="shared" si="1"/>
        <v>6.32</v>
      </c>
      <c r="I37" s="453">
        <v>12.47</v>
      </c>
      <c r="J37" s="465">
        <f t="shared" si="2"/>
        <v>6.2350000000000003</v>
      </c>
    </row>
    <row r="38" spans="1:10" x14ac:dyDescent="0.25">
      <c r="A38" s="141"/>
      <c r="B38" s="18" t="s">
        <v>7</v>
      </c>
      <c r="C38" s="132" t="s">
        <v>43</v>
      </c>
      <c r="D38" s="438">
        <v>4</v>
      </c>
      <c r="E38" s="446">
        <v>16.86</v>
      </c>
      <c r="F38" s="433">
        <f t="shared" si="6"/>
        <v>4.2149999999999999</v>
      </c>
      <c r="G38" s="453">
        <v>26.79</v>
      </c>
      <c r="H38" s="438">
        <f t="shared" si="1"/>
        <v>6.6974999999999998</v>
      </c>
      <c r="I38" s="453">
        <v>19.97</v>
      </c>
      <c r="J38" s="465">
        <f t="shared" si="2"/>
        <v>4.9924999999999997</v>
      </c>
    </row>
    <row r="39" spans="1:10" x14ac:dyDescent="0.25">
      <c r="A39" s="141"/>
      <c r="B39" s="18" t="s">
        <v>7</v>
      </c>
      <c r="C39" s="132" t="s">
        <v>91</v>
      </c>
      <c r="D39" s="438">
        <v>4.25</v>
      </c>
      <c r="E39" s="446">
        <v>17.53</v>
      </c>
      <c r="F39" s="433">
        <f t="shared" si="6"/>
        <v>4.1247058823529414</v>
      </c>
      <c r="G39" s="453">
        <v>20.67</v>
      </c>
      <c r="H39" s="438">
        <f t="shared" si="1"/>
        <v>4.8635294117647065</v>
      </c>
      <c r="I39" s="453">
        <v>21.13</v>
      </c>
      <c r="J39" s="465">
        <f t="shared" si="2"/>
        <v>4.9717647058823529</v>
      </c>
    </row>
    <row r="40" spans="1:10" x14ac:dyDescent="0.25">
      <c r="A40" s="141"/>
      <c r="B40" s="18" t="s">
        <v>7</v>
      </c>
      <c r="C40" s="132" t="s">
        <v>99</v>
      </c>
      <c r="D40" s="438">
        <v>3</v>
      </c>
      <c r="E40" s="441">
        <v>16.14</v>
      </c>
      <c r="F40" s="433">
        <f t="shared" si="6"/>
        <v>5.38</v>
      </c>
      <c r="G40" s="453">
        <v>16.84</v>
      </c>
      <c r="H40" s="438">
        <f t="shared" si="1"/>
        <v>5.6133333333333333</v>
      </c>
      <c r="I40" s="453">
        <v>17.47</v>
      </c>
      <c r="J40" s="465">
        <f t="shared" si="2"/>
        <v>5.8233333333333333</v>
      </c>
    </row>
    <row r="41" spans="1:10" x14ac:dyDescent="0.25">
      <c r="A41" s="141"/>
      <c r="B41" s="18" t="s">
        <v>7</v>
      </c>
      <c r="C41" s="132" t="s">
        <v>100</v>
      </c>
      <c r="D41" s="438">
        <v>6.5</v>
      </c>
      <c r="E41" s="441">
        <v>15.06</v>
      </c>
      <c r="F41" s="433">
        <f t="shared" si="6"/>
        <v>2.3169230769230769</v>
      </c>
      <c r="G41" s="453">
        <v>14.48</v>
      </c>
      <c r="H41" s="438">
        <f t="shared" si="1"/>
        <v>2.2276923076923079</v>
      </c>
      <c r="I41" s="453">
        <v>0</v>
      </c>
      <c r="J41" s="465">
        <f t="shared" si="2"/>
        <v>0</v>
      </c>
    </row>
    <row r="42" spans="1:10" x14ac:dyDescent="0.25">
      <c r="A42" s="141"/>
      <c r="B42" s="18" t="s">
        <v>7</v>
      </c>
      <c r="C42" s="132" t="s">
        <v>102</v>
      </c>
      <c r="D42" s="438">
        <v>4</v>
      </c>
      <c r="E42" s="441">
        <v>10.48</v>
      </c>
      <c r="F42" s="433">
        <f t="shared" si="6"/>
        <v>2.62</v>
      </c>
      <c r="G42" s="453">
        <v>0</v>
      </c>
      <c r="H42" s="438">
        <f t="shared" si="1"/>
        <v>0</v>
      </c>
      <c r="I42" s="453">
        <v>0</v>
      </c>
      <c r="J42" s="465">
        <f t="shared" si="2"/>
        <v>0</v>
      </c>
    </row>
    <row r="43" spans="1:10" x14ac:dyDescent="0.25">
      <c r="A43" s="141"/>
      <c r="B43" s="18" t="s">
        <v>7</v>
      </c>
      <c r="C43" s="132" t="s">
        <v>101</v>
      </c>
      <c r="D43" s="438">
        <v>0.3</v>
      </c>
      <c r="E43" s="441">
        <v>1.39</v>
      </c>
      <c r="F43" s="433">
        <f t="shared" si="6"/>
        <v>4.6333333333333329</v>
      </c>
      <c r="G43" s="453">
        <v>0</v>
      </c>
      <c r="H43" s="438">
        <f t="shared" si="1"/>
        <v>0</v>
      </c>
      <c r="I43" s="453">
        <v>0</v>
      </c>
      <c r="J43" s="465">
        <f t="shared" si="2"/>
        <v>0</v>
      </c>
    </row>
    <row r="44" spans="1:10" s="70" customFormat="1" x14ac:dyDescent="0.25">
      <c r="A44" s="141"/>
      <c r="B44" s="139" t="s">
        <v>7</v>
      </c>
      <c r="C44" s="139" t="s">
        <v>113</v>
      </c>
      <c r="D44" s="438">
        <v>19.62</v>
      </c>
      <c r="E44" s="441">
        <v>0</v>
      </c>
      <c r="F44" s="433">
        <f t="shared" si="5"/>
        <v>0</v>
      </c>
      <c r="G44" s="453"/>
      <c r="H44" s="438">
        <f t="shared" si="1"/>
        <v>0</v>
      </c>
      <c r="I44" s="453">
        <v>0</v>
      </c>
      <c r="J44" s="465">
        <f t="shared" si="2"/>
        <v>0</v>
      </c>
    </row>
    <row r="45" spans="1:10" s="240" customFormat="1" x14ac:dyDescent="0.25">
      <c r="A45" s="231" t="s">
        <v>19</v>
      </c>
      <c r="B45" s="232"/>
      <c r="C45" s="234"/>
      <c r="D45" s="442"/>
      <c r="E45" s="443"/>
      <c r="F45" s="225"/>
      <c r="G45" s="453"/>
      <c r="H45" s="438"/>
      <c r="I45" s="453"/>
      <c r="J45" s="465"/>
    </row>
    <row r="46" spans="1:10" x14ac:dyDescent="0.25">
      <c r="A46" s="141"/>
      <c r="B46" s="18" t="s">
        <v>3</v>
      </c>
      <c r="C46" s="132" t="s">
        <v>37</v>
      </c>
      <c r="D46" s="438">
        <v>4.43</v>
      </c>
      <c r="E46" s="446">
        <v>12.88</v>
      </c>
      <c r="F46" s="433">
        <f>E46/D46</f>
        <v>2.9074492099322802</v>
      </c>
      <c r="G46" s="453">
        <v>18.329999999999998</v>
      </c>
      <c r="H46" s="438">
        <f t="shared" si="1"/>
        <v>4.1376975169300225</v>
      </c>
      <c r="I46" s="453">
        <v>24.07</v>
      </c>
      <c r="J46" s="465">
        <f t="shared" si="2"/>
        <v>5.4334085778781045</v>
      </c>
    </row>
    <row r="47" spans="1:10" s="240" customFormat="1" x14ac:dyDescent="0.25">
      <c r="A47" s="231" t="s">
        <v>21</v>
      </c>
      <c r="B47" s="232"/>
      <c r="C47" s="234"/>
      <c r="D47" s="442"/>
      <c r="E47" s="443"/>
      <c r="F47" s="225"/>
      <c r="G47" s="453"/>
      <c r="H47" s="438"/>
      <c r="I47" s="453"/>
      <c r="J47" s="465"/>
    </row>
    <row r="48" spans="1:10" s="408" customFormat="1" x14ac:dyDescent="0.25">
      <c r="A48" s="179"/>
      <c r="B48" s="126" t="s">
        <v>192</v>
      </c>
      <c r="C48" s="132" t="s">
        <v>85</v>
      </c>
      <c r="D48" s="450">
        <v>5</v>
      </c>
      <c r="E48" s="451">
        <v>0</v>
      </c>
      <c r="F48" s="438">
        <f>E48/D48</f>
        <v>0</v>
      </c>
      <c r="G48" s="453">
        <v>0</v>
      </c>
      <c r="H48" s="438">
        <f>G48/D48</f>
        <v>0</v>
      </c>
      <c r="I48" s="453">
        <v>12</v>
      </c>
      <c r="J48" s="465">
        <f t="shared" si="2"/>
        <v>2.4</v>
      </c>
    </row>
    <row r="49" spans="1:10" x14ac:dyDescent="0.25">
      <c r="A49" s="141"/>
      <c r="B49" s="18" t="s">
        <v>3</v>
      </c>
      <c r="C49" s="132" t="s">
        <v>44</v>
      </c>
      <c r="D49" s="444">
        <v>3.55</v>
      </c>
      <c r="E49" s="437">
        <v>22</v>
      </c>
      <c r="F49" s="433">
        <f>E49/D49</f>
        <v>6.1971830985915499</v>
      </c>
      <c r="G49" s="453">
        <v>19.940000000000001</v>
      </c>
      <c r="H49" s="438">
        <f t="shared" si="1"/>
        <v>5.6169014084507047</v>
      </c>
      <c r="I49" s="453">
        <v>17.079999999999998</v>
      </c>
      <c r="J49" s="465">
        <f t="shared" si="2"/>
        <v>4.8112676056338026</v>
      </c>
    </row>
    <row r="50" spans="1:10" x14ac:dyDescent="0.25">
      <c r="A50" s="141"/>
      <c r="B50" s="18" t="s">
        <v>86</v>
      </c>
      <c r="C50" s="132" t="s">
        <v>45</v>
      </c>
      <c r="D50" s="444">
        <v>1.9</v>
      </c>
      <c r="E50" s="437">
        <v>8.77</v>
      </c>
      <c r="F50" s="433">
        <f t="shared" ref="F50:F51" si="7">E50/D50</f>
        <v>4.6157894736842104</v>
      </c>
      <c r="G50" s="453">
        <v>8.73</v>
      </c>
      <c r="H50" s="438">
        <f t="shared" si="1"/>
        <v>4.5947368421052639</v>
      </c>
      <c r="I50" s="453">
        <v>11.12</v>
      </c>
      <c r="J50" s="465">
        <f t="shared" si="2"/>
        <v>5.852631578947368</v>
      </c>
    </row>
    <row r="51" spans="1:10" x14ac:dyDescent="0.25">
      <c r="A51" s="141"/>
      <c r="B51" s="18" t="s">
        <v>7</v>
      </c>
      <c r="C51" s="132" t="s">
        <v>92</v>
      </c>
      <c r="D51" s="438">
        <v>9.1</v>
      </c>
      <c r="E51" s="446">
        <v>34.729999999999997</v>
      </c>
      <c r="F51" s="433">
        <f t="shared" si="7"/>
        <v>3.8164835164835162</v>
      </c>
      <c r="G51" s="453">
        <v>51.36</v>
      </c>
      <c r="H51" s="438">
        <f t="shared" si="1"/>
        <v>5.6439560439560443</v>
      </c>
      <c r="I51" s="453">
        <v>30.77</v>
      </c>
      <c r="J51" s="465">
        <f t="shared" si="2"/>
        <v>3.3813186813186813</v>
      </c>
    </row>
    <row r="52" spans="1:10" s="240" customFormat="1" x14ac:dyDescent="0.25">
      <c r="A52" s="231" t="s">
        <v>23</v>
      </c>
      <c r="B52" s="232"/>
      <c r="C52" s="233"/>
      <c r="D52" s="448"/>
      <c r="E52" s="449"/>
      <c r="F52" s="225"/>
      <c r="G52" s="453"/>
      <c r="H52" s="438"/>
      <c r="I52" s="453"/>
      <c r="J52" s="465"/>
    </row>
    <row r="53" spans="1:10" s="408" customFormat="1" x14ac:dyDescent="0.25">
      <c r="A53" s="179"/>
      <c r="B53" s="126" t="s">
        <v>192</v>
      </c>
      <c r="C53" s="132" t="s">
        <v>88</v>
      </c>
      <c r="D53" s="450">
        <v>0.5</v>
      </c>
      <c r="E53" s="451">
        <v>0</v>
      </c>
      <c r="F53" s="225"/>
      <c r="G53" s="453">
        <v>0</v>
      </c>
      <c r="H53" s="438"/>
      <c r="I53" s="453">
        <v>0.48</v>
      </c>
      <c r="J53" s="465">
        <f t="shared" si="2"/>
        <v>0.96</v>
      </c>
    </row>
    <row r="54" spans="1:10" s="408" customFormat="1" x14ac:dyDescent="0.25">
      <c r="A54" s="179"/>
      <c r="B54" s="126" t="s">
        <v>199</v>
      </c>
      <c r="C54" s="132" t="s">
        <v>200</v>
      </c>
      <c r="D54" s="450">
        <v>2</v>
      </c>
      <c r="E54" s="451">
        <v>0</v>
      </c>
      <c r="F54" s="225"/>
      <c r="G54" s="453">
        <v>0</v>
      </c>
      <c r="H54" s="438"/>
      <c r="I54" s="453">
        <v>1.5</v>
      </c>
      <c r="J54" s="465">
        <f t="shared" si="2"/>
        <v>0.75</v>
      </c>
    </row>
    <row r="55" spans="1:10" x14ac:dyDescent="0.25">
      <c r="A55" s="141"/>
      <c r="B55" s="18" t="s">
        <v>7</v>
      </c>
      <c r="C55" s="132" t="s">
        <v>42</v>
      </c>
      <c r="D55" s="450">
        <v>6</v>
      </c>
      <c r="E55" s="441">
        <v>27.14</v>
      </c>
      <c r="F55" s="433">
        <f>E55/D55</f>
        <v>4.5233333333333334</v>
      </c>
      <c r="G55" s="453">
        <v>32.29</v>
      </c>
      <c r="H55" s="438">
        <f t="shared" si="1"/>
        <v>5.3816666666666668</v>
      </c>
      <c r="I55" s="453">
        <v>16.05</v>
      </c>
      <c r="J55" s="465">
        <f t="shared" si="2"/>
        <v>2.6750000000000003</v>
      </c>
    </row>
    <row r="56" spans="1:10" x14ac:dyDescent="0.25">
      <c r="A56" s="141"/>
      <c r="B56" s="18" t="s">
        <v>7</v>
      </c>
      <c r="C56" s="132" t="s">
        <v>46</v>
      </c>
      <c r="D56" s="450">
        <v>3.8</v>
      </c>
      <c r="E56" s="441">
        <v>16.02</v>
      </c>
      <c r="F56" s="433">
        <f t="shared" ref="F56:F60" si="8">E56/D56</f>
        <v>4.215789473684211</v>
      </c>
      <c r="G56" s="453">
        <v>19.010000000000002</v>
      </c>
      <c r="H56" s="438">
        <f t="shared" si="1"/>
        <v>5.0026315789473692</v>
      </c>
      <c r="I56" s="453">
        <v>11.75</v>
      </c>
      <c r="J56" s="465">
        <f t="shared" si="2"/>
        <v>3.0921052631578947</v>
      </c>
    </row>
    <row r="57" spans="1:10" x14ac:dyDescent="0.25">
      <c r="A57" s="141"/>
      <c r="B57" s="18" t="s">
        <v>7</v>
      </c>
      <c r="C57" s="132" t="s">
        <v>47</v>
      </c>
      <c r="D57" s="450">
        <v>2.5</v>
      </c>
      <c r="E57" s="441">
        <v>11.9</v>
      </c>
      <c r="F57" s="433">
        <f t="shared" si="8"/>
        <v>4.76</v>
      </c>
      <c r="G57" s="453">
        <v>17.97</v>
      </c>
      <c r="H57" s="438">
        <f t="shared" si="1"/>
        <v>7.1879999999999997</v>
      </c>
      <c r="I57" s="453">
        <v>12.06</v>
      </c>
      <c r="J57" s="465">
        <f t="shared" si="2"/>
        <v>4.8239999999999998</v>
      </c>
    </row>
    <row r="58" spans="1:10" x14ac:dyDescent="0.25">
      <c r="A58" s="141"/>
      <c r="B58" s="18" t="s">
        <v>7</v>
      </c>
      <c r="C58" s="132" t="s">
        <v>91</v>
      </c>
      <c r="D58" s="450">
        <v>1.75</v>
      </c>
      <c r="E58" s="441">
        <v>7.49</v>
      </c>
      <c r="F58" s="433">
        <f t="shared" si="8"/>
        <v>4.28</v>
      </c>
      <c r="G58" s="453">
        <v>7.68</v>
      </c>
      <c r="H58" s="438">
        <f t="shared" si="1"/>
        <v>4.3885714285714288</v>
      </c>
      <c r="I58" s="453">
        <v>6.96</v>
      </c>
      <c r="J58" s="465">
        <f t="shared" si="2"/>
        <v>3.9771428571428573</v>
      </c>
    </row>
    <row r="59" spans="1:10" x14ac:dyDescent="0.25">
      <c r="A59" s="141"/>
      <c r="B59" s="18" t="s">
        <v>7</v>
      </c>
      <c r="C59" s="132" t="s">
        <v>102</v>
      </c>
      <c r="D59" s="450">
        <v>4</v>
      </c>
      <c r="E59" s="451">
        <v>0</v>
      </c>
      <c r="F59" s="438">
        <f t="shared" si="8"/>
        <v>0</v>
      </c>
      <c r="G59" s="453">
        <v>0</v>
      </c>
      <c r="H59" s="438">
        <f t="shared" si="1"/>
        <v>0</v>
      </c>
      <c r="I59" s="453">
        <v>0</v>
      </c>
      <c r="J59" s="465">
        <f t="shared" si="2"/>
        <v>0</v>
      </c>
    </row>
    <row r="60" spans="1:10" x14ac:dyDescent="0.25">
      <c r="A60" s="141"/>
      <c r="B60" s="18" t="s">
        <v>7</v>
      </c>
      <c r="C60" s="132" t="s">
        <v>79</v>
      </c>
      <c r="D60" s="450">
        <v>5</v>
      </c>
      <c r="E60" s="451">
        <v>30.74</v>
      </c>
      <c r="F60" s="438">
        <f t="shared" si="8"/>
        <v>6.1479999999999997</v>
      </c>
      <c r="G60" s="453">
        <v>32.56</v>
      </c>
      <c r="H60" s="438">
        <f t="shared" si="1"/>
        <v>6.5120000000000005</v>
      </c>
      <c r="I60" s="453">
        <v>30</v>
      </c>
      <c r="J60" s="465">
        <f t="shared" si="2"/>
        <v>6</v>
      </c>
    </row>
    <row r="61" spans="1:10" x14ac:dyDescent="0.25">
      <c r="A61" s="231" t="s">
        <v>48</v>
      </c>
      <c r="B61" s="232"/>
      <c r="C61" s="234"/>
      <c r="D61" s="442"/>
      <c r="E61" s="443"/>
      <c r="F61" s="225"/>
      <c r="G61" s="453"/>
      <c r="H61" s="438"/>
      <c r="I61" s="453"/>
      <c r="J61" s="465"/>
    </row>
    <row r="62" spans="1:10" x14ac:dyDescent="0.25">
      <c r="A62" s="141"/>
      <c r="B62" s="18" t="s">
        <v>3</v>
      </c>
      <c r="C62" s="132" t="s">
        <v>49</v>
      </c>
      <c r="D62" s="444">
        <v>5.07</v>
      </c>
      <c r="E62" s="437">
        <v>16.75</v>
      </c>
      <c r="F62" s="433">
        <f>E62/D62</f>
        <v>3.3037475345167651</v>
      </c>
      <c r="G62" s="453">
        <v>30.52</v>
      </c>
      <c r="H62" s="438">
        <f t="shared" si="1"/>
        <v>6.0197238658777117</v>
      </c>
      <c r="I62" s="453">
        <v>29.91</v>
      </c>
      <c r="J62" s="465">
        <f t="shared" si="2"/>
        <v>5.8994082840236679</v>
      </c>
    </row>
    <row r="63" spans="1:10" x14ac:dyDescent="0.25">
      <c r="A63" s="141"/>
      <c r="B63" s="18" t="s">
        <v>86</v>
      </c>
      <c r="C63" s="132" t="s">
        <v>50</v>
      </c>
      <c r="D63" s="444">
        <v>1.23</v>
      </c>
      <c r="E63" s="437">
        <v>5.35</v>
      </c>
      <c r="F63" s="433">
        <f t="shared" ref="F63:F69" si="9">E63/D63</f>
        <v>4.3495934959349594</v>
      </c>
      <c r="G63" s="453"/>
      <c r="H63" s="438">
        <f t="shared" si="1"/>
        <v>0</v>
      </c>
      <c r="I63" s="453"/>
      <c r="J63" s="465">
        <f t="shared" si="2"/>
        <v>0</v>
      </c>
    </row>
    <row r="64" spans="1:10" x14ac:dyDescent="0.25">
      <c r="A64" s="141"/>
      <c r="B64" s="18" t="s">
        <v>86</v>
      </c>
      <c r="C64" s="132" t="s">
        <v>51</v>
      </c>
      <c r="D64" s="444">
        <v>1.58</v>
      </c>
      <c r="E64" s="437">
        <v>4.91</v>
      </c>
      <c r="F64" s="433">
        <f t="shared" si="9"/>
        <v>3.1075949367088609</v>
      </c>
      <c r="G64" s="453"/>
      <c r="H64" s="438">
        <f t="shared" si="1"/>
        <v>0</v>
      </c>
      <c r="I64" s="453"/>
      <c r="J64" s="465">
        <f t="shared" si="2"/>
        <v>0</v>
      </c>
    </row>
    <row r="65" spans="1:11" x14ac:dyDescent="0.25">
      <c r="A65" s="141"/>
      <c r="B65" s="18" t="s">
        <v>86</v>
      </c>
      <c r="C65" s="132" t="s">
        <v>11</v>
      </c>
      <c r="D65" s="444">
        <v>0.21</v>
      </c>
      <c r="E65" s="437">
        <v>0.92</v>
      </c>
      <c r="F65" s="433">
        <f t="shared" si="9"/>
        <v>4.3809523809523814</v>
      </c>
      <c r="G65" s="453"/>
      <c r="H65" s="438">
        <f t="shared" si="1"/>
        <v>0</v>
      </c>
      <c r="I65" s="453"/>
      <c r="J65" s="465">
        <f t="shared" si="2"/>
        <v>0</v>
      </c>
    </row>
    <row r="66" spans="1:11" x14ac:dyDescent="0.25">
      <c r="A66" s="179"/>
      <c r="B66" s="18" t="s">
        <v>86</v>
      </c>
      <c r="C66" s="132" t="s">
        <v>52</v>
      </c>
      <c r="D66" s="444">
        <v>0.68</v>
      </c>
      <c r="E66" s="437">
        <v>2.75</v>
      </c>
      <c r="F66" s="433">
        <f t="shared" si="9"/>
        <v>4.0441176470588234</v>
      </c>
      <c r="G66" s="453"/>
      <c r="H66" s="438">
        <f t="shared" si="1"/>
        <v>0</v>
      </c>
      <c r="I66" s="453"/>
      <c r="J66" s="465">
        <f t="shared" si="2"/>
        <v>0</v>
      </c>
    </row>
    <row r="67" spans="1:11" x14ac:dyDescent="0.25">
      <c r="A67" s="141"/>
      <c r="B67" s="18" t="s">
        <v>86</v>
      </c>
      <c r="C67" s="132" t="s">
        <v>53</v>
      </c>
      <c r="D67" s="444">
        <v>0.74</v>
      </c>
      <c r="E67" s="437">
        <v>4.08</v>
      </c>
      <c r="F67" s="433">
        <f t="shared" si="9"/>
        <v>5.513513513513514</v>
      </c>
      <c r="G67" s="453">
        <v>30.35</v>
      </c>
      <c r="H67" s="438">
        <v>6.8</v>
      </c>
      <c r="I67" s="453">
        <v>26.82</v>
      </c>
      <c r="J67" s="465">
        <v>6.09</v>
      </c>
    </row>
    <row r="68" spans="1:11" x14ac:dyDescent="0.25">
      <c r="A68" s="141"/>
      <c r="B68" s="18" t="s">
        <v>86</v>
      </c>
      <c r="C68" s="132" t="s">
        <v>54</v>
      </c>
      <c r="D68" s="444">
        <v>1.1299999999999999</v>
      </c>
      <c r="E68" s="437">
        <v>4.6900000000000004</v>
      </c>
      <c r="F68" s="433">
        <f t="shared" si="9"/>
        <v>4.1504424778761067</v>
      </c>
      <c r="G68" s="453">
        <v>0</v>
      </c>
      <c r="H68" s="438">
        <f t="shared" si="1"/>
        <v>0</v>
      </c>
      <c r="I68" s="453">
        <v>0</v>
      </c>
      <c r="J68" s="465">
        <f t="shared" si="2"/>
        <v>0</v>
      </c>
      <c r="K68" s="426" t="s">
        <v>111</v>
      </c>
    </row>
    <row r="69" spans="1:11" x14ac:dyDescent="0.25">
      <c r="A69" s="141"/>
      <c r="B69" s="18" t="s">
        <v>89</v>
      </c>
      <c r="C69" s="132" t="s">
        <v>55</v>
      </c>
      <c r="D69" s="444">
        <v>6.15</v>
      </c>
      <c r="E69" s="437">
        <v>18.73</v>
      </c>
      <c r="F69" s="433">
        <f t="shared" si="9"/>
        <v>3.0455284552845527</v>
      </c>
      <c r="G69" s="453">
        <v>37.21</v>
      </c>
      <c r="H69" s="438">
        <f t="shared" si="1"/>
        <v>6.0504065040650401</v>
      </c>
      <c r="I69" s="453">
        <v>52.36</v>
      </c>
      <c r="J69" s="465">
        <f t="shared" si="2"/>
        <v>8.513821138211382</v>
      </c>
    </row>
    <row r="70" spans="1:11" x14ac:dyDescent="0.25">
      <c r="A70" s="141"/>
      <c r="B70" s="18" t="s">
        <v>80</v>
      </c>
      <c r="C70" s="132" t="s">
        <v>5</v>
      </c>
      <c r="D70" s="452">
        <v>1.5</v>
      </c>
      <c r="E70" s="437">
        <v>16.98</v>
      </c>
      <c r="F70" s="433">
        <v>0</v>
      </c>
      <c r="G70" s="453">
        <v>0</v>
      </c>
      <c r="H70" s="438">
        <f t="shared" si="1"/>
        <v>0</v>
      </c>
      <c r="I70" s="453">
        <v>0</v>
      </c>
      <c r="J70" s="465">
        <f t="shared" si="2"/>
        <v>0</v>
      </c>
    </row>
    <row r="71" spans="1:11" s="240" customFormat="1" x14ac:dyDescent="0.25">
      <c r="A71" s="231" t="s">
        <v>25</v>
      </c>
      <c r="B71" s="232"/>
      <c r="C71" s="234"/>
      <c r="D71" s="442"/>
      <c r="E71" s="443"/>
      <c r="F71" s="225"/>
      <c r="G71" s="453"/>
      <c r="H71" s="438"/>
      <c r="I71" s="453"/>
      <c r="J71" s="465"/>
    </row>
    <row r="72" spans="1:11" x14ac:dyDescent="0.25">
      <c r="A72" s="141"/>
      <c r="B72" s="18" t="s">
        <v>3</v>
      </c>
      <c r="C72" s="132" t="s">
        <v>56</v>
      </c>
      <c r="D72" s="438">
        <v>1.49</v>
      </c>
      <c r="E72" s="446">
        <v>8.1</v>
      </c>
      <c r="F72" s="433">
        <f>E72/D72</f>
        <v>5.4362416107382545</v>
      </c>
      <c r="G72" s="453">
        <v>10.050000000000001</v>
      </c>
      <c r="H72" s="438">
        <f t="shared" si="1"/>
        <v>6.7449664429530207</v>
      </c>
      <c r="I72" s="453">
        <v>7.67</v>
      </c>
      <c r="J72" s="465">
        <f t="shared" si="2"/>
        <v>5.147651006711409</v>
      </c>
    </row>
    <row r="73" spans="1:11" s="240" customFormat="1" x14ac:dyDescent="0.25">
      <c r="A73" s="231" t="s">
        <v>93</v>
      </c>
      <c r="B73" s="232"/>
      <c r="C73" s="234"/>
      <c r="D73" s="442"/>
      <c r="E73" s="443"/>
      <c r="F73" s="433"/>
      <c r="G73" s="453"/>
      <c r="H73" s="438"/>
      <c r="I73" s="453"/>
      <c r="J73" s="465"/>
    </row>
    <row r="74" spans="1:11" x14ac:dyDescent="0.25">
      <c r="A74" s="141"/>
      <c r="B74" s="18" t="s">
        <v>7</v>
      </c>
      <c r="C74" s="132" t="s">
        <v>99</v>
      </c>
      <c r="D74" s="438">
        <v>1</v>
      </c>
      <c r="E74" s="446">
        <v>4.84</v>
      </c>
      <c r="F74" s="433">
        <f t="shared" ref="F74:F76" si="10">E74/D74</f>
        <v>4.84</v>
      </c>
      <c r="G74" s="453">
        <v>4.93</v>
      </c>
      <c r="H74" s="438">
        <f t="shared" si="1"/>
        <v>4.93</v>
      </c>
      <c r="I74" s="453">
        <v>0</v>
      </c>
      <c r="J74" s="465">
        <f t="shared" si="2"/>
        <v>0</v>
      </c>
    </row>
    <row r="75" spans="1:11" s="240" customFormat="1" x14ac:dyDescent="0.25">
      <c r="A75" s="235" t="s">
        <v>103</v>
      </c>
      <c r="B75" s="232"/>
      <c r="C75" s="234"/>
      <c r="D75" s="438"/>
      <c r="E75" s="446"/>
      <c r="F75" s="433"/>
      <c r="G75" s="453"/>
      <c r="H75" s="438"/>
      <c r="I75" s="453"/>
      <c r="J75" s="465"/>
    </row>
    <row r="76" spans="1:11" x14ac:dyDescent="0.25">
      <c r="A76" s="236"/>
      <c r="B76" s="94" t="s">
        <v>8</v>
      </c>
      <c r="C76" s="203" t="s">
        <v>104</v>
      </c>
      <c r="D76" s="438">
        <v>4</v>
      </c>
      <c r="E76" s="446">
        <v>5.52</v>
      </c>
      <c r="F76" s="433">
        <f t="shared" si="10"/>
        <v>1.38</v>
      </c>
      <c r="G76" s="453">
        <v>10.029999999999999</v>
      </c>
      <c r="H76" s="438">
        <f t="shared" ref="H76:H128" si="11">$G76/$D76</f>
        <v>2.5074999999999998</v>
      </c>
      <c r="I76" s="453">
        <v>19.36</v>
      </c>
      <c r="J76" s="465">
        <f t="shared" ref="J76:J128" si="12">$I76/$D76</f>
        <v>4.84</v>
      </c>
    </row>
    <row r="77" spans="1:11" s="240" customFormat="1" x14ac:dyDescent="0.25">
      <c r="A77" s="235" t="s">
        <v>27</v>
      </c>
      <c r="B77" s="232"/>
      <c r="C77" s="234"/>
      <c r="D77" s="442"/>
      <c r="E77" s="443"/>
      <c r="F77" s="225"/>
      <c r="G77" s="453"/>
      <c r="H77" s="438"/>
      <c r="I77" s="453"/>
      <c r="J77" s="465"/>
    </row>
    <row r="78" spans="1:11" x14ac:dyDescent="0.25">
      <c r="A78" s="141"/>
      <c r="B78" s="18" t="s">
        <v>3</v>
      </c>
      <c r="C78" s="132" t="s">
        <v>57</v>
      </c>
      <c r="D78" s="444">
        <v>7.0000000000000007E-2</v>
      </c>
      <c r="E78" s="437">
        <v>0.25</v>
      </c>
      <c r="F78" s="433">
        <f>E78/D78</f>
        <v>3.5714285714285712</v>
      </c>
      <c r="G78" s="453">
        <v>0.8</v>
      </c>
      <c r="H78" s="438">
        <f t="shared" si="11"/>
        <v>11.428571428571429</v>
      </c>
      <c r="I78" s="453">
        <v>0.4</v>
      </c>
      <c r="J78" s="465">
        <f t="shared" si="12"/>
        <v>5.7142857142857144</v>
      </c>
    </row>
    <row r="79" spans="1:11" x14ac:dyDescent="0.25">
      <c r="A79" s="179"/>
      <c r="B79" s="18"/>
      <c r="C79" s="132" t="s">
        <v>58</v>
      </c>
      <c r="D79" s="444">
        <v>2.36</v>
      </c>
      <c r="E79" s="437">
        <v>9.5399999999999991</v>
      </c>
      <c r="F79" s="433">
        <f t="shared" ref="F79:F82" si="13">E79/D79</f>
        <v>4.0423728813559316</v>
      </c>
      <c r="G79" s="453">
        <v>10.02</v>
      </c>
      <c r="H79" s="438">
        <f t="shared" si="11"/>
        <v>4.2457627118644066</v>
      </c>
      <c r="I79" s="453">
        <v>12.94</v>
      </c>
      <c r="J79" s="465">
        <f t="shared" si="12"/>
        <v>5.4830508474576272</v>
      </c>
    </row>
    <row r="80" spans="1:11" x14ac:dyDescent="0.25">
      <c r="A80" s="141"/>
      <c r="B80" s="18"/>
      <c r="C80" s="132" t="s">
        <v>59</v>
      </c>
      <c r="D80" s="444">
        <v>1.17</v>
      </c>
      <c r="E80" s="437">
        <v>4.25</v>
      </c>
      <c r="F80" s="433">
        <f t="shared" si="13"/>
        <v>3.6324786324786329</v>
      </c>
      <c r="G80" s="453">
        <v>4.7699999999999996</v>
      </c>
      <c r="H80" s="438">
        <f t="shared" si="11"/>
        <v>4.0769230769230766</v>
      </c>
      <c r="I80" s="453">
        <v>6.14</v>
      </c>
      <c r="J80" s="465">
        <f t="shared" si="12"/>
        <v>5.2478632478632479</v>
      </c>
    </row>
    <row r="81" spans="1:10" x14ac:dyDescent="0.25">
      <c r="A81" s="141"/>
      <c r="B81" s="18"/>
      <c r="C81" s="132" t="s">
        <v>60</v>
      </c>
      <c r="D81" s="444">
        <v>0.95</v>
      </c>
      <c r="E81" s="437">
        <v>3.13</v>
      </c>
      <c r="F81" s="433">
        <f t="shared" si="13"/>
        <v>3.2947368421052632</v>
      </c>
      <c r="G81" s="453">
        <v>3.88</v>
      </c>
      <c r="H81" s="438">
        <f t="shared" si="11"/>
        <v>4.0842105263157897</v>
      </c>
      <c r="I81" s="453">
        <v>4.49</v>
      </c>
      <c r="J81" s="465">
        <f t="shared" si="12"/>
        <v>4.7263157894736842</v>
      </c>
    </row>
    <row r="82" spans="1:10" x14ac:dyDescent="0.25">
      <c r="A82" s="141"/>
      <c r="B82" s="18" t="s">
        <v>7</v>
      </c>
      <c r="C82" s="132" t="s">
        <v>104</v>
      </c>
      <c r="D82" s="454">
        <v>3.02</v>
      </c>
      <c r="E82" s="455">
        <v>17.010000000000002</v>
      </c>
      <c r="F82" s="456">
        <f t="shared" si="13"/>
        <v>5.6324503311258285</v>
      </c>
      <c r="G82" s="457">
        <v>9.19</v>
      </c>
      <c r="H82" s="454">
        <f t="shared" si="11"/>
        <v>3.0430463576158937</v>
      </c>
      <c r="I82" s="457">
        <v>20.89</v>
      </c>
      <c r="J82" s="466">
        <f t="shared" si="12"/>
        <v>6.9172185430463582</v>
      </c>
    </row>
    <row r="83" spans="1:10" s="240" customFormat="1" x14ac:dyDescent="0.25">
      <c r="A83" s="235" t="s">
        <v>193</v>
      </c>
      <c r="B83" s="458"/>
      <c r="C83" s="459"/>
      <c r="D83" s="438"/>
      <c r="E83" s="446"/>
      <c r="F83" s="433"/>
      <c r="G83" s="453"/>
      <c r="H83" s="438"/>
      <c r="I83" s="453"/>
      <c r="J83" s="466"/>
    </row>
    <row r="84" spans="1:10" s="70" customFormat="1" x14ac:dyDescent="0.25">
      <c r="A84" s="141"/>
      <c r="B84" s="18" t="s">
        <v>7</v>
      </c>
      <c r="C84" s="132" t="s">
        <v>104</v>
      </c>
      <c r="D84" s="438">
        <v>1.68</v>
      </c>
      <c r="E84" s="446">
        <v>0</v>
      </c>
      <c r="F84" s="433">
        <v>0</v>
      </c>
      <c r="G84" s="453">
        <v>8.4</v>
      </c>
      <c r="H84" s="438">
        <f>G84/D84</f>
        <v>5</v>
      </c>
      <c r="I84" s="453">
        <v>10.73</v>
      </c>
      <c r="J84" s="466">
        <f t="shared" si="12"/>
        <v>6.3869047619047628</v>
      </c>
    </row>
    <row r="85" spans="1:10" s="240" customFormat="1" x14ac:dyDescent="0.25">
      <c r="A85" s="231" t="s">
        <v>28</v>
      </c>
      <c r="B85" s="232"/>
      <c r="C85" s="234"/>
      <c r="D85" s="442"/>
      <c r="E85" s="443"/>
      <c r="F85" s="225"/>
      <c r="G85" s="453"/>
      <c r="H85" s="438"/>
      <c r="I85" s="453"/>
      <c r="J85" s="466"/>
    </row>
    <row r="86" spans="1:10" x14ac:dyDescent="0.25">
      <c r="A86" s="141"/>
      <c r="B86" s="18" t="s">
        <v>3</v>
      </c>
      <c r="C86" s="132" t="s">
        <v>53</v>
      </c>
      <c r="D86" s="438">
        <v>1.1000000000000001</v>
      </c>
      <c r="E86" s="437">
        <v>4.53</v>
      </c>
      <c r="F86" s="433">
        <f>E86/D86</f>
        <v>4.1181818181818182</v>
      </c>
      <c r="G86" s="453">
        <v>5.36</v>
      </c>
      <c r="H86" s="438">
        <f t="shared" si="11"/>
        <v>4.872727272727273</v>
      </c>
      <c r="I86" s="453">
        <v>4.46</v>
      </c>
      <c r="J86" s="466">
        <f t="shared" si="12"/>
        <v>4.0545454545454538</v>
      </c>
    </row>
    <row r="87" spans="1:10" x14ac:dyDescent="0.25">
      <c r="A87" s="141"/>
      <c r="B87" s="18" t="s">
        <v>3</v>
      </c>
      <c r="C87" s="132" t="s">
        <v>61</v>
      </c>
      <c r="D87" s="438">
        <v>0.83</v>
      </c>
      <c r="E87" s="437">
        <v>4.49</v>
      </c>
      <c r="F87" s="433">
        <f t="shared" ref="F87:F89" si="14">E87/D87</f>
        <v>5.4096385542168681</v>
      </c>
      <c r="G87" s="453">
        <v>6.04</v>
      </c>
      <c r="H87" s="438">
        <f t="shared" si="11"/>
        <v>7.2771084337349405</v>
      </c>
      <c r="I87" s="453">
        <v>4.6500000000000004</v>
      </c>
      <c r="J87" s="466">
        <f t="shared" si="12"/>
        <v>5.6024096385542173</v>
      </c>
    </row>
    <row r="88" spans="1:10" x14ac:dyDescent="0.25">
      <c r="A88" s="141"/>
      <c r="B88" s="18" t="s">
        <v>124</v>
      </c>
      <c r="C88" s="132"/>
      <c r="D88" s="438">
        <v>0.05</v>
      </c>
      <c r="E88" s="445">
        <v>0.23</v>
      </c>
      <c r="F88" s="433">
        <f t="shared" si="14"/>
        <v>4.5999999999999996</v>
      </c>
      <c r="G88" s="453">
        <v>0.24</v>
      </c>
      <c r="H88" s="438">
        <f t="shared" si="11"/>
        <v>4.8</v>
      </c>
      <c r="I88" s="453">
        <v>0.14000000000000001</v>
      </c>
      <c r="J88" s="466">
        <f t="shared" si="12"/>
        <v>2.8000000000000003</v>
      </c>
    </row>
    <row r="89" spans="1:10" x14ac:dyDescent="0.25">
      <c r="A89" s="141"/>
      <c r="B89" s="18" t="s">
        <v>6</v>
      </c>
      <c r="C89" s="132"/>
      <c r="D89" s="438">
        <v>13.45</v>
      </c>
      <c r="E89" s="437">
        <v>61.53</v>
      </c>
      <c r="F89" s="433">
        <f t="shared" si="14"/>
        <v>4.5747211895910782</v>
      </c>
      <c r="G89" s="453">
        <v>51.54</v>
      </c>
      <c r="H89" s="438">
        <f t="shared" si="11"/>
        <v>3.8319702602230485</v>
      </c>
      <c r="I89" s="453">
        <v>54.8</v>
      </c>
      <c r="J89" s="466">
        <f t="shared" si="12"/>
        <v>4.074349442379182</v>
      </c>
    </row>
    <row r="90" spans="1:10" s="240" customFormat="1" x14ac:dyDescent="0.25">
      <c r="A90" s="231" t="s">
        <v>62</v>
      </c>
      <c r="B90" s="232"/>
      <c r="C90" s="234"/>
      <c r="D90" s="442"/>
      <c r="E90" s="443"/>
      <c r="F90" s="225"/>
      <c r="G90" s="453"/>
      <c r="H90" s="438"/>
      <c r="I90" s="453"/>
      <c r="J90" s="466"/>
    </row>
    <row r="91" spans="1:10" x14ac:dyDescent="0.25">
      <c r="A91" s="141"/>
      <c r="B91" s="18" t="s">
        <v>7</v>
      </c>
      <c r="C91" s="132" t="s">
        <v>46</v>
      </c>
      <c r="D91" s="438">
        <v>11.2</v>
      </c>
      <c r="E91" s="446">
        <v>66.959999999999994</v>
      </c>
      <c r="F91" s="433">
        <f>E91/D91</f>
        <v>5.9785714285714286</v>
      </c>
      <c r="G91" s="453">
        <v>58.81</v>
      </c>
      <c r="H91" s="438">
        <f t="shared" si="11"/>
        <v>5.2508928571428575</v>
      </c>
      <c r="I91" s="453">
        <v>60.47</v>
      </c>
      <c r="J91" s="466">
        <f t="shared" si="12"/>
        <v>5.3991071428571429</v>
      </c>
    </row>
    <row r="92" spans="1:10" x14ac:dyDescent="0.25">
      <c r="A92" s="141"/>
      <c r="B92" s="18" t="s">
        <v>7</v>
      </c>
      <c r="C92" s="132" t="s">
        <v>99</v>
      </c>
      <c r="D92" s="438">
        <v>7</v>
      </c>
      <c r="E92" s="446">
        <v>48.88</v>
      </c>
      <c r="F92" s="433">
        <f>E92/D92</f>
        <v>6.9828571428571431</v>
      </c>
      <c r="G92" s="453">
        <v>38.14</v>
      </c>
      <c r="H92" s="438">
        <f t="shared" si="11"/>
        <v>5.4485714285714284</v>
      </c>
      <c r="I92" s="453">
        <v>29.6</v>
      </c>
      <c r="J92" s="466">
        <f t="shared" si="12"/>
        <v>4.2285714285714286</v>
      </c>
    </row>
    <row r="93" spans="1:10" x14ac:dyDescent="0.25">
      <c r="A93" s="235" t="s">
        <v>30</v>
      </c>
      <c r="B93" s="232"/>
      <c r="C93" s="234"/>
      <c r="D93" s="442"/>
      <c r="E93" s="443"/>
      <c r="F93" s="225"/>
      <c r="G93" s="453"/>
      <c r="H93" s="438"/>
      <c r="I93" s="453"/>
      <c r="J93" s="466"/>
    </row>
    <row r="94" spans="1:10" x14ac:dyDescent="0.25">
      <c r="A94" s="141"/>
      <c r="B94" s="18" t="s">
        <v>3</v>
      </c>
      <c r="C94" s="132" t="s">
        <v>57</v>
      </c>
      <c r="D94" s="444">
        <v>0.66</v>
      </c>
      <c r="E94" s="437">
        <v>2.82</v>
      </c>
      <c r="F94" s="433">
        <f>E94/D94</f>
        <v>4.2727272727272725</v>
      </c>
      <c r="G94" s="453">
        <v>2.57</v>
      </c>
      <c r="H94" s="438">
        <f t="shared" si="11"/>
        <v>3.8939393939393936</v>
      </c>
      <c r="I94" s="453">
        <v>4.17</v>
      </c>
      <c r="J94" s="466">
        <f t="shared" si="12"/>
        <v>6.3181818181818175</v>
      </c>
    </row>
    <row r="95" spans="1:10" x14ac:dyDescent="0.25">
      <c r="A95" s="179"/>
      <c r="B95" s="18" t="s">
        <v>3</v>
      </c>
      <c r="C95" s="132" t="s">
        <v>51</v>
      </c>
      <c r="D95" s="444">
        <v>2.79</v>
      </c>
      <c r="E95" s="437">
        <v>16.260000000000002</v>
      </c>
      <c r="F95" s="433">
        <f t="shared" ref="F95:F100" si="15">E95/D95</f>
        <v>5.827956989247312</v>
      </c>
      <c r="G95" s="453">
        <v>9.8000000000000007</v>
      </c>
      <c r="H95" s="438">
        <f t="shared" si="11"/>
        <v>3.5125448028673838</v>
      </c>
      <c r="I95" s="453">
        <v>14.56</v>
      </c>
      <c r="J95" s="466">
        <f t="shared" si="12"/>
        <v>5.2186379928315416</v>
      </c>
    </row>
    <row r="96" spans="1:10" x14ac:dyDescent="0.25">
      <c r="A96" s="141"/>
      <c r="B96" s="18" t="s">
        <v>3</v>
      </c>
      <c r="C96" s="132" t="s">
        <v>63</v>
      </c>
      <c r="D96" s="444">
        <v>2.7</v>
      </c>
      <c r="E96" s="437">
        <v>8.07</v>
      </c>
      <c r="F96" s="433">
        <f t="shared" si="15"/>
        <v>2.9888888888888889</v>
      </c>
      <c r="G96" s="453">
        <v>7.68</v>
      </c>
      <c r="H96" s="438">
        <f t="shared" si="11"/>
        <v>2.8444444444444441</v>
      </c>
      <c r="I96" s="453">
        <v>14.32</v>
      </c>
      <c r="J96" s="466">
        <f t="shared" si="12"/>
        <v>5.3037037037037038</v>
      </c>
    </row>
    <row r="97" spans="1:10" x14ac:dyDescent="0.25">
      <c r="A97" s="141"/>
      <c r="B97" s="18" t="s">
        <v>3</v>
      </c>
      <c r="C97" s="132" t="s">
        <v>64</v>
      </c>
      <c r="D97" s="444">
        <v>0.85</v>
      </c>
      <c r="E97" s="437">
        <v>1.4</v>
      </c>
      <c r="F97" s="433">
        <f t="shared" si="15"/>
        <v>1.6470588235294117</v>
      </c>
      <c r="G97" s="453">
        <v>1.3</v>
      </c>
      <c r="H97" s="438">
        <f t="shared" si="11"/>
        <v>1.5294117647058825</v>
      </c>
      <c r="I97" s="453">
        <v>3.32</v>
      </c>
      <c r="J97" s="466">
        <f t="shared" si="12"/>
        <v>3.9058823529411764</v>
      </c>
    </row>
    <row r="98" spans="1:10" x14ac:dyDescent="0.25">
      <c r="A98" s="141"/>
      <c r="B98" s="18" t="s">
        <v>3</v>
      </c>
      <c r="C98" s="132" t="s">
        <v>45</v>
      </c>
      <c r="D98" s="444">
        <v>0.78</v>
      </c>
      <c r="E98" s="437">
        <v>1.67</v>
      </c>
      <c r="F98" s="433">
        <f t="shared" si="15"/>
        <v>2.141025641025641</v>
      </c>
      <c r="G98" s="453">
        <v>1.1000000000000001</v>
      </c>
      <c r="H98" s="438">
        <f t="shared" si="11"/>
        <v>1.4102564102564104</v>
      </c>
      <c r="I98" s="453">
        <v>4.08</v>
      </c>
      <c r="J98" s="466">
        <f t="shared" si="12"/>
        <v>5.2307692307692308</v>
      </c>
    </row>
    <row r="99" spans="1:10" x14ac:dyDescent="0.25">
      <c r="A99" s="179"/>
      <c r="B99" s="18" t="s">
        <v>3</v>
      </c>
      <c r="C99" s="132" t="s">
        <v>65</v>
      </c>
      <c r="D99" s="444">
        <v>4.92</v>
      </c>
      <c r="E99" s="437">
        <v>21.55</v>
      </c>
      <c r="F99" s="433">
        <f t="shared" si="15"/>
        <v>4.3800813008130079</v>
      </c>
      <c r="G99" s="453">
        <v>15.29</v>
      </c>
      <c r="H99" s="438">
        <f t="shared" si="11"/>
        <v>3.1077235772357721</v>
      </c>
      <c r="I99" s="453">
        <v>24.82</v>
      </c>
      <c r="J99" s="466">
        <f t="shared" si="12"/>
        <v>5.0447154471544717</v>
      </c>
    </row>
    <row r="100" spans="1:10" x14ac:dyDescent="0.25">
      <c r="A100" s="179"/>
      <c r="B100" s="18" t="s">
        <v>8</v>
      </c>
      <c r="C100" s="132" t="s">
        <v>87</v>
      </c>
      <c r="D100" s="438">
        <v>6.41</v>
      </c>
      <c r="E100" s="446">
        <v>23.13</v>
      </c>
      <c r="F100" s="433">
        <f t="shared" si="15"/>
        <v>3.6084243369734788</v>
      </c>
      <c r="G100" s="453">
        <v>25.8</v>
      </c>
      <c r="H100" s="438">
        <f t="shared" si="11"/>
        <v>4.0249609984399379</v>
      </c>
      <c r="I100" s="453">
        <v>0</v>
      </c>
      <c r="J100" s="466">
        <f t="shared" si="12"/>
        <v>0</v>
      </c>
    </row>
    <row r="101" spans="1:10" s="240" customFormat="1" x14ac:dyDescent="0.25">
      <c r="A101" s="231" t="s">
        <v>33</v>
      </c>
      <c r="B101" s="232"/>
      <c r="C101" s="233"/>
      <c r="D101" s="448"/>
      <c r="E101" s="449"/>
      <c r="F101" s="225"/>
      <c r="G101" s="453"/>
      <c r="H101" s="438"/>
      <c r="I101" s="453"/>
      <c r="J101" s="466"/>
    </row>
    <row r="102" spans="1:10" x14ac:dyDescent="0.25">
      <c r="A102" s="141"/>
      <c r="B102" s="18" t="s">
        <v>3</v>
      </c>
      <c r="C102" s="132" t="s">
        <v>52</v>
      </c>
      <c r="D102" s="444">
        <v>1.79</v>
      </c>
      <c r="E102" s="437">
        <v>8.6199999999999992</v>
      </c>
      <c r="F102" s="433">
        <f>E102/D102</f>
        <v>4.8156424581005579</v>
      </c>
      <c r="G102" s="453">
        <v>7.67</v>
      </c>
      <c r="H102" s="438">
        <f t="shared" si="11"/>
        <v>4.2849162011173183</v>
      </c>
      <c r="I102" s="453">
        <v>7.22</v>
      </c>
      <c r="J102" s="466">
        <f t="shared" si="12"/>
        <v>4.0335195530726251</v>
      </c>
    </row>
    <row r="103" spans="1:10" x14ac:dyDescent="0.25">
      <c r="A103" s="141"/>
      <c r="B103" s="18" t="s">
        <v>3</v>
      </c>
      <c r="C103" s="132" t="s">
        <v>32</v>
      </c>
      <c r="D103" s="444">
        <v>2.4700000000000002</v>
      </c>
      <c r="E103" s="437">
        <v>11.47</v>
      </c>
      <c r="F103" s="433">
        <f t="shared" ref="F103:F124" si="16">E103/D103</f>
        <v>4.6437246963562755</v>
      </c>
      <c r="G103" s="453">
        <v>9.4600000000000009</v>
      </c>
      <c r="H103" s="438">
        <f t="shared" si="11"/>
        <v>3.8299595141700404</v>
      </c>
      <c r="I103" s="453">
        <v>8.76</v>
      </c>
      <c r="J103" s="466">
        <f t="shared" si="12"/>
        <v>3.546558704453441</v>
      </c>
    </row>
    <row r="104" spans="1:10" x14ac:dyDescent="0.25">
      <c r="A104" s="141"/>
      <c r="B104" s="18" t="s">
        <v>3</v>
      </c>
      <c r="C104" s="132" t="s">
        <v>54</v>
      </c>
      <c r="D104" s="444">
        <v>0.92</v>
      </c>
      <c r="E104" s="437">
        <v>4.32</v>
      </c>
      <c r="F104" s="433">
        <f t="shared" si="16"/>
        <v>4.6956521739130439</v>
      </c>
      <c r="G104" s="453">
        <v>4.51</v>
      </c>
      <c r="H104" s="438">
        <f t="shared" si="11"/>
        <v>4.9021739130434776</v>
      </c>
      <c r="I104" s="453">
        <v>6.11</v>
      </c>
      <c r="J104" s="466">
        <f t="shared" si="12"/>
        <v>6.6413043478260869</v>
      </c>
    </row>
    <row r="105" spans="1:10" x14ac:dyDescent="0.25">
      <c r="A105" s="141"/>
      <c r="B105" s="18" t="s">
        <v>3</v>
      </c>
      <c r="C105" s="132" t="s">
        <v>66</v>
      </c>
      <c r="D105" s="444">
        <v>0.55000000000000004</v>
      </c>
      <c r="E105" s="437">
        <v>1.72</v>
      </c>
      <c r="F105" s="433">
        <f t="shared" si="16"/>
        <v>3.127272727272727</v>
      </c>
      <c r="G105" s="453">
        <v>1.1299999999999999</v>
      </c>
      <c r="H105" s="438">
        <f t="shared" si="11"/>
        <v>2.0545454545454542</v>
      </c>
      <c r="I105" s="453">
        <v>1.19</v>
      </c>
      <c r="J105" s="466">
        <f t="shared" si="12"/>
        <v>2.1636363636363636</v>
      </c>
    </row>
    <row r="106" spans="1:10" x14ac:dyDescent="0.25">
      <c r="A106" s="179"/>
      <c r="B106" s="18" t="s">
        <v>3</v>
      </c>
      <c r="C106" s="132" t="s">
        <v>67</v>
      </c>
      <c r="D106" s="444">
        <v>0.96</v>
      </c>
      <c r="E106" s="437">
        <v>2.88</v>
      </c>
      <c r="F106" s="433">
        <f t="shared" si="16"/>
        <v>3</v>
      </c>
      <c r="G106" s="453">
        <v>2.46</v>
      </c>
      <c r="H106" s="438">
        <f t="shared" si="11"/>
        <v>2.5625</v>
      </c>
      <c r="I106" s="453">
        <v>2</v>
      </c>
      <c r="J106" s="466">
        <f t="shared" si="12"/>
        <v>2.0833333333333335</v>
      </c>
    </row>
    <row r="107" spans="1:10" x14ac:dyDescent="0.25">
      <c r="A107" s="141"/>
      <c r="B107" s="18" t="s">
        <v>3</v>
      </c>
      <c r="C107" s="132" t="s">
        <v>68</v>
      </c>
      <c r="D107" s="444">
        <v>0.56999999999999995</v>
      </c>
      <c r="E107" s="437">
        <v>2.1800000000000002</v>
      </c>
      <c r="F107" s="433">
        <f t="shared" si="16"/>
        <v>3.8245614035087727</v>
      </c>
      <c r="G107" s="453">
        <v>1.32</v>
      </c>
      <c r="H107" s="438">
        <f t="shared" si="11"/>
        <v>2.3157894736842106</v>
      </c>
      <c r="I107" s="453">
        <v>1</v>
      </c>
      <c r="J107" s="466">
        <f t="shared" si="12"/>
        <v>1.7543859649122808</v>
      </c>
    </row>
    <row r="108" spans="1:10" x14ac:dyDescent="0.25">
      <c r="A108" s="141"/>
      <c r="B108" s="18" t="s">
        <v>3</v>
      </c>
      <c r="C108" s="132" t="s">
        <v>69</v>
      </c>
      <c r="D108" s="444">
        <v>0.9</v>
      </c>
      <c r="E108" s="437">
        <v>5.25</v>
      </c>
      <c r="F108" s="433">
        <f t="shared" si="16"/>
        <v>5.833333333333333</v>
      </c>
      <c r="G108" s="453">
        <v>3.84</v>
      </c>
      <c r="H108" s="438">
        <f t="shared" si="11"/>
        <v>4.2666666666666666</v>
      </c>
      <c r="I108" s="453">
        <v>3.42</v>
      </c>
      <c r="J108" s="466">
        <f t="shared" si="12"/>
        <v>3.8</v>
      </c>
    </row>
    <row r="109" spans="1:10" x14ac:dyDescent="0.25">
      <c r="A109" s="141"/>
      <c r="B109" s="18" t="s">
        <v>3</v>
      </c>
      <c r="C109" s="132" t="s">
        <v>70</v>
      </c>
      <c r="D109" s="444">
        <v>2.68</v>
      </c>
      <c r="E109" s="437">
        <v>12</v>
      </c>
      <c r="F109" s="433">
        <f t="shared" si="16"/>
        <v>4.4776119402985071</v>
      </c>
      <c r="G109" s="453">
        <v>11.47</v>
      </c>
      <c r="H109" s="438">
        <f t="shared" si="11"/>
        <v>4.2798507462686564</v>
      </c>
      <c r="I109" s="453">
        <v>8.94</v>
      </c>
      <c r="J109" s="466">
        <f t="shared" si="12"/>
        <v>3.3358208955223878</v>
      </c>
    </row>
    <row r="110" spans="1:10" x14ac:dyDescent="0.25">
      <c r="A110" s="179"/>
      <c r="B110" s="18" t="s">
        <v>3</v>
      </c>
      <c r="C110" s="132" t="s">
        <v>71</v>
      </c>
      <c r="D110" s="444">
        <v>0.53</v>
      </c>
      <c r="E110" s="437">
        <v>2.84</v>
      </c>
      <c r="F110" s="433">
        <f t="shared" si="16"/>
        <v>5.3584905660377355</v>
      </c>
      <c r="G110" s="453">
        <v>3.75</v>
      </c>
      <c r="H110" s="438">
        <f t="shared" si="11"/>
        <v>7.0754716981132075</v>
      </c>
      <c r="I110" s="453">
        <v>2.15</v>
      </c>
      <c r="J110" s="466">
        <f t="shared" si="12"/>
        <v>4.0566037735849054</v>
      </c>
    </row>
    <row r="111" spans="1:10" x14ac:dyDescent="0.25">
      <c r="A111" s="141"/>
      <c r="B111" s="18" t="s">
        <v>3</v>
      </c>
      <c r="C111" s="132" t="s">
        <v>72</v>
      </c>
      <c r="D111" s="444">
        <v>1.25</v>
      </c>
      <c r="E111" s="437">
        <v>6.22</v>
      </c>
      <c r="F111" s="433">
        <f t="shared" si="16"/>
        <v>4.976</v>
      </c>
      <c r="G111" s="453">
        <v>4.1100000000000003</v>
      </c>
      <c r="H111" s="438">
        <f t="shared" si="11"/>
        <v>3.2880000000000003</v>
      </c>
      <c r="I111" s="453">
        <v>5</v>
      </c>
      <c r="J111" s="466">
        <f t="shared" si="12"/>
        <v>4</v>
      </c>
    </row>
    <row r="112" spans="1:10" x14ac:dyDescent="0.25">
      <c r="A112" s="141"/>
      <c r="B112" s="18" t="s">
        <v>3</v>
      </c>
      <c r="C112" s="132" t="s">
        <v>73</v>
      </c>
      <c r="D112" s="444">
        <v>1.63</v>
      </c>
      <c r="E112" s="437">
        <v>8.42</v>
      </c>
      <c r="F112" s="433">
        <f t="shared" si="16"/>
        <v>5.1656441717791415</v>
      </c>
      <c r="G112" s="453">
        <v>6.91</v>
      </c>
      <c r="H112" s="438">
        <f t="shared" si="11"/>
        <v>4.2392638036809815</v>
      </c>
      <c r="I112" s="453">
        <v>7</v>
      </c>
      <c r="J112" s="466">
        <f t="shared" si="12"/>
        <v>4.294478527607362</v>
      </c>
    </row>
    <row r="113" spans="1:10" x14ac:dyDescent="0.25">
      <c r="A113" s="141"/>
      <c r="B113" s="18" t="s">
        <v>3</v>
      </c>
      <c r="C113" s="132" t="s">
        <v>74</v>
      </c>
      <c r="D113" s="444">
        <v>1.72</v>
      </c>
      <c r="E113" s="437">
        <v>6.16</v>
      </c>
      <c r="F113" s="433">
        <f t="shared" si="16"/>
        <v>3.5813953488372094</v>
      </c>
      <c r="G113" s="453">
        <v>7.39</v>
      </c>
      <c r="H113" s="438">
        <f t="shared" si="11"/>
        <v>4.2965116279069768</v>
      </c>
      <c r="I113" s="453">
        <v>6.34</v>
      </c>
      <c r="J113" s="466">
        <f t="shared" si="12"/>
        <v>3.6860465116279069</v>
      </c>
    </row>
    <row r="114" spans="1:10" x14ac:dyDescent="0.25">
      <c r="A114" s="179"/>
      <c r="B114" s="18" t="s">
        <v>3</v>
      </c>
      <c r="C114" s="132" t="s">
        <v>75</v>
      </c>
      <c r="D114" s="444">
        <v>1.57</v>
      </c>
      <c r="E114" s="437">
        <v>6.93</v>
      </c>
      <c r="F114" s="433">
        <f t="shared" si="16"/>
        <v>4.4140127388535024</v>
      </c>
      <c r="G114" s="453">
        <v>5.29</v>
      </c>
      <c r="H114" s="438">
        <f t="shared" si="11"/>
        <v>3.3694267515923566</v>
      </c>
      <c r="I114" s="453">
        <v>4.95</v>
      </c>
      <c r="J114" s="466">
        <f t="shared" si="12"/>
        <v>3.1528662420382165</v>
      </c>
    </row>
    <row r="115" spans="1:10" x14ac:dyDescent="0.25">
      <c r="A115" s="141"/>
      <c r="B115" s="18" t="s">
        <v>3</v>
      </c>
      <c r="C115" s="132" t="s">
        <v>76</v>
      </c>
      <c r="D115" s="444">
        <v>1.01</v>
      </c>
      <c r="E115" s="437">
        <v>6.29</v>
      </c>
      <c r="F115" s="433">
        <f t="shared" si="16"/>
        <v>6.2277227722772279</v>
      </c>
      <c r="G115" s="453">
        <v>4.6399999999999997</v>
      </c>
      <c r="H115" s="438">
        <f t="shared" si="11"/>
        <v>4.5940594059405937</v>
      </c>
      <c r="I115" s="453">
        <v>4.88</v>
      </c>
      <c r="J115" s="466">
        <f t="shared" si="12"/>
        <v>4.8316831683168315</v>
      </c>
    </row>
    <row r="116" spans="1:10" x14ac:dyDescent="0.25">
      <c r="A116" s="141"/>
      <c r="B116" s="18" t="s">
        <v>3</v>
      </c>
      <c r="C116" s="132" t="s">
        <v>77</v>
      </c>
      <c r="D116" s="444">
        <v>1.5</v>
      </c>
      <c r="E116" s="437">
        <v>8.81</v>
      </c>
      <c r="F116" s="433">
        <f t="shared" si="16"/>
        <v>5.873333333333334</v>
      </c>
      <c r="G116" s="453">
        <v>5.47</v>
      </c>
      <c r="H116" s="438">
        <f t="shared" si="11"/>
        <v>3.6466666666666665</v>
      </c>
      <c r="I116" s="453">
        <v>5.83</v>
      </c>
      <c r="J116" s="466">
        <f t="shared" si="12"/>
        <v>3.8866666666666667</v>
      </c>
    </row>
    <row r="117" spans="1:10" x14ac:dyDescent="0.25">
      <c r="A117" s="141"/>
      <c r="B117" s="18" t="s">
        <v>86</v>
      </c>
      <c r="C117" s="132" t="s">
        <v>49</v>
      </c>
      <c r="D117" s="444">
        <v>2.71</v>
      </c>
      <c r="E117" s="437">
        <v>10.26</v>
      </c>
      <c r="F117" s="433">
        <f t="shared" si="16"/>
        <v>3.7859778597785976</v>
      </c>
      <c r="G117" s="453">
        <v>9.73</v>
      </c>
      <c r="H117" s="438">
        <f t="shared" si="11"/>
        <v>3.5904059040590406</v>
      </c>
      <c r="I117" s="453">
        <v>8.01</v>
      </c>
      <c r="J117" s="466">
        <f t="shared" si="12"/>
        <v>2.9557195571955721</v>
      </c>
    </row>
    <row r="118" spans="1:10" x14ac:dyDescent="0.25">
      <c r="A118" s="179"/>
      <c r="B118" s="18" t="s">
        <v>86</v>
      </c>
      <c r="C118" s="132" t="s">
        <v>44</v>
      </c>
      <c r="D118" s="444">
        <v>1.04</v>
      </c>
      <c r="E118" s="437">
        <v>3.6</v>
      </c>
      <c r="F118" s="433">
        <f t="shared" si="16"/>
        <v>3.4615384615384617</v>
      </c>
      <c r="G118" s="453">
        <v>3.67</v>
      </c>
      <c r="H118" s="438">
        <f t="shared" si="11"/>
        <v>3.5288461538461537</v>
      </c>
      <c r="I118" s="453">
        <v>4.43</v>
      </c>
      <c r="J118" s="466">
        <f t="shared" si="12"/>
        <v>4.2596153846153841</v>
      </c>
    </row>
    <row r="119" spans="1:10" x14ac:dyDescent="0.25">
      <c r="A119" s="141"/>
      <c r="B119" s="18" t="s">
        <v>86</v>
      </c>
      <c r="C119" s="132" t="s">
        <v>194</v>
      </c>
      <c r="D119" s="444">
        <v>3.3</v>
      </c>
      <c r="E119" s="437">
        <v>12.31</v>
      </c>
      <c r="F119" s="433">
        <f t="shared" si="16"/>
        <v>3.7303030303030305</v>
      </c>
      <c r="G119" s="453">
        <v>14.48</v>
      </c>
      <c r="H119" s="438">
        <f t="shared" si="11"/>
        <v>4.3878787878787886</v>
      </c>
      <c r="I119" s="453">
        <v>13.57</v>
      </c>
      <c r="J119" s="466">
        <f t="shared" si="12"/>
        <v>4.1121212121212123</v>
      </c>
    </row>
    <row r="120" spans="1:10" x14ac:dyDescent="0.25">
      <c r="A120" s="141"/>
      <c r="B120" s="18" t="s">
        <v>195</v>
      </c>
      <c r="C120" s="132" t="s">
        <v>196</v>
      </c>
      <c r="D120" s="444">
        <v>5.5</v>
      </c>
      <c r="E120" s="437">
        <v>0</v>
      </c>
      <c r="F120" s="433">
        <f t="shared" si="16"/>
        <v>0</v>
      </c>
      <c r="G120" s="453">
        <v>0</v>
      </c>
      <c r="H120" s="438">
        <f t="shared" si="11"/>
        <v>0</v>
      </c>
      <c r="I120" s="453">
        <v>6.56</v>
      </c>
      <c r="J120" s="466">
        <f t="shared" si="12"/>
        <v>1.1927272727272726</v>
      </c>
    </row>
    <row r="121" spans="1:10" x14ac:dyDescent="0.25">
      <c r="A121" s="141"/>
      <c r="B121" s="18" t="s">
        <v>197</v>
      </c>
      <c r="C121" s="132" t="s">
        <v>198</v>
      </c>
      <c r="D121" s="444">
        <v>5.5</v>
      </c>
      <c r="E121" s="437">
        <v>0</v>
      </c>
      <c r="F121" s="433">
        <f t="shared" si="16"/>
        <v>0</v>
      </c>
      <c r="G121" s="453">
        <v>0</v>
      </c>
      <c r="H121" s="438">
        <f t="shared" si="11"/>
        <v>0</v>
      </c>
      <c r="I121" s="453">
        <v>6.97</v>
      </c>
      <c r="J121" s="466">
        <f t="shared" si="12"/>
        <v>1.2672727272727273</v>
      </c>
    </row>
    <row r="122" spans="1:10" x14ac:dyDescent="0.25">
      <c r="A122" s="141"/>
      <c r="B122" s="18" t="s">
        <v>7</v>
      </c>
      <c r="C122" s="132" t="s">
        <v>46</v>
      </c>
      <c r="D122" s="438">
        <v>5.0999999999999996</v>
      </c>
      <c r="E122" s="446">
        <v>29.34</v>
      </c>
      <c r="F122" s="433">
        <f t="shared" si="16"/>
        <v>5.7529411764705882</v>
      </c>
      <c r="G122" s="453">
        <v>30.54</v>
      </c>
      <c r="H122" s="438">
        <f t="shared" si="11"/>
        <v>5.9882352941176471</v>
      </c>
      <c r="I122" s="453">
        <v>15.84</v>
      </c>
      <c r="J122" s="466">
        <f t="shared" si="12"/>
        <v>3.1058823529411765</v>
      </c>
    </row>
    <row r="123" spans="1:10" x14ac:dyDescent="0.25">
      <c r="A123" s="141"/>
      <c r="B123" s="18" t="s">
        <v>7</v>
      </c>
      <c r="C123" s="132" t="s">
        <v>42</v>
      </c>
      <c r="D123" s="438">
        <v>4</v>
      </c>
      <c r="E123" s="446">
        <v>18.02</v>
      </c>
      <c r="F123" s="433">
        <f t="shared" si="16"/>
        <v>4.5049999999999999</v>
      </c>
      <c r="G123" s="453">
        <v>22.5</v>
      </c>
      <c r="H123" s="438">
        <f t="shared" si="11"/>
        <v>5.625</v>
      </c>
      <c r="I123" s="453">
        <v>10.07</v>
      </c>
      <c r="J123" s="466">
        <f t="shared" si="12"/>
        <v>2.5175000000000001</v>
      </c>
    </row>
    <row r="124" spans="1:10" x14ac:dyDescent="0.25">
      <c r="A124" s="141"/>
      <c r="B124" s="18" t="s">
        <v>7</v>
      </c>
      <c r="C124" s="132" t="s">
        <v>47</v>
      </c>
      <c r="D124" s="438">
        <v>4.5</v>
      </c>
      <c r="E124" s="446">
        <v>23.8</v>
      </c>
      <c r="F124" s="433">
        <f t="shared" si="16"/>
        <v>5.2888888888888888</v>
      </c>
      <c r="G124" s="453">
        <v>22.76</v>
      </c>
      <c r="H124" s="438">
        <f t="shared" si="11"/>
        <v>5.0577777777777779</v>
      </c>
      <c r="I124" s="453">
        <v>20.6</v>
      </c>
      <c r="J124" s="466">
        <f t="shared" si="12"/>
        <v>4.5777777777777784</v>
      </c>
    </row>
    <row r="125" spans="1:10" x14ac:dyDescent="0.25">
      <c r="A125" s="231" t="s">
        <v>34</v>
      </c>
      <c r="B125" s="232"/>
      <c r="C125" s="234"/>
      <c r="D125" s="442"/>
      <c r="E125" s="443"/>
      <c r="F125" s="225"/>
      <c r="G125" s="453"/>
      <c r="H125" s="438"/>
      <c r="I125" s="453"/>
      <c r="J125" s="466"/>
    </row>
    <row r="126" spans="1:10" x14ac:dyDescent="0.25">
      <c r="A126" s="141"/>
      <c r="B126" s="18" t="s">
        <v>3</v>
      </c>
      <c r="C126" s="132" t="s">
        <v>50</v>
      </c>
      <c r="D126" s="438">
        <v>2.69</v>
      </c>
      <c r="E126" s="446">
        <v>10.72</v>
      </c>
      <c r="F126" s="433">
        <f>E126/D126</f>
        <v>3.985130111524164</v>
      </c>
      <c r="G126" s="453">
        <v>7.65</v>
      </c>
      <c r="H126" s="438">
        <f t="shared" si="11"/>
        <v>2.8438661710037176</v>
      </c>
      <c r="I126" s="453">
        <v>9.56</v>
      </c>
      <c r="J126" s="466">
        <f t="shared" si="12"/>
        <v>3.5539033457249074</v>
      </c>
    </row>
    <row r="127" spans="1:10" x14ac:dyDescent="0.25">
      <c r="A127" s="141"/>
      <c r="B127" s="18" t="s">
        <v>6</v>
      </c>
      <c r="C127" s="132" t="s">
        <v>38</v>
      </c>
      <c r="D127" s="438">
        <v>1.6</v>
      </c>
      <c r="E127" s="446">
        <v>2.33</v>
      </c>
      <c r="F127" s="433">
        <f t="shared" ref="F127:F128" si="17">E127/D127</f>
        <v>1.45625</v>
      </c>
      <c r="G127" s="453">
        <v>1.9</v>
      </c>
      <c r="H127" s="438">
        <f t="shared" si="11"/>
        <v>1.1874999999999998</v>
      </c>
      <c r="I127" s="453">
        <v>3.48</v>
      </c>
      <c r="J127" s="466">
        <f t="shared" si="12"/>
        <v>2.1749999999999998</v>
      </c>
    </row>
    <row r="128" spans="1:10" x14ac:dyDescent="0.25">
      <c r="A128" s="141"/>
      <c r="B128" s="18" t="s">
        <v>8</v>
      </c>
      <c r="C128" s="132" t="s">
        <v>104</v>
      </c>
      <c r="D128" s="438">
        <v>2.85</v>
      </c>
      <c r="E128" s="446">
        <v>9.82</v>
      </c>
      <c r="F128" s="433">
        <f t="shared" si="17"/>
        <v>3.4456140350877194</v>
      </c>
      <c r="G128" s="453">
        <v>10.039999999999999</v>
      </c>
      <c r="H128" s="438">
        <f t="shared" si="11"/>
        <v>3.5228070175438591</v>
      </c>
      <c r="I128" s="453">
        <v>9.6</v>
      </c>
      <c r="J128" s="465">
        <f t="shared" si="12"/>
        <v>3.3684210526315788</v>
      </c>
    </row>
    <row r="129" spans="1:8" x14ac:dyDescent="0.25">
      <c r="A129" s="235"/>
      <c r="B129" s="232"/>
      <c r="C129" s="234"/>
      <c r="D129" s="244"/>
      <c r="E129" s="229"/>
      <c r="F129" s="422"/>
      <c r="G129" s="426"/>
      <c r="H129" s="430"/>
    </row>
    <row r="130" spans="1:8" x14ac:dyDescent="0.25">
      <c r="A130" s="236"/>
      <c r="B130" s="94"/>
      <c r="C130" s="203"/>
      <c r="D130" s="244"/>
      <c r="E130" s="229"/>
      <c r="F130" s="422"/>
      <c r="G130" s="426"/>
      <c r="H130" s="431"/>
    </row>
    <row r="131" spans="1:8" x14ac:dyDescent="0.25">
      <c r="A131" s="141"/>
      <c r="B131" s="94"/>
      <c r="C131" s="142"/>
      <c r="D131" s="245"/>
      <c r="E131" s="424"/>
      <c r="F131" s="160"/>
      <c r="G131" s="426"/>
      <c r="H131" s="431"/>
    </row>
    <row r="132" spans="1:8" x14ac:dyDescent="0.25">
      <c r="G132" s="426"/>
    </row>
    <row r="133" spans="1:8" x14ac:dyDescent="0.25">
      <c r="G133" s="426"/>
    </row>
    <row r="134" spans="1:8" x14ac:dyDescent="0.25">
      <c r="G134" s="426"/>
    </row>
    <row r="135" spans="1:8" x14ac:dyDescent="0.25">
      <c r="G135" s="426"/>
    </row>
    <row r="136" spans="1:8" x14ac:dyDescent="0.25">
      <c r="G136" s="426"/>
    </row>
    <row r="137" spans="1:8" x14ac:dyDescent="0.25">
      <c r="G137" s="426"/>
    </row>
    <row r="138" spans="1:8" x14ac:dyDescent="0.25">
      <c r="G138" s="426"/>
    </row>
    <row r="139" spans="1:8" x14ac:dyDescent="0.25">
      <c r="G139" s="426"/>
    </row>
    <row r="140" spans="1:8" x14ac:dyDescent="0.25">
      <c r="G140" s="426"/>
    </row>
    <row r="141" spans="1:8" x14ac:dyDescent="0.25">
      <c r="G141" s="426"/>
    </row>
    <row r="142" spans="1:8" x14ac:dyDescent="0.25">
      <c r="G142" s="426"/>
    </row>
    <row r="143" spans="1:8" x14ac:dyDescent="0.25">
      <c r="G143" s="426"/>
    </row>
    <row r="144" spans="1:8" x14ac:dyDescent="0.25">
      <c r="G144" s="426"/>
    </row>
    <row r="145" spans="7:7" x14ac:dyDescent="0.25">
      <c r="G145" s="426"/>
    </row>
    <row r="146" spans="7:7" x14ac:dyDescent="0.25">
      <c r="G146" s="426"/>
    </row>
    <row r="147" spans="7:7" x14ac:dyDescent="0.25">
      <c r="G147" s="425"/>
    </row>
    <row r="148" spans="7:7" x14ac:dyDescent="0.25">
      <c r="G148" s="426"/>
    </row>
    <row r="149" spans="7:7" x14ac:dyDescent="0.25">
      <c r="G149" s="426"/>
    </row>
    <row r="150" spans="7:7" x14ac:dyDescent="0.25">
      <c r="G150" s="426"/>
    </row>
    <row r="151" spans="7:7" x14ac:dyDescent="0.25">
      <c r="G151" s="426"/>
    </row>
    <row r="152" spans="7:7" x14ac:dyDescent="0.25">
      <c r="G152" s="425"/>
    </row>
    <row r="153" spans="7:7" x14ac:dyDescent="0.25">
      <c r="G153" s="426"/>
    </row>
    <row r="154" spans="7:7" x14ac:dyDescent="0.25">
      <c r="G154" s="426"/>
    </row>
    <row r="155" spans="7:7" x14ac:dyDescent="0.25">
      <c r="G155" s="426"/>
    </row>
    <row r="156" spans="7:7" x14ac:dyDescent="0.25">
      <c r="G156" s="425"/>
    </row>
    <row r="157" spans="7:7" x14ac:dyDescent="0.25">
      <c r="G157" s="426"/>
    </row>
    <row r="158" spans="7:7" x14ac:dyDescent="0.25">
      <c r="G158" s="426"/>
    </row>
    <row r="159" spans="7:7" x14ac:dyDescent="0.25">
      <c r="G159" s="426"/>
    </row>
    <row r="160" spans="7:7" x14ac:dyDescent="0.25">
      <c r="G160" s="426"/>
    </row>
    <row r="161" spans="7:7" x14ac:dyDescent="0.25">
      <c r="G161" s="426"/>
    </row>
    <row r="162" spans="7:7" x14ac:dyDescent="0.25">
      <c r="G162" s="426"/>
    </row>
    <row r="163" spans="7:7" x14ac:dyDescent="0.25">
      <c r="G163" s="426"/>
    </row>
    <row r="164" spans="7:7" x14ac:dyDescent="0.25">
      <c r="G164" s="426"/>
    </row>
    <row r="165" spans="7:7" x14ac:dyDescent="0.25">
      <c r="G165" s="426"/>
    </row>
    <row r="166" spans="7:7" x14ac:dyDescent="0.25">
      <c r="G166" s="426"/>
    </row>
    <row r="167" spans="7:7" x14ac:dyDescent="0.25">
      <c r="G167" s="426"/>
    </row>
    <row r="168" spans="7:7" x14ac:dyDescent="0.25">
      <c r="G168" s="426"/>
    </row>
    <row r="169" spans="7:7" x14ac:dyDescent="0.25">
      <c r="G169" s="426"/>
    </row>
  </sheetData>
  <customSheetViews>
    <customSheetView guid="{F76F088D-E257-4637-81FB-2D037F8BCE3A}">
      <pane ySplit="2" topLeftCell="A39" activePane="bottomLeft" state="frozen"/>
      <selection pane="bottomLeft" activeCell="F10" sqref="F10"/>
      <pageMargins left="0.7" right="0.7" top="0.75" bottom="0.75" header="0.3" footer="0.3"/>
    </customSheetView>
  </customSheetViews>
  <mergeCells count="1">
    <mergeCell ref="B2:C2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202"/>
  <sheetViews>
    <sheetView zoomScaleNormal="10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N109" sqref="N109"/>
    </sheetView>
  </sheetViews>
  <sheetFormatPr defaultRowHeight="15" x14ac:dyDescent="0.25"/>
  <cols>
    <col min="2" max="2" width="15.42578125" customWidth="1"/>
    <col min="3" max="3" width="21.85546875" customWidth="1"/>
    <col min="5" max="5" width="16.42578125" customWidth="1"/>
    <col min="6" max="6" width="14.5703125" customWidth="1"/>
    <col min="7" max="7" width="15.85546875" hidden="1" customWidth="1"/>
    <col min="8" max="8" width="19.85546875" hidden="1" customWidth="1"/>
    <col min="9" max="9" width="16.85546875" style="251" customWidth="1"/>
    <col min="10" max="10" width="16.85546875" style="286" hidden="1" customWidth="1"/>
    <col min="11" max="11" width="16.42578125" hidden="1" customWidth="1"/>
    <col min="12" max="12" width="18.140625" style="246" hidden="1" customWidth="1"/>
    <col min="13" max="13" width="20.42578125" style="248" hidden="1" customWidth="1"/>
    <col min="14" max="14" width="21.5703125" style="70" customWidth="1"/>
    <col min="15" max="15" width="0" style="246" hidden="1" customWidth="1"/>
    <col min="16" max="16" width="0" hidden="1" customWidth="1"/>
    <col min="17" max="17" width="0" style="246" hidden="1" customWidth="1"/>
    <col min="18" max="18" width="0" hidden="1" customWidth="1"/>
    <col min="19" max="19" width="0" style="246" hidden="1" customWidth="1"/>
    <col min="20" max="20" width="0" hidden="1" customWidth="1"/>
    <col min="21" max="21" width="0" style="246" hidden="1" customWidth="1"/>
    <col min="22" max="22" width="20.5703125" style="412" customWidth="1"/>
  </cols>
  <sheetData>
    <row r="1" spans="1:22" x14ac:dyDescent="0.25">
      <c r="A1" s="71"/>
      <c r="B1" s="69"/>
      <c r="C1" s="69"/>
      <c r="D1" s="63"/>
      <c r="E1" s="108">
        <v>2013</v>
      </c>
      <c r="F1" s="90">
        <v>2014</v>
      </c>
      <c r="G1" s="118"/>
      <c r="H1" s="70"/>
      <c r="I1" s="251">
        <v>2015</v>
      </c>
      <c r="J1" s="286">
        <v>2015</v>
      </c>
      <c r="K1" s="248">
        <v>2015</v>
      </c>
      <c r="L1" s="262">
        <v>2015</v>
      </c>
      <c r="M1" s="286">
        <v>2016</v>
      </c>
      <c r="N1" s="286">
        <v>2016</v>
      </c>
      <c r="O1" s="291" t="s">
        <v>139</v>
      </c>
      <c r="P1" s="248" t="s">
        <v>140</v>
      </c>
      <c r="Q1" s="251" t="s">
        <v>141</v>
      </c>
      <c r="R1" s="248" t="s">
        <v>157</v>
      </c>
      <c r="S1" s="251" t="s">
        <v>158</v>
      </c>
      <c r="T1" s="248" t="s">
        <v>164</v>
      </c>
      <c r="U1" s="251" t="s">
        <v>165</v>
      </c>
    </row>
    <row r="2" spans="1:22" x14ac:dyDescent="0.25">
      <c r="A2" s="71" t="s">
        <v>0</v>
      </c>
      <c r="B2" s="573" t="s">
        <v>1</v>
      </c>
      <c r="C2" s="573"/>
      <c r="D2" s="96" t="s">
        <v>82</v>
      </c>
      <c r="E2" s="108" t="s">
        <v>107</v>
      </c>
      <c r="F2" s="90" t="s">
        <v>107</v>
      </c>
      <c r="G2" s="108" t="s">
        <v>112</v>
      </c>
      <c r="H2" s="271" t="s">
        <v>132</v>
      </c>
      <c r="I2" s="252" t="s">
        <v>107</v>
      </c>
      <c r="J2" s="287" t="s">
        <v>156</v>
      </c>
      <c r="K2" t="s">
        <v>136</v>
      </c>
      <c r="L2" s="228" t="s">
        <v>137</v>
      </c>
      <c r="M2" s="388" t="s">
        <v>125</v>
      </c>
      <c r="N2" s="388" t="s">
        <v>107</v>
      </c>
      <c r="U2" s="251" t="s">
        <v>166</v>
      </c>
      <c r="V2" s="412" t="s">
        <v>186</v>
      </c>
    </row>
    <row r="3" spans="1:22" x14ac:dyDescent="0.25">
      <c r="A3" s="3" t="s">
        <v>2</v>
      </c>
      <c r="B3" s="4"/>
      <c r="C3" s="4"/>
      <c r="D3" s="62"/>
      <c r="E3" s="108"/>
      <c r="F3" s="90"/>
      <c r="G3" s="108"/>
      <c r="H3" s="70"/>
      <c r="L3" s="228"/>
    </row>
    <row r="4" spans="1:22" x14ac:dyDescent="0.25">
      <c r="A4" s="1"/>
      <c r="B4" s="9" t="s">
        <v>3</v>
      </c>
      <c r="C4" s="9" t="s">
        <v>10</v>
      </c>
      <c r="D4" s="91">
        <v>0.75</v>
      </c>
      <c r="E4" s="122">
        <v>1.57</v>
      </c>
      <c r="F4" s="95">
        <v>2.63</v>
      </c>
      <c r="G4" s="122">
        <f>E4-F4</f>
        <v>-1.0599999999999998</v>
      </c>
      <c r="H4" s="70">
        <v>3.4</v>
      </c>
      <c r="I4" s="251">
        <v>3.7</v>
      </c>
      <c r="J4" s="288">
        <f>I4/D4</f>
        <v>4.9333333333333336</v>
      </c>
      <c r="K4" s="70">
        <f t="shared" ref="K4:K10" si="0">H4-I4</f>
        <v>-0.30000000000000027</v>
      </c>
      <c r="L4" s="253">
        <f t="shared" ref="L4:L10" si="1">(ABS(H4-I4))/I4</f>
        <v>8.1081081081081155E-2</v>
      </c>
      <c r="M4" s="248">
        <v>4</v>
      </c>
      <c r="N4" s="70">
        <v>3.28</v>
      </c>
    </row>
    <row r="5" spans="1:22" x14ac:dyDescent="0.25">
      <c r="A5" s="1"/>
      <c r="B5" s="9" t="s">
        <v>3</v>
      </c>
      <c r="C5" s="9" t="s">
        <v>11</v>
      </c>
      <c r="D5" s="62">
        <v>1.4</v>
      </c>
      <c r="E5" s="122">
        <v>8</v>
      </c>
      <c r="F5" s="95">
        <v>3.67</v>
      </c>
      <c r="G5" s="122">
        <f t="shared" ref="G5:G23" si="2">E5-F5</f>
        <v>4.33</v>
      </c>
      <c r="H5" s="256">
        <v>10</v>
      </c>
      <c r="I5" s="251">
        <v>10</v>
      </c>
      <c r="J5" s="288">
        <f t="shared" ref="J5:J70" si="3">I5/D5</f>
        <v>7.1428571428571432</v>
      </c>
      <c r="K5" s="70">
        <f t="shared" si="0"/>
        <v>0</v>
      </c>
      <c r="L5" s="253">
        <f t="shared" si="1"/>
        <v>0</v>
      </c>
      <c r="M5" s="248">
        <v>10</v>
      </c>
      <c r="N5" s="70">
        <v>17.25</v>
      </c>
    </row>
    <row r="6" spans="1:22" x14ac:dyDescent="0.25">
      <c r="A6" s="71"/>
      <c r="B6" s="9" t="s">
        <v>3</v>
      </c>
      <c r="C6" s="9" t="s">
        <v>12</v>
      </c>
      <c r="D6" s="62">
        <v>0.72</v>
      </c>
      <c r="E6" s="122">
        <v>4.84</v>
      </c>
      <c r="F6" s="95">
        <v>13.19</v>
      </c>
      <c r="G6" s="122">
        <f t="shared" si="2"/>
        <v>-8.35</v>
      </c>
      <c r="H6" s="256">
        <v>6</v>
      </c>
      <c r="I6" s="251">
        <v>7.28</v>
      </c>
      <c r="J6" s="288">
        <f t="shared" si="3"/>
        <v>10.111111111111112</v>
      </c>
      <c r="K6" s="70">
        <f t="shared" si="0"/>
        <v>-1.2800000000000002</v>
      </c>
      <c r="L6" s="253">
        <f t="shared" si="1"/>
        <v>0.17582417582417587</v>
      </c>
      <c r="M6" s="248">
        <v>7</v>
      </c>
      <c r="P6" s="70"/>
    </row>
    <row r="7" spans="1:22" x14ac:dyDescent="0.25">
      <c r="A7" s="71"/>
      <c r="B7" s="9" t="s">
        <v>3</v>
      </c>
      <c r="C7" s="9" t="s">
        <v>14</v>
      </c>
      <c r="D7" s="62">
        <v>2.39</v>
      </c>
      <c r="E7" s="122">
        <v>15.51</v>
      </c>
      <c r="F7" s="95">
        <v>15.96</v>
      </c>
      <c r="G7" s="122">
        <f t="shared" si="2"/>
        <v>-0.45000000000000107</v>
      </c>
      <c r="H7" s="70">
        <v>14</v>
      </c>
      <c r="I7" s="251">
        <v>15.76</v>
      </c>
      <c r="J7" s="288">
        <f t="shared" si="3"/>
        <v>6.5941422594142258</v>
      </c>
      <c r="K7" s="70">
        <f t="shared" si="0"/>
        <v>-1.7599999999999998</v>
      </c>
      <c r="L7" s="253">
        <f t="shared" si="1"/>
        <v>0.11167512690355329</v>
      </c>
      <c r="M7" s="248">
        <v>15</v>
      </c>
      <c r="N7" s="70">
        <v>13.3</v>
      </c>
    </row>
    <row r="8" spans="1:22" x14ac:dyDescent="0.25">
      <c r="A8" s="71"/>
      <c r="B8" s="9" t="s">
        <v>3</v>
      </c>
      <c r="C8" s="9" t="s">
        <v>16</v>
      </c>
      <c r="D8" s="62">
        <v>2.35</v>
      </c>
      <c r="E8" s="122">
        <v>13.53</v>
      </c>
      <c r="F8" s="95">
        <v>14.05</v>
      </c>
      <c r="G8" s="122">
        <f t="shared" si="2"/>
        <v>-0.52000000000000135</v>
      </c>
      <c r="H8" s="70">
        <v>15</v>
      </c>
      <c r="I8" s="251">
        <v>13.97</v>
      </c>
      <c r="J8" s="288">
        <f t="shared" si="3"/>
        <v>5.94468085106383</v>
      </c>
      <c r="K8" s="70">
        <f t="shared" si="0"/>
        <v>1.0299999999999994</v>
      </c>
      <c r="L8" s="253">
        <f t="shared" si="1"/>
        <v>7.3729420186113045E-2</v>
      </c>
      <c r="M8" s="248">
        <v>14</v>
      </c>
      <c r="N8" s="70">
        <v>13.85</v>
      </c>
    </row>
    <row r="9" spans="1:22" x14ac:dyDescent="0.25">
      <c r="A9" s="71"/>
      <c r="B9" s="9" t="s">
        <v>3</v>
      </c>
      <c r="C9" s="72" t="s">
        <v>143</v>
      </c>
      <c r="D9" s="62">
        <v>0.9</v>
      </c>
      <c r="E9" s="122">
        <v>11.45</v>
      </c>
      <c r="F9" s="95">
        <v>12.12</v>
      </c>
      <c r="G9" s="122">
        <f t="shared" si="2"/>
        <v>-0.66999999999999993</v>
      </c>
      <c r="H9" s="70">
        <v>3.3</v>
      </c>
      <c r="I9" s="251">
        <v>6.91</v>
      </c>
      <c r="J9" s="288">
        <f t="shared" si="3"/>
        <v>7.677777777777778</v>
      </c>
      <c r="K9" s="70">
        <f t="shared" si="0"/>
        <v>-3.6100000000000003</v>
      </c>
      <c r="L9" s="253">
        <f t="shared" si="1"/>
        <v>0.52243125904486254</v>
      </c>
      <c r="M9" s="248">
        <v>7</v>
      </c>
      <c r="N9" s="70">
        <v>19.18</v>
      </c>
    </row>
    <row r="10" spans="1:22" s="70" customFormat="1" x14ac:dyDescent="0.25">
      <c r="A10" s="71"/>
      <c r="B10" s="9"/>
      <c r="C10" s="72" t="s">
        <v>144</v>
      </c>
      <c r="D10" s="62">
        <v>0.9</v>
      </c>
      <c r="E10" s="122"/>
      <c r="F10" s="95"/>
      <c r="G10" s="122"/>
      <c r="H10" s="70">
        <v>5.7</v>
      </c>
      <c r="I10" s="251">
        <v>6.66</v>
      </c>
      <c r="J10" s="288">
        <f t="shared" si="3"/>
        <v>7.4</v>
      </c>
      <c r="K10" s="70">
        <f t="shared" si="0"/>
        <v>-0.96</v>
      </c>
      <c r="L10" s="253">
        <f t="shared" si="1"/>
        <v>0.14414414414414414</v>
      </c>
      <c r="M10" s="248">
        <v>7</v>
      </c>
      <c r="N10" s="70">
        <v>19.66</v>
      </c>
      <c r="O10" s="246"/>
      <c r="Q10" s="246"/>
      <c r="S10" s="246"/>
      <c r="U10" s="246"/>
      <c r="V10" s="412"/>
    </row>
    <row r="11" spans="1:22" x14ac:dyDescent="0.25">
      <c r="A11" s="71"/>
      <c r="B11" s="9" t="s">
        <v>3</v>
      </c>
      <c r="C11" s="72" t="s">
        <v>145</v>
      </c>
      <c r="D11" s="62">
        <v>0.96</v>
      </c>
      <c r="E11" s="122">
        <v>10.74</v>
      </c>
      <c r="F11" s="95">
        <v>13.61</v>
      </c>
      <c r="G11" s="122">
        <f t="shared" si="2"/>
        <v>-2.8699999999999992</v>
      </c>
      <c r="H11" s="227">
        <v>3.8</v>
      </c>
      <c r="I11" s="251">
        <v>4.8499999999999996</v>
      </c>
      <c r="J11" s="288">
        <f t="shared" si="3"/>
        <v>5.052083333333333</v>
      </c>
      <c r="K11" s="70">
        <f>H11-I11</f>
        <v>-1.0499999999999998</v>
      </c>
      <c r="L11" s="253">
        <f t="shared" ref="L11:L16" si="4">(ABS(H11-I11))/I11</f>
        <v>0.21649484536082472</v>
      </c>
      <c r="M11" s="248">
        <v>5</v>
      </c>
      <c r="N11" s="70">
        <v>1.0900000000000001</v>
      </c>
      <c r="P11" s="70"/>
      <c r="R11" s="70"/>
    </row>
    <row r="12" spans="1:22" s="70" customFormat="1" x14ac:dyDescent="0.25">
      <c r="A12" s="71"/>
      <c r="B12" s="9"/>
      <c r="C12" s="72" t="s">
        <v>146</v>
      </c>
      <c r="D12" s="62">
        <v>0.96</v>
      </c>
      <c r="E12" s="122"/>
      <c r="F12" s="95"/>
      <c r="G12" s="122"/>
      <c r="H12" s="227">
        <v>7.5</v>
      </c>
      <c r="I12" s="251">
        <v>6.87</v>
      </c>
      <c r="J12" s="288">
        <f t="shared" si="3"/>
        <v>7.15625</v>
      </c>
      <c r="K12" s="70">
        <f>H12-I12</f>
        <v>0.62999999999999989</v>
      </c>
      <c r="L12" s="253">
        <f t="shared" si="4"/>
        <v>9.170305676855893E-2</v>
      </c>
      <c r="M12" s="248">
        <v>7</v>
      </c>
      <c r="O12" s="246"/>
      <c r="Q12" s="246"/>
      <c r="S12" s="246"/>
      <c r="U12" s="246"/>
      <c r="V12" s="412"/>
    </row>
    <row r="13" spans="1:22" x14ac:dyDescent="0.25">
      <c r="A13" s="71"/>
      <c r="B13" s="9" t="s">
        <v>3</v>
      </c>
      <c r="C13" s="72" t="s">
        <v>147</v>
      </c>
      <c r="D13" s="62">
        <v>0.71499999999999997</v>
      </c>
      <c r="E13" s="122">
        <v>9.11</v>
      </c>
      <c r="F13" s="95">
        <v>9.8000000000000007</v>
      </c>
      <c r="G13" s="122">
        <f t="shared" si="2"/>
        <v>-0.69000000000000128</v>
      </c>
      <c r="H13" s="227">
        <v>2.5</v>
      </c>
      <c r="I13" s="251">
        <v>4.1900000000000004</v>
      </c>
      <c r="J13" s="288">
        <f t="shared" si="3"/>
        <v>5.8601398601398609</v>
      </c>
      <c r="K13" s="70">
        <f>H13-I13</f>
        <v>-1.6900000000000004</v>
      </c>
      <c r="L13" s="253">
        <f t="shared" si="4"/>
        <v>0.40334128878281628</v>
      </c>
      <c r="M13" s="248">
        <v>5</v>
      </c>
      <c r="P13" s="70"/>
      <c r="R13" s="70"/>
    </row>
    <row r="14" spans="1:22" s="70" customFormat="1" x14ac:dyDescent="0.25">
      <c r="A14" s="71"/>
      <c r="B14" s="9"/>
      <c r="C14" s="72" t="s">
        <v>148</v>
      </c>
      <c r="D14" s="62">
        <v>0.71499999999999997</v>
      </c>
      <c r="E14" s="122"/>
      <c r="F14" s="95"/>
      <c r="G14" s="122"/>
      <c r="H14" s="227">
        <v>5.6</v>
      </c>
      <c r="I14" s="251">
        <v>8.25</v>
      </c>
      <c r="J14" s="288">
        <f t="shared" si="3"/>
        <v>11.538461538461538</v>
      </c>
      <c r="K14" s="70">
        <f>H14-I14</f>
        <v>-2.6500000000000004</v>
      </c>
      <c r="L14" s="253">
        <f t="shared" si="4"/>
        <v>0.32121212121212128</v>
      </c>
      <c r="M14" s="248">
        <v>8</v>
      </c>
      <c r="O14" s="246"/>
      <c r="Q14" s="246"/>
      <c r="S14" s="246"/>
      <c r="U14" s="246"/>
      <c r="V14" s="412"/>
    </row>
    <row r="15" spans="1:22" s="70" customFormat="1" x14ac:dyDescent="0.25">
      <c r="A15" s="71"/>
      <c r="B15" s="9" t="s">
        <v>3</v>
      </c>
      <c r="C15" s="72" t="s">
        <v>149</v>
      </c>
      <c r="D15" s="62">
        <v>0.51500000000000001</v>
      </c>
      <c r="E15" s="122"/>
      <c r="F15" s="95"/>
      <c r="G15" s="122"/>
      <c r="H15" s="227">
        <v>2.9</v>
      </c>
      <c r="I15" s="241">
        <v>2.8</v>
      </c>
      <c r="J15" s="288">
        <f t="shared" si="3"/>
        <v>5.4368932038834945</v>
      </c>
      <c r="L15" s="253">
        <f t="shared" si="4"/>
        <v>3.5714285714285747E-2</v>
      </c>
      <c r="M15" s="248">
        <v>3</v>
      </c>
      <c r="O15" s="246"/>
      <c r="Q15" s="246"/>
      <c r="S15" s="246"/>
      <c r="U15" s="246"/>
      <c r="V15" s="412"/>
    </row>
    <row r="16" spans="1:22" x14ac:dyDescent="0.25">
      <c r="A16" s="71"/>
      <c r="C16" s="72" t="s">
        <v>150</v>
      </c>
      <c r="D16" s="62">
        <v>0.51500000000000001</v>
      </c>
      <c r="E16" s="122">
        <v>5</v>
      </c>
      <c r="F16" s="95">
        <v>3.91</v>
      </c>
      <c r="G16" s="122">
        <f t="shared" si="2"/>
        <v>1.0899999999999999</v>
      </c>
      <c r="H16" s="227">
        <v>2</v>
      </c>
      <c r="I16" s="251">
        <v>2.61</v>
      </c>
      <c r="J16" s="288">
        <f t="shared" si="3"/>
        <v>5.0679611650485432</v>
      </c>
      <c r="K16" s="70">
        <f t="shared" ref="K16:K28" si="5">H16-I16</f>
        <v>-0.60999999999999988</v>
      </c>
      <c r="L16" s="253">
        <f t="shared" si="4"/>
        <v>0.23371647509578541</v>
      </c>
      <c r="M16" s="248">
        <v>3</v>
      </c>
      <c r="R16" s="70"/>
    </row>
    <row r="17" spans="1:22" x14ac:dyDescent="0.25">
      <c r="A17" s="71"/>
      <c r="B17" s="35" t="s">
        <v>84</v>
      </c>
      <c r="C17" s="9" t="s">
        <v>85</v>
      </c>
      <c r="D17" s="62">
        <v>0.85</v>
      </c>
      <c r="E17" s="110">
        <v>0</v>
      </c>
      <c r="F17" s="95">
        <v>2.0299999999999998</v>
      </c>
      <c r="G17" s="122">
        <f t="shared" si="2"/>
        <v>-2.0299999999999998</v>
      </c>
      <c r="H17" s="70">
        <v>2.7</v>
      </c>
      <c r="I17" s="251">
        <v>2.83</v>
      </c>
      <c r="J17" s="288">
        <f t="shared" si="3"/>
        <v>3.3294117647058825</v>
      </c>
      <c r="K17" s="70">
        <f t="shared" si="5"/>
        <v>-0.12999999999999989</v>
      </c>
      <c r="L17" s="253">
        <f t="shared" ref="L17:L28" si="6">(ABS(H17-I17))/I17</f>
        <v>4.5936395759717273E-2</v>
      </c>
      <c r="M17" s="248">
        <v>4</v>
      </c>
      <c r="N17" s="70">
        <v>4.84</v>
      </c>
      <c r="R17" s="70"/>
    </row>
    <row r="18" spans="1:22" s="70" customFormat="1" x14ac:dyDescent="0.25">
      <c r="A18" s="71"/>
      <c r="B18" s="35" t="s">
        <v>86</v>
      </c>
      <c r="C18" s="9" t="s">
        <v>151</v>
      </c>
      <c r="D18" s="62">
        <v>1.1100000000000001</v>
      </c>
      <c r="E18" s="110"/>
      <c r="F18" s="95"/>
      <c r="G18" s="122"/>
      <c r="H18" s="70">
        <v>1</v>
      </c>
      <c r="I18" s="251">
        <v>1.36</v>
      </c>
      <c r="J18" s="288">
        <f t="shared" si="3"/>
        <v>1.2252252252252251</v>
      </c>
      <c r="K18" s="70">
        <f t="shared" si="5"/>
        <v>-0.3600000000000001</v>
      </c>
      <c r="L18" s="253">
        <f t="shared" si="6"/>
        <v>0.26470588235294124</v>
      </c>
      <c r="M18" s="248">
        <v>4</v>
      </c>
      <c r="N18" s="70">
        <v>3.93</v>
      </c>
      <c r="O18" s="246"/>
      <c r="Q18" s="246"/>
      <c r="S18" s="246"/>
      <c r="U18" s="246"/>
      <c r="V18" s="412"/>
    </row>
    <row r="19" spans="1:22" s="70" customFormat="1" x14ac:dyDescent="0.25">
      <c r="A19" s="71"/>
      <c r="B19" s="35" t="s">
        <v>177</v>
      </c>
      <c r="C19" s="9" t="s">
        <v>178</v>
      </c>
      <c r="D19" s="62">
        <v>10</v>
      </c>
      <c r="E19" s="110"/>
      <c r="F19" s="95"/>
      <c r="G19" s="122"/>
      <c r="I19" s="251"/>
      <c r="J19" s="288"/>
      <c r="L19" s="253"/>
      <c r="M19" s="248">
        <v>30</v>
      </c>
      <c r="N19" s="70">
        <v>33.6</v>
      </c>
      <c r="O19" s="246"/>
      <c r="Q19" s="246"/>
      <c r="S19" s="246"/>
      <c r="U19" s="246"/>
      <c r="V19" s="412"/>
    </row>
    <row r="20" spans="1:22" x14ac:dyDescent="0.25">
      <c r="A20" s="71"/>
      <c r="B20" s="35" t="s">
        <v>7</v>
      </c>
      <c r="C20" s="72" t="s">
        <v>109</v>
      </c>
      <c r="D20" s="123">
        <v>2</v>
      </c>
      <c r="E20" s="110">
        <v>0</v>
      </c>
      <c r="F20" s="95">
        <v>10.56</v>
      </c>
      <c r="G20" s="122">
        <f t="shared" si="2"/>
        <v>-10.56</v>
      </c>
      <c r="H20" s="259">
        <v>10</v>
      </c>
      <c r="I20" s="251">
        <v>14.28</v>
      </c>
      <c r="J20" s="288">
        <f t="shared" si="3"/>
        <v>7.14</v>
      </c>
      <c r="K20" s="70">
        <f t="shared" si="5"/>
        <v>-4.2799999999999994</v>
      </c>
      <c r="L20" s="253">
        <f t="shared" si="6"/>
        <v>0.29971988795518206</v>
      </c>
      <c r="M20" s="248">
        <v>12</v>
      </c>
      <c r="N20" s="70">
        <v>14.3</v>
      </c>
    </row>
    <row r="21" spans="1:22" x14ac:dyDescent="0.25">
      <c r="A21" s="71"/>
      <c r="B21" s="35" t="s">
        <v>7</v>
      </c>
      <c r="C21" s="72" t="s">
        <v>110</v>
      </c>
      <c r="D21" s="123">
        <v>1.5</v>
      </c>
      <c r="E21" s="110">
        <v>0</v>
      </c>
      <c r="F21" s="95">
        <v>7.54</v>
      </c>
      <c r="G21" s="122">
        <f t="shared" si="2"/>
        <v>-7.54</v>
      </c>
      <c r="H21" s="259">
        <v>7.5</v>
      </c>
      <c r="I21" s="251">
        <v>7.76</v>
      </c>
      <c r="J21" s="288">
        <f t="shared" si="3"/>
        <v>5.1733333333333329</v>
      </c>
      <c r="K21" s="70">
        <f t="shared" si="5"/>
        <v>-0.25999999999999979</v>
      </c>
      <c r="L21" s="253">
        <f t="shared" si="6"/>
        <v>3.3505154639175229E-2</v>
      </c>
      <c r="M21" s="248">
        <v>8</v>
      </c>
      <c r="N21" s="70">
        <v>8.34</v>
      </c>
    </row>
    <row r="22" spans="1:22" x14ac:dyDescent="0.25">
      <c r="A22" s="71"/>
      <c r="B22" s="35" t="s">
        <v>7</v>
      </c>
      <c r="C22" s="72" t="s">
        <v>100</v>
      </c>
      <c r="D22" s="123">
        <v>1.25</v>
      </c>
      <c r="E22" s="110">
        <v>0</v>
      </c>
      <c r="F22" s="95">
        <v>5.22</v>
      </c>
      <c r="G22" s="122">
        <f t="shared" si="2"/>
        <v>-5.22</v>
      </c>
      <c r="H22" s="259">
        <v>5</v>
      </c>
      <c r="I22" s="251">
        <v>6.27</v>
      </c>
      <c r="J22" s="288">
        <f t="shared" si="3"/>
        <v>5.016</v>
      </c>
      <c r="K22" s="70">
        <f t="shared" si="5"/>
        <v>-1.2699999999999996</v>
      </c>
      <c r="L22" s="253">
        <f t="shared" si="6"/>
        <v>0.20255183413078146</v>
      </c>
      <c r="M22" s="248">
        <v>0</v>
      </c>
    </row>
    <row r="23" spans="1:22" x14ac:dyDescent="0.25">
      <c r="A23" s="71"/>
      <c r="B23" s="35" t="s">
        <v>7</v>
      </c>
      <c r="C23" s="94" t="s">
        <v>113</v>
      </c>
      <c r="D23" s="123">
        <v>10.5</v>
      </c>
      <c r="E23" s="111">
        <v>0</v>
      </c>
      <c r="F23" s="97">
        <v>56.35</v>
      </c>
      <c r="G23" s="122">
        <f t="shared" si="2"/>
        <v>-56.35</v>
      </c>
      <c r="H23" s="259">
        <v>56.35</v>
      </c>
      <c r="I23" s="251">
        <v>57.71</v>
      </c>
      <c r="J23" s="288">
        <f t="shared" si="3"/>
        <v>5.4961904761904758</v>
      </c>
      <c r="K23" s="70">
        <f t="shared" si="5"/>
        <v>-1.3599999999999994</v>
      </c>
      <c r="L23" s="253">
        <f t="shared" si="6"/>
        <v>2.3566106394039152E-2</v>
      </c>
      <c r="M23" s="248">
        <v>50</v>
      </c>
      <c r="N23" s="70">
        <v>38.03</v>
      </c>
    </row>
    <row r="24" spans="1:22" s="70" customFormat="1" x14ac:dyDescent="0.25">
      <c r="A24" s="71"/>
      <c r="B24" s="35" t="s">
        <v>138</v>
      </c>
      <c r="C24" s="94" t="s">
        <v>121</v>
      </c>
      <c r="D24" s="123">
        <v>1.66</v>
      </c>
      <c r="E24" s="111"/>
      <c r="F24" s="97"/>
      <c r="G24" s="122"/>
      <c r="H24" s="259">
        <v>8</v>
      </c>
      <c r="I24" s="251">
        <v>8.98</v>
      </c>
      <c r="J24" s="288">
        <f t="shared" si="3"/>
        <v>5.4096385542168681</v>
      </c>
      <c r="K24" s="70">
        <f t="shared" si="5"/>
        <v>-0.98000000000000043</v>
      </c>
      <c r="L24" s="253">
        <f t="shared" si="6"/>
        <v>0.10913140311804014</v>
      </c>
      <c r="M24" s="248">
        <v>20</v>
      </c>
      <c r="N24" s="70">
        <v>24.34</v>
      </c>
      <c r="O24" s="246"/>
      <c r="Q24" s="246"/>
      <c r="S24" s="246"/>
      <c r="U24" s="246"/>
      <c r="V24" s="412"/>
    </row>
    <row r="25" spans="1:22" x14ac:dyDescent="0.25">
      <c r="A25" s="71"/>
      <c r="B25" s="12"/>
      <c r="C25" s="147" t="s">
        <v>114</v>
      </c>
      <c r="D25" s="148">
        <f>SUM(D4:D16)</f>
        <v>13.790000000000003</v>
      </c>
      <c r="E25" s="170">
        <f>SUM(E4:E16)</f>
        <v>79.75</v>
      </c>
      <c r="F25" s="171">
        <f>SUM(F4:F16)</f>
        <v>88.939999999999984</v>
      </c>
      <c r="G25" s="170">
        <f>E25-F25</f>
        <v>-9.1899999999999835</v>
      </c>
      <c r="H25" s="70">
        <f>SUM(H4:H17)</f>
        <v>84.399999999999991</v>
      </c>
      <c r="I25" s="251">
        <f>SUM(I4:I16)</f>
        <v>93.85</v>
      </c>
      <c r="J25" s="288"/>
      <c r="K25" s="70">
        <f t="shared" si="5"/>
        <v>-9.4500000000000028</v>
      </c>
      <c r="L25" s="269">
        <f t="shared" si="6"/>
        <v>0.10069259456579652</v>
      </c>
    </row>
    <row r="26" spans="1:22" x14ac:dyDescent="0.25">
      <c r="A26" s="71"/>
      <c r="B26" s="12"/>
      <c r="C26" s="92" t="s">
        <v>118</v>
      </c>
      <c r="D26" s="144">
        <v>1.96</v>
      </c>
      <c r="E26" s="172">
        <v>0</v>
      </c>
      <c r="F26" s="145">
        <v>2.0299999999999998</v>
      </c>
      <c r="G26" s="172">
        <f>E26-F26</f>
        <v>-2.0299999999999998</v>
      </c>
      <c r="H26" s="70">
        <f>SUM(H17:H18)</f>
        <v>3.7</v>
      </c>
      <c r="I26" s="251">
        <f>SUM(I17:I18)</f>
        <v>4.1900000000000004</v>
      </c>
      <c r="J26" s="288"/>
      <c r="K26" s="70">
        <f t="shared" si="5"/>
        <v>-0.49000000000000021</v>
      </c>
      <c r="L26" s="253">
        <f t="shared" si="6"/>
        <v>0.11694510739856806</v>
      </c>
    </row>
    <row r="27" spans="1:22" ht="15.75" thickBot="1" x14ac:dyDescent="0.3">
      <c r="A27" s="71"/>
      <c r="B27" s="69"/>
      <c r="C27" s="146" t="s">
        <v>116</v>
      </c>
      <c r="D27" s="173">
        <v>16.899999999999999</v>
      </c>
      <c r="E27" s="177">
        <v>101.3</v>
      </c>
      <c r="F27" s="178">
        <f>SUM(F20:F23)</f>
        <v>79.67</v>
      </c>
      <c r="G27" s="177">
        <f>E27-F27</f>
        <v>21.629999999999995</v>
      </c>
      <c r="H27" s="70">
        <f>SUM(H20:H23)</f>
        <v>78.849999999999994</v>
      </c>
      <c r="I27" s="241">
        <f>SUM(I20:I24)</f>
        <v>95</v>
      </c>
      <c r="J27" s="288"/>
      <c r="K27" s="70">
        <f t="shared" si="5"/>
        <v>-16.150000000000006</v>
      </c>
      <c r="L27" s="253">
        <f t="shared" si="6"/>
        <v>0.17000000000000007</v>
      </c>
    </row>
    <row r="28" spans="1:22" ht="15.75" thickTop="1" x14ac:dyDescent="0.25">
      <c r="A28" s="71"/>
      <c r="B28" s="69"/>
      <c r="C28" s="142" t="s">
        <v>117</v>
      </c>
      <c r="D28" s="397">
        <f t="shared" ref="D28:I28" si="7">SUM(D25:D27)</f>
        <v>32.650000000000006</v>
      </c>
      <c r="E28" s="398">
        <f t="shared" si="7"/>
        <v>181.05</v>
      </c>
      <c r="F28" s="398">
        <f t="shared" si="7"/>
        <v>170.64</v>
      </c>
      <c r="G28" s="145">
        <f t="shared" si="7"/>
        <v>10.410000000000013</v>
      </c>
      <c r="H28" s="70">
        <f t="shared" si="7"/>
        <v>166.95</v>
      </c>
      <c r="I28" s="284">
        <f t="shared" si="7"/>
        <v>193.04</v>
      </c>
      <c r="J28" s="380"/>
      <c r="K28" s="239">
        <f t="shared" si="5"/>
        <v>-26.090000000000003</v>
      </c>
      <c r="L28" s="384">
        <f t="shared" si="6"/>
        <v>0.13515333609614591</v>
      </c>
      <c r="M28" s="400">
        <f>SUM(M4:M24)</f>
        <v>223</v>
      </c>
      <c r="N28" s="239"/>
      <c r="O28" s="260"/>
      <c r="P28" s="239"/>
      <c r="Q28" s="260"/>
      <c r="R28" s="239"/>
      <c r="S28" s="260"/>
      <c r="T28" s="239"/>
      <c r="U28" s="260"/>
      <c r="V28" s="401">
        <f>SUM(N4:N27)</f>
        <v>214.99000000000004</v>
      </c>
    </row>
    <row r="29" spans="1:22" x14ac:dyDescent="0.25">
      <c r="A29" s="3" t="s">
        <v>13</v>
      </c>
      <c r="B29" s="15"/>
      <c r="C29" s="15"/>
      <c r="D29" s="3"/>
      <c r="E29" s="99"/>
      <c r="F29" s="83"/>
      <c r="G29" s="115"/>
      <c r="H29" s="70"/>
      <c r="J29" s="288"/>
      <c r="K29" s="70"/>
      <c r="L29" s="267"/>
    </row>
    <row r="30" spans="1:22" x14ac:dyDescent="0.25">
      <c r="A30" s="71"/>
      <c r="B30" s="9" t="s">
        <v>3</v>
      </c>
      <c r="C30" s="9" t="s">
        <v>29</v>
      </c>
      <c r="D30" s="93">
        <v>4.32</v>
      </c>
      <c r="E30" s="122">
        <v>23.12</v>
      </c>
      <c r="F30" s="97">
        <v>36.31</v>
      </c>
      <c r="G30" s="122">
        <f>E30-F30</f>
        <v>-13.190000000000001</v>
      </c>
      <c r="H30" s="255">
        <v>36</v>
      </c>
      <c r="I30" s="251">
        <v>36.72</v>
      </c>
      <c r="J30" s="288">
        <f t="shared" si="3"/>
        <v>8.5</v>
      </c>
      <c r="K30" s="70">
        <f t="shared" ref="K30:K39" si="8">H30-I30</f>
        <v>-0.71999999999999886</v>
      </c>
      <c r="L30" s="253">
        <f t="shared" ref="L30:L39" si="9">(ABS(H30-I30))/I30</f>
        <v>1.960784313725487E-2</v>
      </c>
      <c r="M30" s="248">
        <v>36</v>
      </c>
      <c r="N30" s="70">
        <v>43.1</v>
      </c>
    </row>
    <row r="31" spans="1:22" x14ac:dyDescent="0.25">
      <c r="A31" s="71"/>
      <c r="B31" s="9" t="s">
        <v>3</v>
      </c>
      <c r="C31" s="9" t="s">
        <v>31</v>
      </c>
      <c r="D31" s="93">
        <v>1.92</v>
      </c>
      <c r="E31" s="122">
        <v>8.64</v>
      </c>
      <c r="F31" s="97">
        <v>17.260000000000002</v>
      </c>
      <c r="G31" s="122">
        <f t="shared" ref="G31:G36" si="10">E31-F31</f>
        <v>-8.620000000000001</v>
      </c>
      <c r="H31" s="255">
        <v>16</v>
      </c>
      <c r="I31" s="251">
        <v>13.52</v>
      </c>
      <c r="J31" s="288">
        <f t="shared" si="3"/>
        <v>7.041666666666667</v>
      </c>
      <c r="K31" s="70">
        <f t="shared" si="8"/>
        <v>2.4800000000000004</v>
      </c>
      <c r="L31" s="253">
        <f t="shared" si="9"/>
        <v>0.18343195266272194</v>
      </c>
      <c r="M31" s="248">
        <v>15</v>
      </c>
      <c r="N31" s="70">
        <v>14.85</v>
      </c>
      <c r="R31" s="70"/>
    </row>
    <row r="32" spans="1:22" x14ac:dyDescent="0.25">
      <c r="A32" s="71"/>
      <c r="B32" s="9" t="s">
        <v>86</v>
      </c>
      <c r="C32" s="9" t="s">
        <v>32</v>
      </c>
      <c r="D32" s="39">
        <v>3.29</v>
      </c>
      <c r="E32" s="122">
        <v>22.68</v>
      </c>
      <c r="F32" s="95">
        <v>38.07</v>
      </c>
      <c r="G32" s="122">
        <f t="shared" si="10"/>
        <v>-15.39</v>
      </c>
      <c r="H32" s="227">
        <v>27.8</v>
      </c>
      <c r="I32" s="251">
        <v>19.64</v>
      </c>
      <c r="J32" s="288">
        <f t="shared" si="3"/>
        <v>5.9696048632218845</v>
      </c>
      <c r="K32" s="70">
        <f t="shared" si="8"/>
        <v>8.16</v>
      </c>
      <c r="L32" s="253">
        <f t="shared" si="9"/>
        <v>0.41547861507128309</v>
      </c>
      <c r="M32" s="248">
        <v>20</v>
      </c>
      <c r="N32" s="70">
        <v>0.23</v>
      </c>
    </row>
    <row r="33" spans="1:22" s="70" customFormat="1" x14ac:dyDescent="0.25">
      <c r="A33" s="71"/>
      <c r="B33" s="9"/>
      <c r="C33" s="9" t="s">
        <v>175</v>
      </c>
      <c r="D33" s="39"/>
      <c r="E33" s="122"/>
      <c r="F33" s="95"/>
      <c r="G33" s="122"/>
      <c r="H33" s="227"/>
      <c r="I33" s="251"/>
      <c r="J33" s="288"/>
      <c r="L33" s="253"/>
      <c r="M33" s="248"/>
      <c r="N33" s="70">
        <v>10.43</v>
      </c>
      <c r="O33" s="246"/>
      <c r="Q33" s="246"/>
      <c r="S33" s="246"/>
      <c r="U33" s="246"/>
      <c r="V33" s="412"/>
    </row>
    <row r="34" spans="1:22" s="70" customFormat="1" x14ac:dyDescent="0.25">
      <c r="A34" s="71"/>
      <c r="B34" s="9"/>
      <c r="C34" s="9" t="s">
        <v>176</v>
      </c>
      <c r="D34" s="39"/>
      <c r="E34" s="122"/>
      <c r="F34" s="95"/>
      <c r="G34" s="122"/>
      <c r="H34" s="227"/>
      <c r="I34" s="251"/>
      <c r="J34" s="288"/>
      <c r="L34" s="253"/>
      <c r="M34" s="248"/>
      <c r="N34" s="70">
        <v>20.13</v>
      </c>
      <c r="O34" s="246"/>
      <c r="Q34" s="246"/>
      <c r="S34" s="246"/>
      <c r="U34" s="246"/>
      <c r="V34" s="412"/>
    </row>
    <row r="35" spans="1:22" x14ac:dyDescent="0.25">
      <c r="A35" s="71"/>
      <c r="B35" s="9" t="s">
        <v>84</v>
      </c>
      <c r="C35" s="9" t="s">
        <v>88</v>
      </c>
      <c r="D35" s="39">
        <v>4.63</v>
      </c>
      <c r="E35" s="124">
        <v>0</v>
      </c>
      <c r="F35" s="95">
        <v>13.82</v>
      </c>
      <c r="G35" s="122">
        <f t="shared" si="10"/>
        <v>-13.82</v>
      </c>
      <c r="H35" s="256">
        <v>14</v>
      </c>
      <c r="I35" s="251">
        <v>13.2</v>
      </c>
      <c r="J35" s="288">
        <f t="shared" si="3"/>
        <v>2.8509719222462202</v>
      </c>
      <c r="K35" s="70">
        <f t="shared" si="8"/>
        <v>0.80000000000000071</v>
      </c>
      <c r="L35" s="253">
        <f t="shared" si="9"/>
        <v>6.0606060606060663E-2</v>
      </c>
      <c r="M35" s="248">
        <v>15</v>
      </c>
      <c r="N35" s="70">
        <v>56.75</v>
      </c>
    </row>
    <row r="36" spans="1:22" x14ac:dyDescent="0.25">
      <c r="A36" s="71"/>
      <c r="B36" s="12"/>
      <c r="C36" s="147" t="s">
        <v>114</v>
      </c>
      <c r="D36" s="154">
        <f>SUM(D30:D31)</f>
        <v>6.24</v>
      </c>
      <c r="E36" s="156">
        <f>SUM(E30:E31)</f>
        <v>31.76</v>
      </c>
      <c r="F36" s="157">
        <f>SUM(F30:F31)</f>
        <v>53.570000000000007</v>
      </c>
      <c r="G36" s="156">
        <f t="shared" si="10"/>
        <v>-21.810000000000006</v>
      </c>
      <c r="H36" s="70">
        <f>SUM(H30:H31)</f>
        <v>52</v>
      </c>
      <c r="I36" s="251">
        <f>SUM(I30:I31)</f>
        <v>50.239999999999995</v>
      </c>
      <c r="J36" s="288"/>
      <c r="K36" s="70">
        <f t="shared" si="8"/>
        <v>1.7600000000000051</v>
      </c>
      <c r="L36" s="253">
        <f t="shared" si="9"/>
        <v>3.5031847133758065E-2</v>
      </c>
    </row>
    <row r="37" spans="1:22" x14ac:dyDescent="0.25">
      <c r="A37" s="71"/>
      <c r="B37" s="12"/>
      <c r="C37" s="71" t="s">
        <v>119</v>
      </c>
      <c r="D37" s="130">
        <f>SUM(D32:D35)</f>
        <v>7.92</v>
      </c>
      <c r="E37" s="160">
        <f>SUM(E32)</f>
        <v>22.68</v>
      </c>
      <c r="F37" s="161">
        <f>SUM(F32)</f>
        <v>38.07</v>
      </c>
      <c r="G37" s="166">
        <f>E37-F37</f>
        <v>-15.39</v>
      </c>
      <c r="H37" s="70">
        <f>SUM(H32:H35)</f>
        <v>41.8</v>
      </c>
      <c r="I37" s="251">
        <f>SUM(I32:I35)</f>
        <v>32.840000000000003</v>
      </c>
      <c r="J37" s="288"/>
      <c r="K37" s="70">
        <f t="shared" si="8"/>
        <v>8.9599999999999937</v>
      </c>
      <c r="L37" s="253">
        <f t="shared" si="9"/>
        <v>0.27283800243605338</v>
      </c>
    </row>
    <row r="38" spans="1:22" ht="15.75" thickBot="1" x14ac:dyDescent="0.3">
      <c r="A38" s="71"/>
      <c r="B38" s="69"/>
      <c r="C38" s="152" t="s">
        <v>116</v>
      </c>
      <c r="D38" s="162">
        <v>0</v>
      </c>
      <c r="E38" s="164">
        <v>0</v>
      </c>
      <c r="F38" s="165">
        <v>13.82</v>
      </c>
      <c r="G38" s="164">
        <f t="shared" ref="G38" si="11">E38-F38</f>
        <v>-13.82</v>
      </c>
      <c r="H38" s="70">
        <v>0</v>
      </c>
      <c r="I38" s="251">
        <v>0</v>
      </c>
      <c r="J38" s="288"/>
      <c r="K38" s="70">
        <f t="shared" si="8"/>
        <v>0</v>
      </c>
      <c r="L38" s="253" t="e">
        <f t="shared" si="9"/>
        <v>#DIV/0!</v>
      </c>
    </row>
    <row r="39" spans="1:22" ht="15.75" thickTop="1" x14ac:dyDescent="0.25">
      <c r="A39" s="71"/>
      <c r="B39" s="69"/>
      <c r="C39" s="79" t="s">
        <v>117</v>
      </c>
      <c r="D39" s="395">
        <f>SUM(D36:D38)</f>
        <v>14.16</v>
      </c>
      <c r="E39" s="396">
        <f>SUM(E36:E38)</f>
        <v>54.44</v>
      </c>
      <c r="F39" s="153">
        <f>SUM(F36:F38)</f>
        <v>105.46000000000001</v>
      </c>
      <c r="G39" s="166">
        <f>E39-F39</f>
        <v>-51.02000000000001</v>
      </c>
      <c r="H39" s="70">
        <f>SUM(H36:H37)</f>
        <v>93.8</v>
      </c>
      <c r="I39" s="284">
        <f>SUM(I36:I37)</f>
        <v>83.08</v>
      </c>
      <c r="J39" s="380"/>
      <c r="K39" s="239">
        <f t="shared" si="8"/>
        <v>10.719999999999999</v>
      </c>
      <c r="L39" s="384">
        <f t="shared" si="9"/>
        <v>0.12903225806451613</v>
      </c>
      <c r="M39" s="401">
        <f>SUM(M30:M35)</f>
        <v>86</v>
      </c>
      <c r="N39" s="239"/>
      <c r="O39" s="260"/>
      <c r="P39" s="239"/>
      <c r="Q39" s="260"/>
      <c r="R39" s="239"/>
      <c r="S39" s="260"/>
      <c r="T39" s="239"/>
      <c r="U39" s="260"/>
      <c r="V39" s="401">
        <f>SUM(N30:N35)</f>
        <v>145.49</v>
      </c>
    </row>
    <row r="40" spans="1:22" x14ac:dyDescent="0.25">
      <c r="A40" s="3" t="s">
        <v>15</v>
      </c>
      <c r="B40" s="15"/>
      <c r="C40" s="3"/>
      <c r="D40" s="37"/>
      <c r="E40" s="99"/>
      <c r="F40" s="83"/>
      <c r="G40" s="115"/>
      <c r="H40" s="70"/>
      <c r="J40" s="288"/>
      <c r="K40" s="70"/>
      <c r="L40" s="268"/>
    </row>
    <row r="41" spans="1:22" x14ac:dyDescent="0.25">
      <c r="A41" s="71"/>
      <c r="B41" s="9" t="s">
        <v>3</v>
      </c>
      <c r="C41" s="9" t="s">
        <v>36</v>
      </c>
      <c r="D41" s="39">
        <v>4.04</v>
      </c>
      <c r="E41" s="122">
        <v>23.62</v>
      </c>
      <c r="F41" s="95">
        <v>20.239999999999998</v>
      </c>
      <c r="G41" s="122">
        <f>E41-F41</f>
        <v>3.3800000000000026</v>
      </c>
      <c r="H41" s="70">
        <v>16.2</v>
      </c>
      <c r="I41" s="251">
        <v>26.77</v>
      </c>
      <c r="J41" s="288">
        <f t="shared" si="3"/>
        <v>6.6262376237623757</v>
      </c>
      <c r="K41" s="70">
        <f>H41-I41</f>
        <v>-10.57</v>
      </c>
      <c r="L41" s="270">
        <f>(ABS(H41-I41))/I41</f>
        <v>0.39484497571908855</v>
      </c>
      <c r="M41" s="248">
        <v>26</v>
      </c>
      <c r="N41" s="70">
        <v>25.52</v>
      </c>
    </row>
    <row r="42" spans="1:22" x14ac:dyDescent="0.25">
      <c r="A42" s="71"/>
      <c r="B42" s="9" t="s">
        <v>86</v>
      </c>
      <c r="C42" s="9" t="s">
        <v>37</v>
      </c>
      <c r="D42" s="39">
        <v>5.04</v>
      </c>
      <c r="E42" s="122">
        <v>27.94</v>
      </c>
      <c r="F42" s="95">
        <v>29.95</v>
      </c>
      <c r="G42" s="122">
        <f t="shared" ref="G42:G47" si="12">E42-F42</f>
        <v>-2.009999999999998</v>
      </c>
      <c r="H42" s="70">
        <v>30.1</v>
      </c>
      <c r="I42" s="251">
        <v>32.630000000000003</v>
      </c>
      <c r="J42" s="288">
        <f t="shared" si="3"/>
        <v>6.4742063492063497</v>
      </c>
      <c r="K42" s="70">
        <f>H42-I42</f>
        <v>-2.5300000000000011</v>
      </c>
      <c r="L42" s="253">
        <f>(ABS(H42-I42))/I42</f>
        <v>7.7536009806926168E-2</v>
      </c>
      <c r="M42" s="248">
        <v>32</v>
      </c>
      <c r="N42" s="70">
        <v>27.26</v>
      </c>
    </row>
    <row r="43" spans="1:22" x14ac:dyDescent="0.25">
      <c r="A43" s="71"/>
      <c r="B43" s="9" t="s">
        <v>6</v>
      </c>
      <c r="C43" s="9" t="s">
        <v>38</v>
      </c>
      <c r="D43" s="39">
        <v>1.65</v>
      </c>
      <c r="E43" s="122">
        <v>14.07</v>
      </c>
      <c r="F43" s="95">
        <v>12.07</v>
      </c>
      <c r="G43" s="122">
        <f t="shared" si="12"/>
        <v>2</v>
      </c>
      <c r="H43" s="256">
        <v>12</v>
      </c>
      <c r="I43" s="251">
        <v>12.47</v>
      </c>
      <c r="J43" s="288">
        <f t="shared" si="3"/>
        <v>7.5575757575757585</v>
      </c>
      <c r="K43" s="70">
        <f>H43-I43</f>
        <v>-0.47000000000000064</v>
      </c>
      <c r="L43" s="253">
        <f>(ABS(H43-I43))/I43</f>
        <v>3.7690457097032927E-2</v>
      </c>
      <c r="M43" s="248">
        <v>12</v>
      </c>
      <c r="N43" s="70">
        <v>14.53</v>
      </c>
    </row>
    <row r="44" spans="1:22" x14ac:dyDescent="0.25">
      <c r="A44" s="71"/>
      <c r="B44" s="12"/>
      <c r="C44" s="147" t="s">
        <v>114</v>
      </c>
      <c r="D44" s="158">
        <f>SUM(D41,D43)</f>
        <v>5.6899999999999995</v>
      </c>
      <c r="E44" s="156">
        <f>SUM(E41,E43)</f>
        <v>37.69</v>
      </c>
      <c r="F44" s="216">
        <f>SUM(F41,F43)</f>
        <v>32.31</v>
      </c>
      <c r="G44" s="156">
        <f t="shared" si="12"/>
        <v>5.3799999999999955</v>
      </c>
      <c r="H44" s="70">
        <f>SUM(H41,H43)</f>
        <v>28.2</v>
      </c>
      <c r="I44" s="251">
        <f>SUM(I41,I43)</f>
        <v>39.24</v>
      </c>
      <c r="J44" s="288"/>
      <c r="K44" s="70">
        <f>H44-I44</f>
        <v>-11.040000000000003</v>
      </c>
      <c r="L44" s="253">
        <f>(ABS(H44-I44))/I44</f>
        <v>0.28134556574923553</v>
      </c>
    </row>
    <row r="45" spans="1:22" x14ac:dyDescent="0.25">
      <c r="A45" s="71"/>
      <c r="B45" s="12"/>
      <c r="C45" s="71" t="s">
        <v>118</v>
      </c>
      <c r="D45" s="153">
        <v>5.04</v>
      </c>
      <c r="E45" s="160">
        <v>27.94</v>
      </c>
      <c r="F45" s="145">
        <v>29.95</v>
      </c>
      <c r="G45" s="166">
        <f t="shared" si="12"/>
        <v>-2.009999999999998</v>
      </c>
      <c r="H45" s="70">
        <f>H42</f>
        <v>30.1</v>
      </c>
      <c r="I45" s="251">
        <f>I42</f>
        <v>32.630000000000003</v>
      </c>
      <c r="J45" s="288"/>
      <c r="K45" s="70">
        <f>H45-I45</f>
        <v>-2.5300000000000011</v>
      </c>
      <c r="L45" s="253">
        <f>(ABS(H45-I45))/I45</f>
        <v>7.7536009806926168E-2</v>
      </c>
    </row>
    <row r="46" spans="1:22" ht="15.75" thickBot="1" x14ac:dyDescent="0.3">
      <c r="A46" s="71"/>
      <c r="B46" s="69"/>
      <c r="C46" s="152" t="s">
        <v>116</v>
      </c>
      <c r="D46" s="165">
        <v>0</v>
      </c>
      <c r="E46" s="164">
        <v>0</v>
      </c>
      <c r="F46" s="165">
        <v>0</v>
      </c>
      <c r="G46" s="164">
        <f t="shared" si="12"/>
        <v>0</v>
      </c>
      <c r="H46" s="70">
        <v>0</v>
      </c>
      <c r="I46" s="251">
        <v>0</v>
      </c>
      <c r="J46" s="288"/>
      <c r="K46" s="70"/>
      <c r="L46" s="268"/>
    </row>
    <row r="47" spans="1:22" ht="15.75" thickTop="1" x14ac:dyDescent="0.25">
      <c r="A47" s="71"/>
      <c r="B47" s="69"/>
      <c r="C47" s="79" t="s">
        <v>117</v>
      </c>
      <c r="D47" s="395">
        <f>SUM(D44:D46)</f>
        <v>10.73</v>
      </c>
      <c r="E47" s="395">
        <f>SUM(E44:E46)</f>
        <v>65.63</v>
      </c>
      <c r="F47" s="402">
        <f>SUM(F44:F46)</f>
        <v>62.260000000000005</v>
      </c>
      <c r="G47" s="223">
        <f t="shared" si="12"/>
        <v>3.3699999999999903</v>
      </c>
      <c r="H47" s="239">
        <f>SUM(H44:H46)</f>
        <v>58.3</v>
      </c>
      <c r="I47" s="284">
        <f>SUM(I44:I46)</f>
        <v>71.87</v>
      </c>
      <c r="J47" s="380"/>
      <c r="K47" s="239">
        <f>H47-I47</f>
        <v>-13.570000000000007</v>
      </c>
      <c r="L47" s="384">
        <f>(ABS(H47-I47))/I47</f>
        <v>0.18881313482677065</v>
      </c>
      <c r="M47" s="401">
        <f>SUM(M41:M43)</f>
        <v>70</v>
      </c>
      <c r="N47" s="25"/>
      <c r="O47" s="415"/>
      <c r="P47" s="25"/>
      <c r="Q47" s="415"/>
      <c r="R47" s="25"/>
      <c r="S47" s="415"/>
      <c r="T47" s="25"/>
      <c r="U47" s="415"/>
      <c r="V47" s="401">
        <f>SUM(N41:N46)</f>
        <v>67.31</v>
      </c>
    </row>
    <row r="48" spans="1:22" x14ac:dyDescent="0.25">
      <c r="A48" s="3" t="s">
        <v>17</v>
      </c>
      <c r="B48" s="15"/>
      <c r="C48" s="3"/>
      <c r="D48" s="37"/>
      <c r="E48" s="99"/>
      <c r="F48" s="65"/>
      <c r="G48" s="109"/>
      <c r="H48" s="70"/>
      <c r="J48" s="288"/>
      <c r="K48" s="70"/>
      <c r="L48" s="268"/>
    </row>
    <row r="49" spans="1:22" x14ac:dyDescent="0.25">
      <c r="A49" s="71"/>
      <c r="B49" s="9" t="s">
        <v>3</v>
      </c>
      <c r="C49" s="9" t="s">
        <v>39</v>
      </c>
      <c r="D49" s="62">
        <v>1.89</v>
      </c>
      <c r="E49" s="122">
        <v>8.3699999999999992</v>
      </c>
      <c r="F49" s="95">
        <v>9.23</v>
      </c>
      <c r="G49" s="122">
        <f>E49-F49</f>
        <v>-0.86000000000000121</v>
      </c>
      <c r="H49" s="255">
        <v>9</v>
      </c>
      <c r="I49" s="251">
        <v>10.07</v>
      </c>
      <c r="J49" s="288">
        <f t="shared" si="3"/>
        <v>5.3280423280423284</v>
      </c>
      <c r="K49" s="70">
        <f>H49-I49</f>
        <v>-1.0700000000000003</v>
      </c>
      <c r="L49" s="253">
        <f>(ABS(H49-I49))/I49</f>
        <v>0.10625620655412117</v>
      </c>
      <c r="M49" s="248">
        <v>10</v>
      </c>
      <c r="N49" s="70">
        <v>7.22</v>
      </c>
    </row>
    <row r="50" spans="1:22" x14ac:dyDescent="0.25">
      <c r="A50" s="71"/>
      <c r="B50" s="9" t="s">
        <v>86</v>
      </c>
      <c r="C50" s="9" t="s">
        <v>31</v>
      </c>
      <c r="D50" s="62">
        <v>0.57999999999999996</v>
      </c>
      <c r="E50" s="122">
        <v>3.04</v>
      </c>
      <c r="F50" s="95">
        <v>2.68</v>
      </c>
      <c r="G50" s="122">
        <f t="shared" ref="G50:G62" si="13">E50-F50</f>
        <v>0.35999999999999988</v>
      </c>
      <c r="H50" s="255">
        <v>3</v>
      </c>
      <c r="I50" s="251">
        <v>3.99</v>
      </c>
      <c r="J50" s="288">
        <f t="shared" si="3"/>
        <v>6.8793103448275872</v>
      </c>
      <c r="K50" s="70">
        <f>H50-I50</f>
        <v>-0.99000000000000021</v>
      </c>
      <c r="L50" s="253">
        <f>(ABS(H50-I50))/I50</f>
        <v>0.24812030075187974</v>
      </c>
      <c r="M50" s="248">
        <v>3</v>
      </c>
      <c r="N50" s="70">
        <v>3.81</v>
      </c>
    </row>
    <row r="51" spans="1:22" x14ac:dyDescent="0.25">
      <c r="A51" s="71"/>
      <c r="B51" s="72" t="s">
        <v>4</v>
      </c>
      <c r="C51" s="9" t="s">
        <v>40</v>
      </c>
      <c r="D51" s="62">
        <v>9.11</v>
      </c>
      <c r="E51" s="122">
        <v>21.02</v>
      </c>
      <c r="F51" s="95">
        <v>31.83</v>
      </c>
      <c r="G51" s="122">
        <f t="shared" si="13"/>
        <v>-10.809999999999999</v>
      </c>
      <c r="H51" s="259">
        <v>25</v>
      </c>
      <c r="I51" s="251">
        <v>22.92</v>
      </c>
      <c r="J51" s="288">
        <f t="shared" si="3"/>
        <v>2.5159165751920969</v>
      </c>
      <c r="K51" s="70">
        <f>H51-I51</f>
        <v>2.0799999999999983</v>
      </c>
      <c r="L51" s="253">
        <f>(ABS(H51-I51))/I51</f>
        <v>9.0750436300174445E-2</v>
      </c>
      <c r="M51" s="248">
        <v>22</v>
      </c>
      <c r="N51" s="70">
        <v>31.27</v>
      </c>
    </row>
    <row r="52" spans="1:22" x14ac:dyDescent="0.25">
      <c r="A52" s="71"/>
      <c r="B52" s="9" t="s">
        <v>89</v>
      </c>
      <c r="C52" s="9" t="s">
        <v>90</v>
      </c>
      <c r="D52" s="62">
        <v>7.34</v>
      </c>
      <c r="E52" s="122">
        <v>51.91</v>
      </c>
      <c r="F52" s="95">
        <v>41.95</v>
      </c>
      <c r="G52" s="122">
        <f t="shared" si="13"/>
        <v>9.9599999999999937</v>
      </c>
      <c r="H52" s="256">
        <v>38</v>
      </c>
      <c r="I52" s="251">
        <v>46.96</v>
      </c>
      <c r="J52" s="288">
        <f t="shared" si="3"/>
        <v>6.3978201634877383</v>
      </c>
      <c r="K52" s="70">
        <f>H52-I52</f>
        <v>-8.9600000000000009</v>
      </c>
      <c r="L52" s="253">
        <f>(ABS(H52-I52))/I52</f>
        <v>0.19080068143100512</v>
      </c>
      <c r="M52" s="248">
        <v>45</v>
      </c>
      <c r="N52" s="70">
        <v>53.62</v>
      </c>
    </row>
    <row r="53" spans="1:22" x14ac:dyDescent="0.25">
      <c r="A53" s="1"/>
      <c r="B53" s="18" t="s">
        <v>7</v>
      </c>
      <c r="C53" s="18" t="s">
        <v>41</v>
      </c>
      <c r="D53" s="125">
        <v>2</v>
      </c>
      <c r="E53" s="136">
        <v>5.38</v>
      </c>
      <c r="F53" s="97">
        <v>7.8</v>
      </c>
      <c r="G53" s="122">
        <f t="shared" si="13"/>
        <v>-2.42</v>
      </c>
      <c r="H53" s="259">
        <v>8</v>
      </c>
      <c r="I53" s="251">
        <v>8.5</v>
      </c>
      <c r="J53" s="288">
        <f t="shared" si="3"/>
        <v>4.25</v>
      </c>
      <c r="K53" s="70"/>
      <c r="L53" s="268"/>
      <c r="M53" s="248">
        <v>8</v>
      </c>
      <c r="N53" s="70">
        <v>11.33</v>
      </c>
    </row>
    <row r="54" spans="1:22" x14ac:dyDescent="0.25">
      <c r="A54" s="71"/>
      <c r="B54" s="18" t="s">
        <v>7</v>
      </c>
      <c r="C54" s="18" t="s">
        <v>42</v>
      </c>
      <c r="D54" s="125">
        <v>2</v>
      </c>
      <c r="E54" s="136">
        <v>2.4</v>
      </c>
      <c r="F54" s="97">
        <v>8.4</v>
      </c>
      <c r="G54" s="122">
        <f t="shared" si="13"/>
        <v>-6</v>
      </c>
      <c r="H54" s="259">
        <v>8</v>
      </c>
      <c r="I54" s="251">
        <v>12.64</v>
      </c>
      <c r="J54" s="288">
        <f t="shared" si="3"/>
        <v>6.32</v>
      </c>
      <c r="K54" s="70">
        <f>H54-I54</f>
        <v>-4.6400000000000006</v>
      </c>
      <c r="L54" s="253">
        <f t="shared" ref="L54:L62" si="14">(ABS(H54-I54))/I54</f>
        <v>0.36708860759493672</v>
      </c>
      <c r="M54" s="248">
        <v>8</v>
      </c>
      <c r="N54" s="70">
        <v>12.47</v>
      </c>
    </row>
    <row r="55" spans="1:22" x14ac:dyDescent="0.25">
      <c r="A55" s="71"/>
      <c r="B55" s="18" t="s">
        <v>7</v>
      </c>
      <c r="C55" s="18" t="s">
        <v>43</v>
      </c>
      <c r="D55" s="125">
        <v>4</v>
      </c>
      <c r="E55" s="136">
        <v>24.55</v>
      </c>
      <c r="F55" s="97">
        <v>16.86</v>
      </c>
      <c r="G55" s="122">
        <f t="shared" si="13"/>
        <v>7.6900000000000013</v>
      </c>
      <c r="H55" s="259">
        <v>16</v>
      </c>
      <c r="I55" s="251">
        <v>26.79</v>
      </c>
      <c r="J55" s="288">
        <f t="shared" si="3"/>
        <v>6.6974999999999998</v>
      </c>
      <c r="K55" s="70">
        <f>H55-I55</f>
        <v>-10.79</v>
      </c>
      <c r="L55" s="253">
        <f t="shared" si="14"/>
        <v>0.40276222471071293</v>
      </c>
      <c r="M55" s="248">
        <v>25</v>
      </c>
      <c r="N55" s="70">
        <v>19.97</v>
      </c>
    </row>
    <row r="56" spans="1:22" x14ac:dyDescent="0.25">
      <c r="A56" s="71"/>
      <c r="B56" s="18" t="s">
        <v>7</v>
      </c>
      <c r="C56" s="18" t="s">
        <v>91</v>
      </c>
      <c r="D56" s="125">
        <v>4.25</v>
      </c>
      <c r="E56" s="136">
        <v>14.49</v>
      </c>
      <c r="F56" s="97">
        <v>17.53</v>
      </c>
      <c r="G56" s="122">
        <f t="shared" si="13"/>
        <v>-3.0400000000000009</v>
      </c>
      <c r="H56" s="259">
        <v>15</v>
      </c>
      <c r="I56" s="251">
        <v>20.67</v>
      </c>
      <c r="J56" s="288">
        <f t="shared" si="3"/>
        <v>4.8635294117647065</v>
      </c>
      <c r="K56" s="70">
        <f>H56-I56</f>
        <v>-5.6700000000000017</v>
      </c>
      <c r="L56" s="253">
        <f t="shared" si="14"/>
        <v>0.27431059506531208</v>
      </c>
      <c r="M56" s="248">
        <v>18</v>
      </c>
      <c r="N56" s="70">
        <v>21.13</v>
      </c>
    </row>
    <row r="57" spans="1:22" x14ac:dyDescent="0.25">
      <c r="A57" s="71"/>
      <c r="B57" s="18" t="s">
        <v>7</v>
      </c>
      <c r="C57" s="72" t="s">
        <v>99</v>
      </c>
      <c r="D57" s="125">
        <v>3</v>
      </c>
      <c r="E57" s="111">
        <v>0</v>
      </c>
      <c r="F57" s="95">
        <v>16.14</v>
      </c>
      <c r="G57" s="122">
        <f t="shared" si="13"/>
        <v>-16.14</v>
      </c>
      <c r="H57" s="259">
        <v>16</v>
      </c>
      <c r="I57" s="251">
        <v>16.84</v>
      </c>
      <c r="J57" s="288">
        <f t="shared" si="3"/>
        <v>5.6133333333333333</v>
      </c>
      <c r="K57" s="70"/>
      <c r="L57" s="253">
        <f t="shared" si="14"/>
        <v>4.9881235154394292E-2</v>
      </c>
      <c r="M57" s="248">
        <v>16</v>
      </c>
      <c r="N57" s="70">
        <v>17.47</v>
      </c>
    </row>
    <row r="58" spans="1:22" x14ac:dyDescent="0.25">
      <c r="A58" s="71"/>
      <c r="B58" s="18" t="s">
        <v>7</v>
      </c>
      <c r="C58" s="72" t="s">
        <v>100</v>
      </c>
      <c r="D58" s="125">
        <v>6.5</v>
      </c>
      <c r="E58" s="111">
        <v>0</v>
      </c>
      <c r="F58" s="95">
        <v>15.06</v>
      </c>
      <c r="G58" s="122">
        <f t="shared" si="13"/>
        <v>-15.06</v>
      </c>
      <c r="H58" s="259">
        <v>15</v>
      </c>
      <c r="I58" s="251">
        <v>14.48</v>
      </c>
      <c r="J58" s="288">
        <f t="shared" si="3"/>
        <v>2.2276923076923079</v>
      </c>
      <c r="K58" s="70">
        <f>H58-I58</f>
        <v>0.51999999999999957</v>
      </c>
      <c r="L58" s="270">
        <f t="shared" si="14"/>
        <v>3.5911602209944722E-2</v>
      </c>
      <c r="M58" s="248">
        <v>0</v>
      </c>
    </row>
    <row r="59" spans="1:22" x14ac:dyDescent="0.25">
      <c r="A59" s="69"/>
      <c r="B59" s="12"/>
      <c r="C59" s="147" t="s">
        <v>114</v>
      </c>
      <c r="D59" s="171">
        <f>D49+D51</f>
        <v>11</v>
      </c>
      <c r="E59" s="182">
        <f>SUM(E49,E51)</f>
        <v>29.39</v>
      </c>
      <c r="F59" s="171">
        <f>SUM(F49,F51)</f>
        <v>41.06</v>
      </c>
      <c r="G59" s="156">
        <f t="shared" si="13"/>
        <v>-11.670000000000002</v>
      </c>
      <c r="H59" s="70">
        <f>SUM(H51,H49)</f>
        <v>34</v>
      </c>
      <c r="I59" s="251">
        <f>SUM(I51,I49)</f>
        <v>32.99</v>
      </c>
      <c r="J59" s="288"/>
      <c r="K59" s="70">
        <f>H59-I59</f>
        <v>1.009999999999998</v>
      </c>
      <c r="L59" s="253">
        <f t="shared" si="14"/>
        <v>3.0615337981206366E-2</v>
      </c>
    </row>
    <row r="60" spans="1:22" x14ac:dyDescent="0.25">
      <c r="A60" s="71"/>
      <c r="B60" s="12"/>
      <c r="C60" s="141" t="s">
        <v>118</v>
      </c>
      <c r="D60" s="145">
        <f>SUM(D50,D52)</f>
        <v>7.92</v>
      </c>
      <c r="E60" s="160">
        <f>SUM(E50,E52)</f>
        <v>54.949999999999996</v>
      </c>
      <c r="F60" s="145">
        <f>SUM(F50,F52)</f>
        <v>44.63</v>
      </c>
      <c r="G60" s="166">
        <f t="shared" si="13"/>
        <v>10.319999999999993</v>
      </c>
      <c r="H60" s="70">
        <f>SUM(H50,H52)</f>
        <v>41</v>
      </c>
      <c r="I60" s="251">
        <f>SUM(I50,I52)</f>
        <v>50.95</v>
      </c>
      <c r="J60" s="288"/>
      <c r="K60" s="70">
        <f>H60-I60</f>
        <v>-9.9500000000000028</v>
      </c>
      <c r="L60" s="253">
        <f t="shared" si="14"/>
        <v>0.19528949950932292</v>
      </c>
    </row>
    <row r="61" spans="1:22" ht="15.75" thickBot="1" x14ac:dyDescent="0.3">
      <c r="A61" s="71"/>
      <c r="B61" s="69"/>
      <c r="C61" s="146" t="s">
        <v>116</v>
      </c>
      <c r="D61" s="178">
        <f>SUM(D53:D58)</f>
        <v>21.75</v>
      </c>
      <c r="E61" s="183">
        <v>46.82</v>
      </c>
      <c r="F61" s="178">
        <f>SUM(F53:F58)</f>
        <v>81.790000000000006</v>
      </c>
      <c r="G61" s="164">
        <f t="shared" si="13"/>
        <v>-34.970000000000006</v>
      </c>
      <c r="H61" s="70">
        <f>SUM(H53:H58)</f>
        <v>78</v>
      </c>
      <c r="I61" s="251">
        <f>SUM(I53:I58)</f>
        <v>99.92</v>
      </c>
      <c r="J61" s="288"/>
      <c r="K61" s="70">
        <f>H61-I61</f>
        <v>-21.92</v>
      </c>
      <c r="L61" s="253">
        <f t="shared" si="14"/>
        <v>0.21937550040032028</v>
      </c>
    </row>
    <row r="62" spans="1:22" s="239" customFormat="1" ht="15.75" thickTop="1" x14ac:dyDescent="0.25">
      <c r="A62" s="44"/>
      <c r="B62" s="25"/>
      <c r="C62" s="410" t="s">
        <v>9</v>
      </c>
      <c r="D62" s="393">
        <f>SUM(D59:D61)</f>
        <v>40.67</v>
      </c>
      <c r="E62" s="394">
        <f>SUM(E59:E61)</f>
        <v>131.16</v>
      </c>
      <c r="F62" s="411">
        <f>SUM(F59:F61)</f>
        <v>167.48000000000002</v>
      </c>
      <c r="G62" s="223">
        <f t="shared" si="13"/>
        <v>-36.320000000000022</v>
      </c>
      <c r="H62" s="239">
        <f>SUM(H59:H61)</f>
        <v>153</v>
      </c>
      <c r="I62" s="266">
        <f>SUM(I59:I61)</f>
        <v>183.86</v>
      </c>
      <c r="J62" s="380"/>
      <c r="K62" s="239">
        <f>H62-I62</f>
        <v>-30.860000000000014</v>
      </c>
      <c r="L62" s="384">
        <f t="shared" si="14"/>
        <v>0.16784509953225285</v>
      </c>
      <c r="M62" s="400">
        <f>SUM(M49:M58)</f>
        <v>155</v>
      </c>
      <c r="O62" s="260"/>
      <c r="Q62" s="260"/>
      <c r="S62" s="260"/>
      <c r="U62" s="260"/>
      <c r="V62" s="401">
        <f>SUM(N49:N61)</f>
        <v>178.29</v>
      </c>
    </row>
    <row r="63" spans="1:22" x14ac:dyDescent="0.25">
      <c r="A63" s="1" t="s">
        <v>19</v>
      </c>
      <c r="B63" s="9" t="s">
        <v>3</v>
      </c>
      <c r="C63" s="9" t="s">
        <v>173</v>
      </c>
      <c r="D63" s="87"/>
      <c r="E63" s="112"/>
      <c r="F63" s="65"/>
      <c r="G63" s="113"/>
      <c r="H63" s="70"/>
      <c r="J63" s="288"/>
      <c r="K63" s="70"/>
      <c r="L63" s="268"/>
      <c r="N63" s="70">
        <v>17.600000000000001</v>
      </c>
    </row>
    <row r="64" spans="1:22" s="70" customFormat="1" x14ac:dyDescent="0.25">
      <c r="A64" s="1"/>
      <c r="B64" s="9"/>
      <c r="C64" s="9" t="s">
        <v>187</v>
      </c>
      <c r="D64" s="87"/>
      <c r="E64" s="112"/>
      <c r="F64" s="65"/>
      <c r="G64" s="113"/>
      <c r="I64" s="251"/>
      <c r="J64" s="288"/>
      <c r="L64" s="268"/>
      <c r="M64" s="248"/>
      <c r="N64" s="70">
        <v>1.36</v>
      </c>
      <c r="O64" s="246"/>
      <c r="Q64" s="246"/>
      <c r="S64" s="246"/>
      <c r="U64" s="246"/>
      <c r="V64" s="418"/>
    </row>
    <row r="65" spans="1:22" x14ac:dyDescent="0.25">
      <c r="A65" s="71"/>
      <c r="B65" s="9" t="s">
        <v>3</v>
      </c>
      <c r="C65" s="9" t="s">
        <v>174</v>
      </c>
      <c r="D65" s="39">
        <v>4.43</v>
      </c>
      <c r="E65" s="122">
        <v>7.02</v>
      </c>
      <c r="F65" s="95">
        <v>12.88</v>
      </c>
      <c r="G65" s="166">
        <f>E65-F65</f>
        <v>-5.8600000000000012</v>
      </c>
      <c r="H65" s="257">
        <v>15</v>
      </c>
      <c r="I65" s="284">
        <v>18.329999999999998</v>
      </c>
      <c r="J65" s="380">
        <f t="shared" si="3"/>
        <v>4.1376975169300225</v>
      </c>
      <c r="K65" s="239">
        <f>H65-I65</f>
        <v>-3.3299999999999983</v>
      </c>
      <c r="L65" s="384">
        <f>(ABS(H65-I65))/I65</f>
        <v>0.18166939443535179</v>
      </c>
      <c r="M65" s="401">
        <v>18</v>
      </c>
      <c r="N65" s="239">
        <v>5.1100000000000003</v>
      </c>
      <c r="O65" s="260"/>
      <c r="P65" s="239"/>
      <c r="Q65" s="260"/>
      <c r="R65" s="239"/>
      <c r="S65" s="260"/>
      <c r="T65" s="239"/>
      <c r="U65" s="260"/>
      <c r="V65" s="401">
        <f>SUM(N63:N65)</f>
        <v>24.07</v>
      </c>
    </row>
    <row r="66" spans="1:22" x14ac:dyDescent="0.25">
      <c r="A66" s="3" t="s">
        <v>21</v>
      </c>
      <c r="B66" s="15"/>
      <c r="C66" s="3"/>
      <c r="D66" s="37"/>
      <c r="E66" s="99"/>
      <c r="F66" s="83"/>
      <c r="G66" s="115"/>
      <c r="H66" s="70"/>
      <c r="J66" s="288"/>
      <c r="K66" s="70"/>
      <c r="L66" s="268"/>
    </row>
    <row r="67" spans="1:22" x14ac:dyDescent="0.25">
      <c r="A67" s="71"/>
      <c r="B67" s="9" t="s">
        <v>3</v>
      </c>
      <c r="C67" s="9" t="s">
        <v>44</v>
      </c>
      <c r="D67" s="39">
        <v>3.55</v>
      </c>
      <c r="E67" s="122">
        <v>13.77</v>
      </c>
      <c r="F67" s="95">
        <v>22</v>
      </c>
      <c r="G67" s="122">
        <f>E67-F67</f>
        <v>-8.23</v>
      </c>
      <c r="H67" s="255">
        <v>21.8</v>
      </c>
      <c r="I67" s="251">
        <v>18.940000000000001</v>
      </c>
      <c r="J67" s="288">
        <f t="shared" si="3"/>
        <v>5.3352112676056347</v>
      </c>
      <c r="K67" s="70">
        <f t="shared" ref="K67:K74" si="15">H67-I67</f>
        <v>2.8599999999999994</v>
      </c>
      <c r="L67" s="253">
        <f t="shared" ref="L67:L74" si="16">(ABS(H67-I67))/I67</f>
        <v>0.15100316789862719</v>
      </c>
      <c r="M67" s="248">
        <v>20</v>
      </c>
      <c r="N67" s="70">
        <v>17.079999999999998</v>
      </c>
    </row>
    <row r="68" spans="1:22" x14ac:dyDescent="0.25">
      <c r="A68" s="71"/>
      <c r="B68" s="9" t="s">
        <v>86</v>
      </c>
      <c r="C68" s="9" t="s">
        <v>45</v>
      </c>
      <c r="D68" s="39">
        <v>1.9</v>
      </c>
      <c r="E68" s="122">
        <v>7.47</v>
      </c>
      <c r="F68" s="95">
        <v>8.77</v>
      </c>
      <c r="G68" s="122">
        <f t="shared" ref="G68:G74" si="17">E68-F68</f>
        <v>-1.2999999999999998</v>
      </c>
      <c r="H68" s="227">
        <v>11.8</v>
      </c>
      <c r="I68" s="251">
        <v>8.73</v>
      </c>
      <c r="J68" s="288">
        <f t="shared" si="3"/>
        <v>4.5947368421052639</v>
      </c>
      <c r="K68" s="70">
        <f t="shared" si="15"/>
        <v>3.0700000000000003</v>
      </c>
      <c r="L68" s="253">
        <f t="shared" si="16"/>
        <v>0.3516609392898053</v>
      </c>
      <c r="M68" s="248">
        <v>8</v>
      </c>
      <c r="N68" s="70">
        <v>11.12</v>
      </c>
    </row>
    <row r="69" spans="1:22" s="70" customFormat="1" x14ac:dyDescent="0.25">
      <c r="A69" s="71"/>
      <c r="B69" s="9" t="s">
        <v>179</v>
      </c>
      <c r="C69" s="9" t="s">
        <v>180</v>
      </c>
      <c r="D69" s="39">
        <v>5</v>
      </c>
      <c r="E69" s="122"/>
      <c r="F69" s="95"/>
      <c r="G69" s="122"/>
      <c r="H69" s="227"/>
      <c r="I69" s="251"/>
      <c r="J69" s="288"/>
      <c r="L69" s="253"/>
      <c r="M69" s="248">
        <v>10</v>
      </c>
      <c r="N69" s="70">
        <v>12</v>
      </c>
      <c r="O69" s="246"/>
      <c r="Q69" s="246"/>
      <c r="S69" s="246"/>
      <c r="U69" s="246"/>
      <c r="V69" s="412"/>
    </row>
    <row r="70" spans="1:22" x14ac:dyDescent="0.25">
      <c r="A70" s="71"/>
      <c r="B70" s="18" t="s">
        <v>7</v>
      </c>
      <c r="C70" s="18" t="s">
        <v>92</v>
      </c>
      <c r="D70" s="125">
        <v>9.1</v>
      </c>
      <c r="E70" s="136">
        <v>40.96</v>
      </c>
      <c r="F70" s="97">
        <v>34.729999999999997</v>
      </c>
      <c r="G70" s="122">
        <f t="shared" si="17"/>
        <v>6.230000000000004</v>
      </c>
      <c r="H70" s="259">
        <v>35</v>
      </c>
      <c r="I70" s="251">
        <v>51.36</v>
      </c>
      <c r="J70" s="288">
        <f t="shared" si="3"/>
        <v>5.6439560439560443</v>
      </c>
      <c r="K70" s="70">
        <f t="shared" si="15"/>
        <v>-16.36</v>
      </c>
      <c r="L70" s="253">
        <f t="shared" si="16"/>
        <v>0.31853582554517135</v>
      </c>
      <c r="M70" s="248">
        <v>35</v>
      </c>
      <c r="N70" s="70">
        <v>29.45</v>
      </c>
    </row>
    <row r="71" spans="1:22" x14ac:dyDescent="0.25">
      <c r="A71" s="71"/>
      <c r="B71" s="12"/>
      <c r="C71" s="147" t="s">
        <v>114</v>
      </c>
      <c r="D71" s="193">
        <v>3.55</v>
      </c>
      <c r="E71" s="182">
        <v>13.77</v>
      </c>
      <c r="F71" s="171">
        <v>22</v>
      </c>
      <c r="G71" s="156">
        <f t="shared" si="17"/>
        <v>-8.23</v>
      </c>
      <c r="H71" s="70">
        <f>H67</f>
        <v>21.8</v>
      </c>
      <c r="I71" s="251">
        <f>I67</f>
        <v>18.940000000000001</v>
      </c>
      <c r="J71" s="288"/>
      <c r="K71" s="70">
        <f t="shared" si="15"/>
        <v>2.8599999999999994</v>
      </c>
      <c r="L71" s="253">
        <f t="shared" si="16"/>
        <v>0.15100316789862719</v>
      </c>
    </row>
    <row r="72" spans="1:22" x14ac:dyDescent="0.25">
      <c r="A72" s="71"/>
      <c r="B72" s="12"/>
      <c r="C72" s="71" t="s">
        <v>118</v>
      </c>
      <c r="D72" s="194">
        <v>1.9</v>
      </c>
      <c r="E72" s="160">
        <v>7.47</v>
      </c>
      <c r="F72" s="145">
        <v>8.77</v>
      </c>
      <c r="G72" s="166">
        <f t="shared" si="17"/>
        <v>-1.2999999999999998</v>
      </c>
      <c r="H72" s="70">
        <f>H68</f>
        <v>11.8</v>
      </c>
      <c r="I72" s="251">
        <f>I68</f>
        <v>8.73</v>
      </c>
      <c r="J72" s="288"/>
      <c r="K72" s="70">
        <f t="shared" si="15"/>
        <v>3.0700000000000003</v>
      </c>
      <c r="L72" s="253">
        <f t="shared" si="16"/>
        <v>0.3516609392898053</v>
      </c>
    </row>
    <row r="73" spans="1:22" ht="15.75" thickBot="1" x14ac:dyDescent="0.3">
      <c r="A73" s="71"/>
      <c r="B73" s="69"/>
      <c r="C73" s="152" t="s">
        <v>116</v>
      </c>
      <c r="D73" s="195">
        <v>9.1</v>
      </c>
      <c r="E73" s="183">
        <v>40.96</v>
      </c>
      <c r="F73" s="178">
        <v>34.729999999999997</v>
      </c>
      <c r="G73" s="164">
        <f t="shared" si="17"/>
        <v>6.230000000000004</v>
      </c>
      <c r="H73" s="259">
        <f t="shared" ref="H73:I73" si="18">H70</f>
        <v>35</v>
      </c>
      <c r="I73" s="251">
        <f t="shared" si="18"/>
        <v>51.36</v>
      </c>
      <c r="J73" s="288"/>
      <c r="K73" s="70">
        <f t="shared" si="15"/>
        <v>-16.36</v>
      </c>
      <c r="L73" s="253">
        <f t="shared" si="16"/>
        <v>0.31853582554517135</v>
      </c>
    </row>
    <row r="74" spans="1:22" ht="15.75" thickTop="1" x14ac:dyDescent="0.25">
      <c r="A74" s="71"/>
      <c r="B74" s="9"/>
      <c r="C74" s="79" t="s">
        <v>117</v>
      </c>
      <c r="D74" s="393">
        <f>SUM(D71:D73)</f>
        <v>14.549999999999999</v>
      </c>
      <c r="E74" s="394">
        <f t="shared" ref="E74:F74" si="19">SUM(E71:E73)</f>
        <v>62.2</v>
      </c>
      <c r="F74" s="181">
        <f t="shared" si="19"/>
        <v>65.5</v>
      </c>
      <c r="G74" s="166">
        <f t="shared" si="17"/>
        <v>-3.2999999999999972</v>
      </c>
      <c r="H74" s="70">
        <f>SUM(H71:H72)</f>
        <v>33.6</v>
      </c>
      <c r="I74" s="284">
        <f>SUM(I71:I73)</f>
        <v>79.03</v>
      </c>
      <c r="J74" s="380"/>
      <c r="K74" s="239">
        <f t="shared" si="15"/>
        <v>-45.43</v>
      </c>
      <c r="L74" s="384">
        <f t="shared" si="16"/>
        <v>0.57484499557130198</v>
      </c>
      <c r="M74" s="401">
        <f>SUM(M67:M70)</f>
        <v>73</v>
      </c>
      <c r="N74" s="239"/>
      <c r="O74" s="260"/>
      <c r="P74" s="239"/>
      <c r="Q74" s="260"/>
      <c r="R74" s="239"/>
      <c r="S74" s="260"/>
      <c r="T74" s="239"/>
      <c r="U74" s="260"/>
      <c r="V74" s="401">
        <f>SUM(N67:N70)</f>
        <v>69.649999999999991</v>
      </c>
    </row>
    <row r="75" spans="1:22" x14ac:dyDescent="0.25">
      <c r="A75" s="3" t="s">
        <v>23</v>
      </c>
      <c r="B75" s="15"/>
      <c r="C75" s="15"/>
      <c r="D75" s="42"/>
      <c r="E75" s="99"/>
      <c r="F75" s="83"/>
      <c r="G75" s="115"/>
      <c r="H75" s="70"/>
      <c r="J75" s="288"/>
      <c r="K75" s="70"/>
      <c r="L75" s="268"/>
    </row>
    <row r="76" spans="1:22" s="70" customFormat="1" x14ac:dyDescent="0.25">
      <c r="A76" s="1"/>
      <c r="B76" s="8" t="s">
        <v>179</v>
      </c>
      <c r="C76" s="8" t="s">
        <v>181</v>
      </c>
      <c r="D76" s="403">
        <v>0.5</v>
      </c>
      <c r="E76" s="112"/>
      <c r="F76" s="65"/>
      <c r="G76" s="109"/>
      <c r="I76" s="251"/>
      <c r="J76" s="288"/>
      <c r="L76" s="268"/>
      <c r="M76" s="248">
        <v>1</v>
      </c>
      <c r="N76" s="70">
        <v>0.48</v>
      </c>
      <c r="O76" s="246"/>
      <c r="Q76" s="246"/>
      <c r="S76" s="246"/>
      <c r="U76" s="246"/>
      <c r="V76" s="412"/>
    </row>
    <row r="77" spans="1:22" s="70" customFormat="1" x14ac:dyDescent="0.25">
      <c r="A77" s="1"/>
      <c r="B77" s="8" t="s">
        <v>177</v>
      </c>
      <c r="C77" s="8"/>
      <c r="D77" s="403">
        <v>2</v>
      </c>
      <c r="E77" s="112"/>
      <c r="F77" s="65"/>
      <c r="G77" s="109"/>
      <c r="I77" s="251"/>
      <c r="J77" s="288"/>
      <c r="L77" s="268"/>
      <c r="M77" s="248">
        <v>2</v>
      </c>
      <c r="N77" s="70">
        <v>1.5</v>
      </c>
      <c r="O77" s="246"/>
      <c r="Q77" s="246"/>
      <c r="S77" s="246"/>
      <c r="U77" s="246"/>
      <c r="V77" s="412"/>
    </row>
    <row r="78" spans="1:22" x14ac:dyDescent="0.25">
      <c r="A78" s="71"/>
      <c r="B78" s="18" t="s">
        <v>7</v>
      </c>
      <c r="C78" s="18" t="s">
        <v>42</v>
      </c>
      <c r="D78" s="125">
        <v>6</v>
      </c>
      <c r="E78" s="136">
        <v>16.170000000000002</v>
      </c>
      <c r="F78" s="97">
        <v>27.14</v>
      </c>
      <c r="G78" s="122">
        <f>E78-F78</f>
        <v>-10.969999999999999</v>
      </c>
      <c r="H78" s="259">
        <v>24</v>
      </c>
      <c r="I78" s="251">
        <v>32.29</v>
      </c>
      <c r="J78" s="288">
        <f t="shared" ref="J78:J139" si="20">I78/D78</f>
        <v>5.3816666666666668</v>
      </c>
      <c r="K78" s="70">
        <f t="shared" ref="K78:K84" si="21">H78-I78</f>
        <v>-8.2899999999999991</v>
      </c>
      <c r="L78" s="253">
        <f t="shared" ref="L78:L84" si="22">(ABS(H78-I78))/I78</f>
        <v>0.25673583152678847</v>
      </c>
      <c r="M78" s="248">
        <v>30</v>
      </c>
      <c r="N78" s="70">
        <v>16.05</v>
      </c>
    </row>
    <row r="79" spans="1:22" x14ac:dyDescent="0.25">
      <c r="A79" s="71"/>
      <c r="B79" s="18" t="s">
        <v>7</v>
      </c>
      <c r="C79" s="18" t="s">
        <v>46</v>
      </c>
      <c r="D79" s="125">
        <v>3.8</v>
      </c>
      <c r="E79" s="136">
        <v>11.46</v>
      </c>
      <c r="F79" s="97">
        <v>16.02</v>
      </c>
      <c r="G79" s="122">
        <f t="shared" ref="G79:G84" si="23">E79-F79</f>
        <v>-4.5599999999999987</v>
      </c>
      <c r="H79" s="259">
        <v>15</v>
      </c>
      <c r="I79" s="251">
        <v>19.010000000000002</v>
      </c>
      <c r="J79" s="288">
        <f t="shared" si="20"/>
        <v>5.0026315789473692</v>
      </c>
      <c r="K79" s="70">
        <f t="shared" si="21"/>
        <v>-4.0100000000000016</v>
      </c>
      <c r="L79" s="253">
        <f t="shared" si="22"/>
        <v>0.21094160967911632</v>
      </c>
      <c r="M79" s="248">
        <v>18</v>
      </c>
      <c r="N79" s="70">
        <v>11.75</v>
      </c>
    </row>
    <row r="80" spans="1:22" x14ac:dyDescent="0.25">
      <c r="A80" s="71"/>
      <c r="B80" s="18" t="s">
        <v>7</v>
      </c>
      <c r="C80" s="18" t="s">
        <v>47</v>
      </c>
      <c r="D80" s="125">
        <v>2.5</v>
      </c>
      <c r="E80" s="136">
        <v>8.6</v>
      </c>
      <c r="F80" s="97">
        <v>11.9</v>
      </c>
      <c r="G80" s="122">
        <f t="shared" si="23"/>
        <v>-3.3000000000000007</v>
      </c>
      <c r="H80" s="259">
        <v>10</v>
      </c>
      <c r="I80" s="251">
        <v>17.97</v>
      </c>
      <c r="J80" s="288">
        <f t="shared" si="20"/>
        <v>7.1879999999999997</v>
      </c>
      <c r="K80" s="70">
        <f t="shared" si="21"/>
        <v>-7.9699999999999989</v>
      </c>
      <c r="L80" s="253">
        <f t="shared" si="22"/>
        <v>0.44351697273233165</v>
      </c>
      <c r="M80" s="248">
        <v>15</v>
      </c>
      <c r="N80" s="70">
        <v>12.06</v>
      </c>
    </row>
    <row r="81" spans="1:22" x14ac:dyDescent="0.25">
      <c r="A81" s="71"/>
      <c r="B81" s="18" t="s">
        <v>7</v>
      </c>
      <c r="C81" s="18" t="s">
        <v>91</v>
      </c>
      <c r="D81" s="125">
        <v>1.75</v>
      </c>
      <c r="E81" s="136">
        <v>4.2300000000000004</v>
      </c>
      <c r="F81" s="97">
        <v>7.49</v>
      </c>
      <c r="G81" s="122">
        <f t="shared" si="23"/>
        <v>-3.26</v>
      </c>
      <c r="H81" s="259">
        <v>5</v>
      </c>
      <c r="I81" s="251">
        <v>7.68</v>
      </c>
      <c r="J81" s="288">
        <f t="shared" si="20"/>
        <v>4.3885714285714288</v>
      </c>
      <c r="K81" s="70">
        <f t="shared" si="21"/>
        <v>-2.6799999999999997</v>
      </c>
      <c r="L81" s="253">
        <f t="shared" si="22"/>
        <v>0.34895833333333331</v>
      </c>
      <c r="M81" s="248">
        <v>7</v>
      </c>
      <c r="N81" s="70">
        <v>6.96</v>
      </c>
    </row>
    <row r="82" spans="1:22" x14ac:dyDescent="0.25">
      <c r="A82" s="71"/>
      <c r="B82" s="18" t="s">
        <v>7</v>
      </c>
      <c r="C82" s="196" t="s">
        <v>79</v>
      </c>
      <c r="D82" s="197">
        <v>5</v>
      </c>
      <c r="E82" s="201">
        <v>30.25</v>
      </c>
      <c r="F82" s="202">
        <v>30.74</v>
      </c>
      <c r="G82" s="213">
        <f t="shared" si="23"/>
        <v>-0.48999999999999844</v>
      </c>
      <c r="H82" s="259">
        <v>25</v>
      </c>
      <c r="I82" s="251">
        <v>32.56</v>
      </c>
      <c r="J82" s="288">
        <f t="shared" si="20"/>
        <v>6.5120000000000005</v>
      </c>
      <c r="K82" s="70">
        <f t="shared" si="21"/>
        <v>-7.5600000000000023</v>
      </c>
      <c r="L82" s="253">
        <f t="shared" si="22"/>
        <v>0.23218673218673225</v>
      </c>
      <c r="M82" s="248">
        <v>30</v>
      </c>
      <c r="N82" s="70">
        <v>30</v>
      </c>
    </row>
    <row r="83" spans="1:22" ht="15.75" thickBot="1" x14ac:dyDescent="0.3">
      <c r="A83" s="71"/>
      <c r="B83" s="69"/>
      <c r="C83" s="206" t="s">
        <v>116</v>
      </c>
      <c r="D83" s="178">
        <f>SUM(D78:D82)</f>
        <v>19.05</v>
      </c>
      <c r="E83" s="183">
        <f>SUM(E78:E82)</f>
        <v>70.710000000000008</v>
      </c>
      <c r="F83" s="178">
        <f>SUM(F78:F82)</f>
        <v>93.289999999999992</v>
      </c>
      <c r="G83" s="164">
        <f t="shared" si="23"/>
        <v>-22.579999999999984</v>
      </c>
      <c r="H83" s="70">
        <f>SUM(H78:H82)</f>
        <v>79</v>
      </c>
      <c r="I83" s="251">
        <f>SUM(I78:I82)</f>
        <v>109.50999999999999</v>
      </c>
      <c r="J83" s="288"/>
      <c r="K83" s="70">
        <f t="shared" si="21"/>
        <v>-30.509999999999991</v>
      </c>
      <c r="L83" s="253">
        <f t="shared" si="22"/>
        <v>0.2786046936352844</v>
      </c>
    </row>
    <row r="84" spans="1:22" ht="15.75" thickTop="1" x14ac:dyDescent="0.25">
      <c r="A84" s="71"/>
      <c r="B84" s="69"/>
      <c r="C84" s="207" t="s">
        <v>117</v>
      </c>
      <c r="D84" s="181">
        <v>19.05</v>
      </c>
      <c r="E84" s="160">
        <v>70.709999999999994</v>
      </c>
      <c r="F84" s="145">
        <v>93.29</v>
      </c>
      <c r="G84" s="166">
        <f t="shared" si="23"/>
        <v>-22.580000000000013</v>
      </c>
      <c r="H84" s="70">
        <f>SUM(H83:H83)</f>
        <v>79</v>
      </c>
      <c r="I84" s="284">
        <f>SUM(I83:I83)</f>
        <v>109.50999999999999</v>
      </c>
      <c r="J84" s="380"/>
      <c r="K84" s="239">
        <f t="shared" si="21"/>
        <v>-30.509999999999991</v>
      </c>
      <c r="L84" s="384">
        <f t="shared" si="22"/>
        <v>0.2786046936352844</v>
      </c>
      <c r="M84" s="400">
        <f>SUM(M76:M82)</f>
        <v>103</v>
      </c>
      <c r="N84" s="239"/>
      <c r="O84" s="260"/>
      <c r="P84" s="239"/>
      <c r="Q84" s="260"/>
      <c r="R84" s="239"/>
      <c r="S84" s="260"/>
      <c r="T84" s="239"/>
      <c r="U84" s="260"/>
      <c r="V84" s="401">
        <f>SUM(N76:N82)</f>
        <v>78.800000000000011</v>
      </c>
    </row>
    <row r="85" spans="1:22" x14ac:dyDescent="0.25">
      <c r="A85" s="3" t="s">
        <v>48</v>
      </c>
      <c r="B85" s="15"/>
      <c r="C85" s="3"/>
      <c r="D85" s="37"/>
      <c r="E85" s="99"/>
      <c r="F85" s="83"/>
      <c r="G85" s="115"/>
      <c r="H85" s="70"/>
      <c r="J85" s="288"/>
      <c r="K85" s="70"/>
      <c r="L85" s="268"/>
    </row>
    <row r="86" spans="1:22" x14ac:dyDescent="0.25">
      <c r="A86" s="71"/>
      <c r="B86" s="9" t="s">
        <v>3</v>
      </c>
      <c r="C86" s="9" t="s">
        <v>49</v>
      </c>
      <c r="D86" s="39">
        <v>5.07</v>
      </c>
      <c r="E86" s="122">
        <v>21.98</v>
      </c>
      <c r="F86" s="95">
        <v>16.75</v>
      </c>
      <c r="G86" s="122">
        <f>E86-F86</f>
        <v>5.23</v>
      </c>
      <c r="H86" s="257">
        <v>25</v>
      </c>
      <c r="I86" s="251">
        <v>30.52</v>
      </c>
      <c r="J86" s="288">
        <f t="shared" si="20"/>
        <v>6.0197238658777117</v>
      </c>
      <c r="K86" s="70">
        <f t="shared" ref="K86:K94" si="24">H86-I86</f>
        <v>-5.52</v>
      </c>
      <c r="L86" s="253">
        <f t="shared" ref="L86:L94" si="25">(ABS(H86-I86))/I86</f>
        <v>0.18086500655307994</v>
      </c>
      <c r="M86" s="248">
        <v>30</v>
      </c>
      <c r="N86" s="70">
        <v>29.91</v>
      </c>
      <c r="V86" s="6"/>
    </row>
    <row r="87" spans="1:22" x14ac:dyDescent="0.25">
      <c r="A87" s="71"/>
      <c r="B87" s="9" t="s">
        <v>86</v>
      </c>
      <c r="C87" s="9" t="s">
        <v>50</v>
      </c>
      <c r="D87" s="39">
        <v>1.23</v>
      </c>
      <c r="E87" s="122">
        <v>6.64</v>
      </c>
      <c r="F87" s="95">
        <v>5.35</v>
      </c>
      <c r="G87" s="122">
        <f t="shared" ref="G87:G99" si="26">E87-F87</f>
        <v>1.29</v>
      </c>
      <c r="H87" s="255">
        <v>4.8</v>
      </c>
      <c r="J87" s="288"/>
      <c r="K87" s="70">
        <f t="shared" si="24"/>
        <v>4.8</v>
      </c>
      <c r="L87" s="253" t="e">
        <f t="shared" si="25"/>
        <v>#DIV/0!</v>
      </c>
      <c r="N87" s="70">
        <v>2.7</v>
      </c>
      <c r="P87" s="70"/>
      <c r="V87" s="6"/>
    </row>
    <row r="88" spans="1:22" x14ac:dyDescent="0.25">
      <c r="A88" s="71"/>
      <c r="B88" s="9" t="s">
        <v>86</v>
      </c>
      <c r="C88" s="9" t="s">
        <v>51</v>
      </c>
      <c r="D88" s="39">
        <v>1.58</v>
      </c>
      <c r="E88" s="122">
        <v>7.57</v>
      </c>
      <c r="F88" s="95">
        <v>4.91</v>
      </c>
      <c r="G88" s="122">
        <f t="shared" si="26"/>
        <v>2.66</v>
      </c>
      <c r="H88" s="255">
        <v>3.6</v>
      </c>
      <c r="J88" s="288"/>
      <c r="K88" s="70">
        <f t="shared" si="24"/>
        <v>3.6</v>
      </c>
      <c r="L88" s="253" t="e">
        <f t="shared" si="25"/>
        <v>#DIV/0!</v>
      </c>
      <c r="N88" s="70">
        <v>17.79</v>
      </c>
      <c r="P88" s="70"/>
      <c r="R88" s="70"/>
      <c r="V88" s="6"/>
    </row>
    <row r="89" spans="1:22" x14ac:dyDescent="0.25">
      <c r="A89" s="71"/>
      <c r="B89" s="9" t="s">
        <v>86</v>
      </c>
      <c r="C89" s="9" t="s">
        <v>11</v>
      </c>
      <c r="D89" s="39">
        <v>0.21</v>
      </c>
      <c r="E89" s="122">
        <v>1.69</v>
      </c>
      <c r="F89" s="95">
        <v>0.92</v>
      </c>
      <c r="G89" s="122">
        <f t="shared" si="26"/>
        <v>0.76999999999999991</v>
      </c>
      <c r="H89" s="255">
        <v>0.9</v>
      </c>
      <c r="J89" s="288"/>
      <c r="K89" s="70">
        <f t="shared" si="24"/>
        <v>0.9</v>
      </c>
      <c r="L89" s="253" t="e">
        <f t="shared" si="25"/>
        <v>#DIV/0!</v>
      </c>
      <c r="N89" s="70">
        <v>6.34</v>
      </c>
      <c r="P89" s="70"/>
      <c r="R89" s="70"/>
      <c r="V89" s="6"/>
    </row>
    <row r="90" spans="1:22" x14ac:dyDescent="0.25">
      <c r="A90" s="1"/>
      <c r="B90" s="9" t="s">
        <v>86</v>
      </c>
      <c r="C90" s="9" t="s">
        <v>52</v>
      </c>
      <c r="D90" s="39">
        <v>0.68</v>
      </c>
      <c r="E90" s="122">
        <v>2.8</v>
      </c>
      <c r="F90" s="95">
        <v>0.75</v>
      </c>
      <c r="G90" s="122">
        <f t="shared" si="26"/>
        <v>2.0499999999999998</v>
      </c>
      <c r="H90" s="255">
        <v>2.5</v>
      </c>
      <c r="J90" s="288"/>
      <c r="K90" s="70">
        <f t="shared" si="24"/>
        <v>2.5</v>
      </c>
      <c r="L90" s="253" t="e">
        <f t="shared" si="25"/>
        <v>#DIV/0!</v>
      </c>
      <c r="P90" s="70"/>
      <c r="R90" s="70"/>
      <c r="V90" s="6"/>
    </row>
    <row r="91" spans="1:22" x14ac:dyDescent="0.25">
      <c r="A91" s="71"/>
      <c r="B91" s="9" t="s">
        <v>86</v>
      </c>
      <c r="C91" s="9" t="s">
        <v>53</v>
      </c>
      <c r="D91" s="39">
        <v>0.74</v>
      </c>
      <c r="E91" s="122">
        <v>4.0599999999999996</v>
      </c>
      <c r="F91" s="95">
        <v>6.08</v>
      </c>
      <c r="G91" s="122">
        <f t="shared" si="26"/>
        <v>-2.0200000000000005</v>
      </c>
      <c r="H91" s="255">
        <v>6.2</v>
      </c>
      <c r="J91" s="288"/>
      <c r="K91" s="70">
        <f t="shared" si="24"/>
        <v>6.2</v>
      </c>
      <c r="L91" s="253" t="e">
        <f t="shared" si="25"/>
        <v>#DIV/0!</v>
      </c>
      <c r="P91" s="70"/>
      <c r="R91" s="70"/>
      <c r="V91" s="6"/>
    </row>
    <row r="92" spans="1:22" x14ac:dyDescent="0.25">
      <c r="A92" s="71"/>
      <c r="B92" s="9" t="s">
        <v>86</v>
      </c>
      <c r="C92" s="9" t="s">
        <v>54</v>
      </c>
      <c r="D92" s="39">
        <v>1.1299999999999999</v>
      </c>
      <c r="E92" s="122">
        <v>6.08</v>
      </c>
      <c r="F92" s="138">
        <v>4.6900000000000004</v>
      </c>
      <c r="G92" s="122">
        <f t="shared" si="26"/>
        <v>1.3899999999999997</v>
      </c>
      <c r="H92" s="227">
        <v>4.4000000000000004</v>
      </c>
      <c r="J92" s="288"/>
      <c r="K92" s="70">
        <f t="shared" si="24"/>
        <v>4.4000000000000004</v>
      </c>
      <c r="L92" s="253" t="e">
        <f t="shared" si="25"/>
        <v>#DIV/0!</v>
      </c>
      <c r="P92" s="70"/>
      <c r="R92" s="70"/>
      <c r="V92" s="6"/>
    </row>
    <row r="93" spans="1:22" s="70" customFormat="1" x14ac:dyDescent="0.25">
      <c r="A93" s="71"/>
      <c r="B93" s="72" t="s">
        <v>86</v>
      </c>
      <c r="C93" s="72" t="s">
        <v>155</v>
      </c>
      <c r="D93" s="39">
        <v>5.57</v>
      </c>
      <c r="E93" s="122"/>
      <c r="F93" s="138"/>
      <c r="G93" s="122"/>
      <c r="H93" s="255">
        <v>22.4</v>
      </c>
      <c r="I93" s="251">
        <v>30.35</v>
      </c>
      <c r="J93" s="288">
        <f t="shared" si="20"/>
        <v>5.4488330341113107</v>
      </c>
      <c r="K93" s="70">
        <f>SUM(K87:K92)</f>
        <v>22.4</v>
      </c>
      <c r="L93" s="253">
        <f t="shared" si="25"/>
        <v>0.26194398682042841</v>
      </c>
      <c r="M93" s="248">
        <v>30</v>
      </c>
      <c r="O93" s="246"/>
      <c r="Q93" s="246"/>
      <c r="S93" s="246"/>
      <c r="U93" s="246"/>
      <c r="V93" s="6"/>
    </row>
    <row r="94" spans="1:22" x14ac:dyDescent="0.25">
      <c r="A94" s="71"/>
      <c r="B94" s="9" t="s">
        <v>89</v>
      </c>
      <c r="C94" s="9" t="s">
        <v>55</v>
      </c>
      <c r="D94" s="39">
        <v>6.15</v>
      </c>
      <c r="E94" s="122">
        <v>28.64</v>
      </c>
      <c r="F94" s="95">
        <v>18.73</v>
      </c>
      <c r="G94" s="122">
        <f t="shared" si="26"/>
        <v>9.91</v>
      </c>
      <c r="H94" s="257">
        <v>31.5</v>
      </c>
      <c r="I94" s="251">
        <v>37.21</v>
      </c>
      <c r="J94" s="288">
        <f t="shared" si="20"/>
        <v>6.0504065040650401</v>
      </c>
      <c r="K94" s="70">
        <f t="shared" si="24"/>
        <v>-5.7100000000000009</v>
      </c>
      <c r="L94" s="253">
        <f t="shared" si="25"/>
        <v>0.15345337274926096</v>
      </c>
      <c r="M94" s="248">
        <v>35</v>
      </c>
      <c r="V94" s="6"/>
    </row>
    <row r="95" spans="1:22" x14ac:dyDescent="0.25">
      <c r="A95" s="71"/>
      <c r="B95" s="72" t="s">
        <v>133</v>
      </c>
      <c r="C95" s="72" t="s">
        <v>5</v>
      </c>
      <c r="D95" s="214">
        <v>0</v>
      </c>
      <c r="E95" s="122">
        <v>5.67</v>
      </c>
      <c r="F95" s="95">
        <v>16.98</v>
      </c>
      <c r="G95" s="122">
        <f t="shared" si="26"/>
        <v>-11.31</v>
      </c>
      <c r="H95" s="227">
        <v>0</v>
      </c>
      <c r="J95" s="288"/>
      <c r="K95" s="70"/>
      <c r="L95" s="268"/>
      <c r="N95" s="70">
        <v>52.38</v>
      </c>
      <c r="V95" s="6"/>
    </row>
    <row r="96" spans="1:22" x14ac:dyDescent="0.25">
      <c r="A96" s="71"/>
      <c r="B96" s="12"/>
      <c r="C96" s="147" t="s">
        <v>114</v>
      </c>
      <c r="D96" s="171">
        <v>5.07</v>
      </c>
      <c r="E96" s="182">
        <v>21.98</v>
      </c>
      <c r="F96" s="171">
        <v>16.75</v>
      </c>
      <c r="G96" s="156">
        <f t="shared" si="26"/>
        <v>5.23</v>
      </c>
      <c r="H96" s="70">
        <f>SUM(H86)</f>
        <v>25</v>
      </c>
      <c r="I96" s="251">
        <f>SUM(I86)</f>
        <v>30.52</v>
      </c>
      <c r="J96" s="288"/>
      <c r="K96" s="70">
        <f>H96-I96</f>
        <v>-5.52</v>
      </c>
      <c r="L96" s="253">
        <f>(ABS(H96-I96))/I96</f>
        <v>0.18086500655307994</v>
      </c>
      <c r="V96" s="6"/>
    </row>
    <row r="97" spans="1:22" x14ac:dyDescent="0.25">
      <c r="A97" s="71"/>
      <c r="B97" s="12"/>
      <c r="C97" s="71" t="s">
        <v>118</v>
      </c>
      <c r="D97" s="145">
        <f>SUM(D87:D94)</f>
        <v>17.29</v>
      </c>
      <c r="E97" s="160">
        <f>SUM(E87:E95)</f>
        <v>63.15</v>
      </c>
      <c r="F97" s="172">
        <f>SUM(F87:F95)</f>
        <v>58.41</v>
      </c>
      <c r="G97" s="166">
        <f t="shared" si="26"/>
        <v>4.740000000000002</v>
      </c>
      <c r="H97" s="70">
        <f>SUM(H93:H95)</f>
        <v>53.9</v>
      </c>
      <c r="I97" s="251">
        <f>SUM(I87:I95)</f>
        <v>67.56</v>
      </c>
      <c r="J97" s="288"/>
      <c r="K97" s="70">
        <f>H97-I97</f>
        <v>-13.660000000000004</v>
      </c>
      <c r="L97" s="253">
        <f>(ABS(H97-I97))/I97</f>
        <v>0.20219064535227951</v>
      </c>
      <c r="V97" s="6"/>
    </row>
    <row r="98" spans="1:22" ht="15.75" thickBot="1" x14ac:dyDescent="0.3">
      <c r="A98" s="71"/>
      <c r="B98" s="69"/>
      <c r="C98" s="152" t="s">
        <v>116</v>
      </c>
      <c r="D98" s="178">
        <v>0</v>
      </c>
      <c r="E98" s="183">
        <v>0</v>
      </c>
      <c r="F98" s="178">
        <v>0</v>
      </c>
      <c r="G98" s="164">
        <v>0</v>
      </c>
      <c r="H98" s="70">
        <v>0</v>
      </c>
      <c r="I98" s="251">
        <v>0</v>
      </c>
      <c r="J98" s="288"/>
      <c r="K98" s="70"/>
      <c r="L98" s="253"/>
      <c r="V98" s="6"/>
    </row>
    <row r="99" spans="1:22" ht="15.75" thickTop="1" x14ac:dyDescent="0.25">
      <c r="A99" s="71"/>
      <c r="B99" s="69"/>
      <c r="C99" s="79" t="s">
        <v>117</v>
      </c>
      <c r="D99" s="393">
        <f>SUM(D96,D97)</f>
        <v>22.36</v>
      </c>
      <c r="E99" s="394">
        <f t="shared" ref="E99:F99" si="27">SUM(E96,E97)</f>
        <v>85.13</v>
      </c>
      <c r="F99" s="181">
        <f t="shared" si="27"/>
        <v>75.16</v>
      </c>
      <c r="G99" s="166">
        <f t="shared" si="26"/>
        <v>9.9699999999999989</v>
      </c>
      <c r="H99" s="70">
        <f>SUM(H96:H98)</f>
        <v>78.900000000000006</v>
      </c>
      <c r="I99" s="284">
        <f>SUM(I96:I98)</f>
        <v>98.08</v>
      </c>
      <c r="J99" s="380"/>
      <c r="K99" s="239">
        <f>H99-I99</f>
        <v>-19.179999999999993</v>
      </c>
      <c r="L99" s="384">
        <f>(ABS(H99-I99))/I99</f>
        <v>0.19555464926590532</v>
      </c>
      <c r="M99" s="401">
        <f>SUM(M86:M95)</f>
        <v>95</v>
      </c>
      <c r="N99" s="239"/>
      <c r="O99" s="260"/>
      <c r="P99" s="239"/>
      <c r="Q99" s="260"/>
      <c r="R99" s="239"/>
      <c r="S99" s="260"/>
      <c r="T99" s="239"/>
      <c r="U99" s="260"/>
      <c r="V99" s="401">
        <f>SUM(N86:N95)</f>
        <v>109.12</v>
      </c>
    </row>
    <row r="100" spans="1:22" x14ac:dyDescent="0.25">
      <c r="A100" s="3" t="s">
        <v>25</v>
      </c>
      <c r="B100" s="15"/>
      <c r="C100" s="3"/>
      <c r="D100" s="37"/>
      <c r="E100" s="99"/>
      <c r="F100" s="83"/>
      <c r="G100" s="114"/>
      <c r="H100" s="70"/>
      <c r="J100" s="288"/>
      <c r="K100" s="70"/>
      <c r="L100" s="268"/>
    </row>
    <row r="101" spans="1:22" s="239" customFormat="1" x14ac:dyDescent="0.25">
      <c r="A101" s="44"/>
      <c r="B101" s="119" t="s">
        <v>3</v>
      </c>
      <c r="C101" s="119" t="s">
        <v>56</v>
      </c>
      <c r="D101" s="209">
        <v>1.49</v>
      </c>
      <c r="E101" s="213">
        <v>6.36</v>
      </c>
      <c r="F101" s="202">
        <v>8.1</v>
      </c>
      <c r="G101" s="223">
        <f>E101-F101</f>
        <v>-1.7399999999999993</v>
      </c>
      <c r="H101" s="385">
        <v>7.8</v>
      </c>
      <c r="I101" s="284">
        <v>10.050000000000001</v>
      </c>
      <c r="J101" s="380">
        <f t="shared" si="20"/>
        <v>6.7449664429530207</v>
      </c>
      <c r="K101" s="239">
        <f>H101-I101</f>
        <v>-2.2500000000000009</v>
      </c>
      <c r="L101" s="384">
        <f>(ABS(H101-I101))/I101</f>
        <v>0.22388059701492544</v>
      </c>
      <c r="M101" s="401">
        <v>8</v>
      </c>
      <c r="N101" s="239">
        <v>7.67</v>
      </c>
      <c r="O101" s="260"/>
      <c r="Q101" s="260"/>
      <c r="S101" s="260"/>
      <c r="U101" s="260"/>
      <c r="V101" s="401">
        <v>7.67</v>
      </c>
    </row>
    <row r="102" spans="1:22" x14ac:dyDescent="0.25">
      <c r="A102" s="1" t="s">
        <v>93</v>
      </c>
      <c r="B102" s="8"/>
      <c r="C102" s="1"/>
      <c r="D102" s="87"/>
      <c r="E102" s="112"/>
      <c r="F102" s="65"/>
      <c r="G102" s="113"/>
      <c r="H102" s="70"/>
      <c r="J102" s="288"/>
      <c r="K102" s="70"/>
      <c r="L102" s="268"/>
    </row>
    <row r="103" spans="1:22" s="239" customFormat="1" x14ac:dyDescent="0.25">
      <c r="A103" s="44"/>
      <c r="B103" s="381" t="s">
        <v>7</v>
      </c>
      <c r="C103" s="381" t="s">
        <v>99</v>
      </c>
      <c r="D103" s="382">
        <v>1</v>
      </c>
      <c r="E103" s="383">
        <v>0</v>
      </c>
      <c r="F103" s="202">
        <v>4.84</v>
      </c>
      <c r="G103" s="282">
        <f>E103-F103</f>
        <v>-4.84</v>
      </c>
      <c r="H103" s="283">
        <v>5</v>
      </c>
      <c r="I103" s="284">
        <v>4.93</v>
      </c>
      <c r="J103" s="380">
        <f t="shared" si="20"/>
        <v>4.93</v>
      </c>
      <c r="K103" s="239">
        <f>H103-I103</f>
        <v>7.0000000000000284E-2</v>
      </c>
      <c r="L103" s="384">
        <f>(ABS(H103-I103))/I103</f>
        <v>1.4198782961460505E-2</v>
      </c>
      <c r="M103" s="399"/>
      <c r="O103" s="260"/>
      <c r="Q103" s="260"/>
      <c r="S103" s="260"/>
      <c r="U103" s="260"/>
      <c r="V103" s="414"/>
    </row>
    <row r="104" spans="1:22" x14ac:dyDescent="0.25">
      <c r="A104" s="43" t="s">
        <v>103</v>
      </c>
      <c r="B104" s="8"/>
      <c r="C104" s="79"/>
      <c r="D104" s="64"/>
      <c r="E104" s="113"/>
      <c r="F104" s="80"/>
      <c r="G104" s="113"/>
      <c r="H104" s="70"/>
      <c r="J104" s="288"/>
      <c r="K104" s="70"/>
      <c r="L104" s="268"/>
    </row>
    <row r="105" spans="1:22" s="239" customFormat="1" x14ac:dyDescent="0.25">
      <c r="A105" s="44"/>
      <c r="B105" s="278" t="s">
        <v>7</v>
      </c>
      <c r="C105" s="278" t="s">
        <v>121</v>
      </c>
      <c r="D105" s="279">
        <v>3.98</v>
      </c>
      <c r="E105" s="280">
        <v>0</v>
      </c>
      <c r="F105" s="281">
        <v>5.52</v>
      </c>
      <c r="G105" s="282">
        <f>E105-F105</f>
        <v>-5.52</v>
      </c>
      <c r="H105" s="283">
        <v>10</v>
      </c>
      <c r="I105" s="284">
        <v>10.029999999999999</v>
      </c>
      <c r="J105" s="380">
        <f t="shared" si="20"/>
        <v>2.5201005025125625</v>
      </c>
      <c r="K105" s="239">
        <f>H105-I105</f>
        <v>-2.9999999999999361E-2</v>
      </c>
      <c r="L105" s="285">
        <f>(ABS(H105-I105))/I105</f>
        <v>2.9910269192422096E-3</v>
      </c>
      <c r="M105" s="400">
        <v>14</v>
      </c>
      <c r="N105" s="239">
        <v>19.36</v>
      </c>
      <c r="O105" s="260"/>
      <c r="Q105" s="260"/>
      <c r="S105" s="260"/>
      <c r="U105" s="260"/>
      <c r="V105" s="401">
        <v>19.36</v>
      </c>
    </row>
    <row r="106" spans="1:22" s="70" customFormat="1" x14ac:dyDescent="0.25">
      <c r="A106" s="43" t="s">
        <v>142</v>
      </c>
      <c r="B106" s="126"/>
      <c r="C106" s="126"/>
      <c r="D106" s="127"/>
      <c r="E106" s="111"/>
      <c r="F106" s="97"/>
      <c r="G106" s="113"/>
      <c r="H106" s="259"/>
      <c r="I106" s="251"/>
      <c r="J106" s="288"/>
      <c r="K106" s="70">
        <f t="shared" ref="K106:K111" si="28">H106-I106</f>
        <v>0</v>
      </c>
      <c r="L106" s="269" t="e">
        <f t="shared" ref="L106:L111" si="29">(ABS(H106-I106))/I106</f>
        <v>#DIV/0!</v>
      </c>
      <c r="M106" s="248"/>
      <c r="O106" s="246"/>
      <c r="Q106" s="246"/>
      <c r="S106" s="246"/>
      <c r="U106" s="246"/>
      <c r="V106" s="412"/>
    </row>
    <row r="107" spans="1:22" s="239" customFormat="1" x14ac:dyDescent="0.25">
      <c r="A107" s="44"/>
      <c r="B107" s="278" t="s">
        <v>7</v>
      </c>
      <c r="C107" s="278" t="s">
        <v>99</v>
      </c>
      <c r="D107" s="279">
        <v>2</v>
      </c>
      <c r="E107" s="280"/>
      <c r="F107" s="281"/>
      <c r="G107" s="282"/>
      <c r="H107" s="283">
        <v>10</v>
      </c>
      <c r="I107" s="284">
        <v>11.69</v>
      </c>
      <c r="J107" s="380">
        <f t="shared" si="20"/>
        <v>5.8449999999999998</v>
      </c>
      <c r="K107" s="239">
        <f t="shared" si="28"/>
        <v>-1.6899999999999995</v>
      </c>
      <c r="L107" s="285">
        <f t="shared" si="29"/>
        <v>0.14456800684345592</v>
      </c>
      <c r="M107" s="399"/>
      <c r="O107" s="260"/>
      <c r="Q107" s="260"/>
      <c r="S107" s="260"/>
      <c r="U107" s="260"/>
      <c r="V107" s="414"/>
    </row>
    <row r="108" spans="1:22" s="70" customFormat="1" x14ac:dyDescent="0.25">
      <c r="A108" s="43" t="s">
        <v>184</v>
      </c>
      <c r="B108" s="94"/>
      <c r="C108" s="126"/>
      <c r="D108" s="127"/>
      <c r="E108" s="111"/>
      <c r="F108" s="97"/>
      <c r="G108" s="113"/>
      <c r="H108" s="259"/>
      <c r="I108" s="251"/>
      <c r="J108" s="288"/>
      <c r="K108" s="408"/>
      <c r="L108" s="269"/>
      <c r="M108" s="404"/>
      <c r="O108" s="246"/>
      <c r="Q108" s="246"/>
      <c r="S108" s="246"/>
      <c r="U108" s="246"/>
      <c r="V108" s="412"/>
    </row>
    <row r="109" spans="1:22" s="239" customFormat="1" x14ac:dyDescent="0.25">
      <c r="A109" s="44"/>
      <c r="B109" s="278" t="s">
        <v>185</v>
      </c>
      <c r="C109" s="278"/>
      <c r="D109" s="279">
        <v>4.95</v>
      </c>
      <c r="E109" s="280"/>
      <c r="F109" s="281"/>
      <c r="G109" s="282"/>
      <c r="H109" s="283"/>
      <c r="I109" s="284"/>
      <c r="J109" s="380"/>
      <c r="L109" s="285"/>
      <c r="M109" s="401">
        <v>5</v>
      </c>
      <c r="N109" s="239">
        <v>7.46</v>
      </c>
      <c r="O109" s="260"/>
      <c r="Q109" s="260"/>
      <c r="S109" s="260"/>
      <c r="U109" s="260"/>
      <c r="V109" s="401">
        <v>7.46</v>
      </c>
    </row>
    <row r="110" spans="1:22" s="408" customFormat="1" x14ac:dyDescent="0.25">
      <c r="A110" s="43" t="s">
        <v>152</v>
      </c>
      <c r="B110" s="126"/>
      <c r="C110" s="126"/>
      <c r="D110" s="127"/>
      <c r="E110" s="111"/>
      <c r="F110" s="97"/>
      <c r="G110" s="113"/>
      <c r="H110" s="409"/>
      <c r="I110" s="251"/>
      <c r="J110" s="288"/>
      <c r="K110" s="70">
        <f t="shared" si="28"/>
        <v>0</v>
      </c>
      <c r="L110" s="269" t="e">
        <f t="shared" si="29"/>
        <v>#DIV/0!</v>
      </c>
      <c r="M110" s="404"/>
      <c r="O110" s="246"/>
      <c r="Q110" s="246"/>
      <c r="S110" s="246"/>
      <c r="U110" s="246"/>
      <c r="V110" s="413"/>
    </row>
    <row r="111" spans="1:22" s="239" customFormat="1" x14ac:dyDescent="0.25">
      <c r="A111" s="44"/>
      <c r="B111" s="278" t="s">
        <v>153</v>
      </c>
      <c r="C111" s="278" t="s">
        <v>121</v>
      </c>
      <c r="D111" s="279">
        <v>1.68</v>
      </c>
      <c r="E111" s="280"/>
      <c r="F111" s="281"/>
      <c r="G111" s="282"/>
      <c r="H111" s="283">
        <v>10</v>
      </c>
      <c r="I111" s="284">
        <v>8.4</v>
      </c>
      <c r="J111" s="380">
        <f t="shared" si="20"/>
        <v>5</v>
      </c>
      <c r="K111" s="239">
        <f t="shared" si="28"/>
        <v>1.5999999999999996</v>
      </c>
      <c r="L111" s="285">
        <f t="shared" si="29"/>
        <v>0.19047619047619044</v>
      </c>
      <c r="M111" s="401">
        <v>10</v>
      </c>
      <c r="N111" s="239">
        <v>10.73</v>
      </c>
      <c r="O111" s="260"/>
      <c r="Q111" s="260"/>
      <c r="S111" s="260"/>
      <c r="U111" s="260"/>
      <c r="V111" s="401">
        <v>10.73</v>
      </c>
    </row>
    <row r="112" spans="1:22" x14ac:dyDescent="0.25">
      <c r="A112" s="43" t="s">
        <v>27</v>
      </c>
      <c r="B112" s="8"/>
      <c r="C112" s="1"/>
      <c r="D112" s="87"/>
      <c r="E112" s="112"/>
      <c r="F112" s="65"/>
      <c r="G112" s="109"/>
      <c r="H112" s="70"/>
      <c r="J112" s="288"/>
      <c r="K112" s="70"/>
      <c r="L112" s="268"/>
    </row>
    <row r="113" spans="1:22" x14ac:dyDescent="0.25">
      <c r="A113" s="71"/>
      <c r="B113" s="9" t="s">
        <v>3</v>
      </c>
      <c r="C113" s="9" t="s">
        <v>57</v>
      </c>
      <c r="D113" s="39">
        <v>7.0000000000000007E-2</v>
      </c>
      <c r="E113" s="122">
        <v>0.32</v>
      </c>
      <c r="F113" s="95">
        <v>0.25</v>
      </c>
      <c r="G113" s="122">
        <f>E113-F113</f>
        <v>7.0000000000000007E-2</v>
      </c>
      <c r="H113" s="259">
        <v>0.25</v>
      </c>
      <c r="I113" s="251">
        <v>0.8</v>
      </c>
      <c r="J113" s="288">
        <f t="shared" si="20"/>
        <v>11.428571428571429</v>
      </c>
      <c r="K113" s="70">
        <f t="shared" ref="K113:K118" si="30">H113-I113</f>
        <v>-0.55000000000000004</v>
      </c>
      <c r="L113" s="253">
        <f t="shared" ref="L113:L118" si="31">(ABS(H113-I113))/I113</f>
        <v>0.6875</v>
      </c>
      <c r="M113" s="248">
        <v>0.5</v>
      </c>
      <c r="N113" s="70">
        <v>0.4</v>
      </c>
    </row>
    <row r="114" spans="1:22" x14ac:dyDescent="0.25">
      <c r="A114" s="1"/>
      <c r="B114" s="9"/>
      <c r="C114" s="9" t="s">
        <v>58</v>
      </c>
      <c r="D114" s="39">
        <v>2.36</v>
      </c>
      <c r="E114" s="122">
        <v>10.74</v>
      </c>
      <c r="F114" s="95">
        <v>9.5399999999999991</v>
      </c>
      <c r="G114" s="122">
        <f t="shared" ref="G114:G121" si="32">E114-F114</f>
        <v>1.2000000000000011</v>
      </c>
      <c r="H114" s="257">
        <v>8.1</v>
      </c>
      <c r="I114" s="251">
        <v>10.02</v>
      </c>
      <c r="J114" s="288">
        <f t="shared" si="20"/>
        <v>4.2457627118644066</v>
      </c>
      <c r="K114" s="70">
        <f t="shared" si="30"/>
        <v>-1.92</v>
      </c>
      <c r="L114" s="253">
        <f t="shared" si="31"/>
        <v>0.19161676646706588</v>
      </c>
      <c r="M114" s="248">
        <v>10</v>
      </c>
      <c r="N114" s="70">
        <v>12.94</v>
      </c>
    </row>
    <row r="115" spans="1:22" x14ac:dyDescent="0.25">
      <c r="A115" s="71"/>
      <c r="B115" s="9"/>
      <c r="C115" s="9" t="s">
        <v>59</v>
      </c>
      <c r="D115" s="39">
        <v>1.17</v>
      </c>
      <c r="E115" s="122">
        <v>5.42</v>
      </c>
      <c r="F115" s="95">
        <v>4.26</v>
      </c>
      <c r="G115" s="122">
        <f t="shared" si="32"/>
        <v>1.1600000000000001</v>
      </c>
      <c r="H115" s="257">
        <v>5.2</v>
      </c>
      <c r="I115" s="251">
        <v>4.7699999999999996</v>
      </c>
      <c r="J115" s="288">
        <f t="shared" si="20"/>
        <v>4.0769230769230766</v>
      </c>
      <c r="K115" s="70">
        <f t="shared" si="30"/>
        <v>0.4300000000000006</v>
      </c>
      <c r="L115" s="253">
        <f t="shared" si="31"/>
        <v>9.0146750524109143E-2</v>
      </c>
      <c r="M115" s="248">
        <v>5</v>
      </c>
      <c r="N115" s="70">
        <v>6.14</v>
      </c>
    </row>
    <row r="116" spans="1:22" x14ac:dyDescent="0.25">
      <c r="A116" s="71"/>
      <c r="B116" s="9"/>
      <c r="C116" s="9" t="s">
        <v>60</v>
      </c>
      <c r="D116" s="39">
        <v>0.95</v>
      </c>
      <c r="E116" s="122">
        <v>5.52</v>
      </c>
      <c r="F116" s="95">
        <v>3.13</v>
      </c>
      <c r="G116" s="122">
        <f t="shared" si="32"/>
        <v>2.3899999999999997</v>
      </c>
      <c r="H116" s="227">
        <v>3.8</v>
      </c>
      <c r="I116" s="251">
        <v>3.88</v>
      </c>
      <c r="J116" s="288">
        <f t="shared" si="20"/>
        <v>4.0842105263157897</v>
      </c>
      <c r="K116" s="70">
        <f t="shared" si="30"/>
        <v>-8.0000000000000071E-2</v>
      </c>
      <c r="L116" s="253">
        <f t="shared" si="31"/>
        <v>2.0618556701030948E-2</v>
      </c>
      <c r="M116" s="248">
        <v>4</v>
      </c>
      <c r="N116" s="70">
        <v>4.49</v>
      </c>
    </row>
    <row r="117" spans="1:22" x14ac:dyDescent="0.25">
      <c r="A117" s="71"/>
      <c r="B117" s="18" t="s">
        <v>7</v>
      </c>
      <c r="C117" s="18" t="s">
        <v>121</v>
      </c>
      <c r="D117" s="125">
        <v>3.02</v>
      </c>
      <c r="E117" s="136">
        <v>0</v>
      </c>
      <c r="F117" s="97">
        <v>17.004999999999999</v>
      </c>
      <c r="G117" s="122">
        <f t="shared" si="32"/>
        <v>-17.004999999999999</v>
      </c>
      <c r="H117" s="259">
        <v>10</v>
      </c>
      <c r="I117" s="251">
        <v>9.19</v>
      </c>
      <c r="J117" s="288">
        <f t="shared" si="20"/>
        <v>3.0430463576158937</v>
      </c>
      <c r="K117" s="70">
        <f t="shared" si="30"/>
        <v>0.8100000000000005</v>
      </c>
      <c r="L117" s="253">
        <f t="shared" si="31"/>
        <v>8.8139281828074054E-2</v>
      </c>
      <c r="M117" s="248">
        <v>20</v>
      </c>
      <c r="N117" s="70">
        <v>20.89</v>
      </c>
    </row>
    <row r="118" spans="1:22" x14ac:dyDescent="0.25">
      <c r="A118" s="71"/>
      <c r="B118" s="12"/>
      <c r="C118" s="147" t="s">
        <v>114</v>
      </c>
      <c r="D118" s="171">
        <f>SUM(D113:D116)</f>
        <v>4.55</v>
      </c>
      <c r="E118" s="182">
        <f>SUM(E113:E116)</f>
        <v>22</v>
      </c>
      <c r="F118" s="171">
        <f>SUM(F113:F116)</f>
        <v>17.18</v>
      </c>
      <c r="G118" s="156">
        <f t="shared" si="32"/>
        <v>4.82</v>
      </c>
      <c r="H118" s="70">
        <f>SUM(H113:H116)</f>
        <v>17.350000000000001</v>
      </c>
      <c r="I118" s="251">
        <f>SUM(I113:I116)</f>
        <v>19.47</v>
      </c>
      <c r="J118" s="288"/>
      <c r="K118" s="70">
        <f t="shared" si="30"/>
        <v>-2.1199999999999974</v>
      </c>
      <c r="L118" s="253">
        <f t="shared" si="31"/>
        <v>0.10888546481766809</v>
      </c>
    </row>
    <row r="119" spans="1:22" x14ac:dyDescent="0.25">
      <c r="A119" s="71"/>
      <c r="B119" s="12"/>
      <c r="C119" s="71" t="s">
        <v>119</v>
      </c>
      <c r="D119" s="145">
        <v>0</v>
      </c>
      <c r="E119" s="160">
        <v>0</v>
      </c>
      <c r="F119" s="145">
        <v>0</v>
      </c>
      <c r="G119" s="166">
        <f t="shared" si="32"/>
        <v>0</v>
      </c>
      <c r="H119" s="257">
        <v>0</v>
      </c>
      <c r="I119" s="251">
        <v>0</v>
      </c>
      <c r="J119" s="288"/>
      <c r="K119" s="70"/>
      <c r="L119" s="253"/>
    </row>
    <row r="120" spans="1:22" ht="15.75" thickBot="1" x14ac:dyDescent="0.3">
      <c r="A120" s="71"/>
      <c r="B120" s="69"/>
      <c r="C120" s="152" t="s">
        <v>116</v>
      </c>
      <c r="D120" s="178">
        <v>3.02</v>
      </c>
      <c r="E120" s="183">
        <v>0</v>
      </c>
      <c r="F120" s="178">
        <v>17.010000000000002</v>
      </c>
      <c r="G120" s="164">
        <f t="shared" si="32"/>
        <v>-17.010000000000002</v>
      </c>
      <c r="H120" s="70">
        <f>H117</f>
        <v>10</v>
      </c>
      <c r="I120" s="251">
        <f>I117</f>
        <v>9.19</v>
      </c>
      <c r="J120" s="288"/>
      <c r="K120" s="70">
        <f>H120-I120</f>
        <v>0.8100000000000005</v>
      </c>
      <c r="L120" s="253">
        <f>(ABS(H120-I120))/I120</f>
        <v>8.8139281828074054E-2</v>
      </c>
    </row>
    <row r="121" spans="1:22" ht="15.75" thickTop="1" x14ac:dyDescent="0.25">
      <c r="A121" s="71"/>
      <c r="B121" s="69"/>
      <c r="C121" s="79" t="s">
        <v>117</v>
      </c>
      <c r="D121" s="181">
        <f>SUM(D118:D120)</f>
        <v>7.57</v>
      </c>
      <c r="E121" s="160">
        <v>22</v>
      </c>
      <c r="F121" s="145">
        <f>SUM(F118,F120)</f>
        <v>34.19</v>
      </c>
      <c r="G121" s="166">
        <f t="shared" si="32"/>
        <v>-12.189999999999998</v>
      </c>
      <c r="H121" s="70">
        <f>SUM(H118:H120)</f>
        <v>27.35</v>
      </c>
      <c r="I121" s="284">
        <f>SUM(I118:I120)</f>
        <v>28.659999999999997</v>
      </c>
      <c r="J121" s="380"/>
      <c r="K121" s="239">
        <f>H121-I121</f>
        <v>-1.3099999999999952</v>
      </c>
      <c r="L121" s="384">
        <f>(ABS(H121-I121))/I121</f>
        <v>4.5708304256803743E-2</v>
      </c>
      <c r="M121" s="401">
        <f>SUM(M113:M117)</f>
        <v>39.5</v>
      </c>
      <c r="N121" s="239"/>
      <c r="O121" s="260"/>
      <c r="P121" s="239"/>
      <c r="Q121" s="260"/>
      <c r="R121" s="239"/>
      <c r="S121" s="260"/>
      <c r="T121" s="239"/>
      <c r="U121" s="260"/>
      <c r="V121" s="401">
        <f>SUM(N113:N118)</f>
        <v>44.86</v>
      </c>
    </row>
    <row r="122" spans="1:22" x14ac:dyDescent="0.25">
      <c r="A122" s="3" t="s">
        <v>28</v>
      </c>
      <c r="B122" s="15"/>
      <c r="C122" s="3"/>
      <c r="D122" s="37"/>
      <c r="E122" s="99"/>
      <c r="F122" s="83"/>
      <c r="G122" s="115"/>
      <c r="H122" s="70"/>
      <c r="J122" s="288"/>
      <c r="K122" s="70"/>
      <c r="L122" s="268"/>
    </row>
    <row r="123" spans="1:22" x14ac:dyDescent="0.25">
      <c r="A123" s="71"/>
      <c r="B123" s="9" t="s">
        <v>3</v>
      </c>
      <c r="C123" s="9" t="s">
        <v>53</v>
      </c>
      <c r="D123" s="39">
        <v>1.1000000000000001</v>
      </c>
      <c r="E123" s="122">
        <v>4.45</v>
      </c>
      <c r="F123" s="95">
        <v>4.53</v>
      </c>
      <c r="G123" s="122">
        <f>E123-F123</f>
        <v>-8.0000000000000071E-2</v>
      </c>
      <c r="H123" s="70">
        <v>4.5999999999999996</v>
      </c>
      <c r="I123" s="251">
        <v>5.36</v>
      </c>
      <c r="J123" s="288">
        <f t="shared" si="20"/>
        <v>4.872727272727273</v>
      </c>
      <c r="K123" s="70">
        <f t="shared" ref="K123:K128" si="33">H123-I123</f>
        <v>-0.76000000000000068</v>
      </c>
      <c r="L123" s="253">
        <f t="shared" ref="L123:L128" si="34">(ABS(H123-I123))/I123</f>
        <v>0.14179104477611951</v>
      </c>
      <c r="M123" s="248">
        <v>5</v>
      </c>
      <c r="N123" s="70">
        <v>4.46</v>
      </c>
      <c r="P123" s="70"/>
    </row>
    <row r="124" spans="1:22" x14ac:dyDescent="0.25">
      <c r="A124" s="71"/>
      <c r="B124" s="9" t="s">
        <v>3</v>
      </c>
      <c r="C124" s="9" t="s">
        <v>61</v>
      </c>
      <c r="D124" s="39">
        <v>0.83</v>
      </c>
      <c r="E124" s="122">
        <v>4.0599999999999996</v>
      </c>
      <c r="F124" s="95">
        <v>4.49</v>
      </c>
      <c r="G124" s="122">
        <f t="shared" ref="G124:G130" si="35">E124-F124</f>
        <v>-0.4300000000000006</v>
      </c>
      <c r="H124" s="254">
        <v>3</v>
      </c>
      <c r="I124" s="251">
        <v>6.04</v>
      </c>
      <c r="J124" s="288">
        <f t="shared" si="20"/>
        <v>7.2771084337349405</v>
      </c>
      <c r="K124" s="70">
        <f t="shared" si="33"/>
        <v>-3.04</v>
      </c>
      <c r="L124" s="253">
        <f t="shared" si="34"/>
        <v>0.50331125827814571</v>
      </c>
      <c r="M124" s="248">
        <v>5</v>
      </c>
      <c r="N124" s="70">
        <v>4.6500000000000004</v>
      </c>
      <c r="P124" s="70"/>
    </row>
    <row r="125" spans="1:22" x14ac:dyDescent="0.25">
      <c r="A125" s="71"/>
      <c r="B125" s="72" t="s">
        <v>86</v>
      </c>
      <c r="C125" s="9"/>
      <c r="D125" s="39">
        <v>0.05</v>
      </c>
      <c r="E125" s="124">
        <v>0.24</v>
      </c>
      <c r="F125" s="95">
        <v>0.23</v>
      </c>
      <c r="G125" s="122">
        <f t="shared" si="35"/>
        <v>9.9999999999999811E-3</v>
      </c>
      <c r="H125" s="259">
        <v>0.23</v>
      </c>
      <c r="I125" s="251">
        <v>0.24</v>
      </c>
      <c r="J125" s="288">
        <f t="shared" si="20"/>
        <v>4.8</v>
      </c>
      <c r="K125" s="70">
        <f t="shared" si="33"/>
        <v>-9.9999999999999811E-3</v>
      </c>
      <c r="L125" s="253">
        <f t="shared" si="34"/>
        <v>4.1666666666666588E-2</v>
      </c>
      <c r="M125" s="248">
        <v>0.25</v>
      </c>
      <c r="N125" s="70">
        <v>0.14000000000000001</v>
      </c>
    </row>
    <row r="126" spans="1:22" x14ac:dyDescent="0.25">
      <c r="A126" s="71"/>
      <c r="B126" s="9" t="s">
        <v>6</v>
      </c>
      <c r="C126" s="9"/>
      <c r="D126" s="39">
        <v>13.45</v>
      </c>
      <c r="E126" s="122">
        <v>58.79</v>
      </c>
      <c r="F126" s="95">
        <v>61.53</v>
      </c>
      <c r="G126" s="122">
        <f t="shared" si="35"/>
        <v>-2.740000000000002</v>
      </c>
      <c r="H126" s="258">
        <v>48.8</v>
      </c>
      <c r="I126" s="251">
        <v>51.54</v>
      </c>
      <c r="J126" s="288">
        <f t="shared" si="20"/>
        <v>3.8319702602230485</v>
      </c>
      <c r="K126" s="70">
        <f t="shared" si="33"/>
        <v>-2.740000000000002</v>
      </c>
      <c r="L126" s="253">
        <f t="shared" si="34"/>
        <v>5.316259216142806E-2</v>
      </c>
      <c r="M126" s="248">
        <v>52</v>
      </c>
      <c r="N126" s="70">
        <v>54.8</v>
      </c>
    </row>
    <row r="127" spans="1:22" x14ac:dyDescent="0.25">
      <c r="A127" s="71"/>
      <c r="B127" s="12"/>
      <c r="C127" s="147" t="s">
        <v>114</v>
      </c>
      <c r="D127" s="171">
        <f>SUM(D123:D124,D126)</f>
        <v>15.379999999999999</v>
      </c>
      <c r="E127" s="182">
        <f>SUM(E123:E124,E126)</f>
        <v>67.3</v>
      </c>
      <c r="F127" s="171">
        <f>SUM(F123:F124,F126)</f>
        <v>70.55</v>
      </c>
      <c r="G127" s="156">
        <f t="shared" si="35"/>
        <v>-3.25</v>
      </c>
      <c r="H127" s="254">
        <f>SUM(H123:H124,H126)</f>
        <v>56.4</v>
      </c>
      <c r="I127" s="386">
        <f>SUM(I123:I124,I126)</f>
        <v>62.94</v>
      </c>
      <c r="J127" s="288"/>
      <c r="K127" s="70">
        <f t="shared" si="33"/>
        <v>-6.5399999999999991</v>
      </c>
      <c r="L127" s="253">
        <f t="shared" si="34"/>
        <v>0.10390848427073403</v>
      </c>
    </row>
    <row r="128" spans="1:22" x14ac:dyDescent="0.25">
      <c r="A128" s="71"/>
      <c r="B128" s="12"/>
      <c r="C128" s="71" t="s">
        <v>118</v>
      </c>
      <c r="D128" s="145">
        <v>0.05</v>
      </c>
      <c r="E128" s="160">
        <v>0.24</v>
      </c>
      <c r="F128" s="145">
        <v>0.23</v>
      </c>
      <c r="G128" s="166">
        <f t="shared" si="35"/>
        <v>9.9999999999999811E-3</v>
      </c>
      <c r="H128" s="70">
        <f>H125</f>
        <v>0.23</v>
      </c>
      <c r="I128" s="251">
        <f>I125</f>
        <v>0.24</v>
      </c>
      <c r="J128" s="288"/>
      <c r="K128" s="70">
        <f t="shared" si="33"/>
        <v>-9.9999999999999811E-3</v>
      </c>
      <c r="L128" s="253">
        <f t="shared" si="34"/>
        <v>4.1666666666666588E-2</v>
      </c>
    </row>
    <row r="129" spans="1:22" ht="15.75" thickBot="1" x14ac:dyDescent="0.3">
      <c r="A129" s="71"/>
      <c r="B129" s="69"/>
      <c r="C129" s="152" t="s">
        <v>116</v>
      </c>
      <c r="D129" s="178">
        <v>0</v>
      </c>
      <c r="E129" s="183">
        <v>0</v>
      </c>
      <c r="F129" s="178">
        <v>0</v>
      </c>
      <c r="G129" s="164">
        <f t="shared" si="35"/>
        <v>0</v>
      </c>
      <c r="H129" s="70">
        <v>0</v>
      </c>
      <c r="I129" s="251">
        <v>0</v>
      </c>
      <c r="J129" s="288"/>
      <c r="K129" s="70"/>
      <c r="L129" s="253"/>
    </row>
    <row r="130" spans="1:22" ht="15.75" thickTop="1" x14ac:dyDescent="0.25">
      <c r="A130" s="71"/>
      <c r="B130" s="69"/>
      <c r="C130" s="79" t="s">
        <v>117</v>
      </c>
      <c r="D130" s="181">
        <f>SUM(D127:D128)</f>
        <v>15.43</v>
      </c>
      <c r="E130" s="160">
        <f t="shared" ref="E130:F130" si="36">SUM(E127:E128)</f>
        <v>67.539999999999992</v>
      </c>
      <c r="F130" s="145">
        <f t="shared" si="36"/>
        <v>70.78</v>
      </c>
      <c r="G130" s="166">
        <f t="shared" si="35"/>
        <v>-3.2400000000000091</v>
      </c>
      <c r="H130" s="254">
        <f>SUM(H127:H129)</f>
        <v>56.629999999999995</v>
      </c>
      <c r="I130" s="266">
        <f>SUM(I127:I129)</f>
        <v>63.18</v>
      </c>
      <c r="J130" s="380"/>
      <c r="K130" s="239">
        <f>H130-I130</f>
        <v>-6.5500000000000043</v>
      </c>
      <c r="L130" s="384">
        <f>(ABS(H130-I130))/I130</f>
        <v>0.10367204811649262</v>
      </c>
      <c r="M130" s="401">
        <f>SUM(M123:M126)</f>
        <v>62.25</v>
      </c>
      <c r="N130" s="239"/>
      <c r="O130" s="260"/>
      <c r="P130" s="239"/>
      <c r="Q130" s="260"/>
      <c r="R130" s="239"/>
      <c r="S130" s="260"/>
      <c r="T130" s="239"/>
      <c r="U130" s="260"/>
      <c r="V130" s="401">
        <f>SUM(N123:N126)</f>
        <v>64.05</v>
      </c>
    </row>
    <row r="131" spans="1:22" x14ac:dyDescent="0.25">
      <c r="A131" s="3" t="s">
        <v>62</v>
      </c>
      <c r="B131" s="15"/>
      <c r="C131" s="3"/>
      <c r="D131" s="37"/>
      <c r="E131" s="99"/>
      <c r="F131" s="83"/>
      <c r="G131" s="115"/>
      <c r="H131" s="70"/>
      <c r="J131" s="288"/>
      <c r="K131" s="70"/>
      <c r="L131" s="268"/>
    </row>
    <row r="132" spans="1:22" x14ac:dyDescent="0.25">
      <c r="A132" s="71"/>
      <c r="B132" s="18" t="s">
        <v>7</v>
      </c>
      <c r="C132" s="18" t="s">
        <v>46</v>
      </c>
      <c r="D132" s="125">
        <v>11.2</v>
      </c>
      <c r="E132" s="136">
        <v>59.91</v>
      </c>
      <c r="F132" s="97">
        <v>66.959999999999994</v>
      </c>
      <c r="G132" s="122">
        <f>E132-F132</f>
        <v>-7.0499999999999972</v>
      </c>
      <c r="H132" s="255">
        <v>60</v>
      </c>
      <c r="I132" s="251">
        <v>58.81</v>
      </c>
      <c r="J132" s="288">
        <f t="shared" si="20"/>
        <v>5.2508928571428575</v>
      </c>
      <c r="K132" s="70">
        <f t="shared" ref="K132:K137" si="37">H132-I132</f>
        <v>1.1899999999999977</v>
      </c>
      <c r="L132" s="253">
        <f>(ABS(H132-I132))/I132</f>
        <v>2.0234653970413154E-2</v>
      </c>
      <c r="M132" s="248">
        <v>60</v>
      </c>
      <c r="N132" s="70">
        <v>60.47</v>
      </c>
    </row>
    <row r="133" spans="1:22" x14ac:dyDescent="0.25">
      <c r="A133" s="71"/>
      <c r="B133" s="18" t="s">
        <v>7</v>
      </c>
      <c r="C133" s="72" t="s">
        <v>99</v>
      </c>
      <c r="D133" s="125">
        <v>7</v>
      </c>
      <c r="E133" s="136">
        <v>0</v>
      </c>
      <c r="F133" s="95">
        <v>48.88</v>
      </c>
      <c r="G133" s="122">
        <f t="shared" ref="G133:G137" si="38">E133-F133</f>
        <v>-48.88</v>
      </c>
      <c r="H133" s="255">
        <v>30</v>
      </c>
      <c r="I133" s="251">
        <v>38.14</v>
      </c>
      <c r="J133" s="288">
        <f t="shared" si="20"/>
        <v>5.4485714285714284</v>
      </c>
      <c r="K133" s="70">
        <f t="shared" si="37"/>
        <v>-8.14</v>
      </c>
      <c r="L133" s="253">
        <f>(ABS(H133-I133))/I133</f>
        <v>0.21342422653382276</v>
      </c>
      <c r="M133" s="248">
        <v>35</v>
      </c>
      <c r="N133" s="70">
        <v>29.61</v>
      </c>
    </row>
    <row r="134" spans="1:22" x14ac:dyDescent="0.25">
      <c r="A134" s="71"/>
      <c r="B134" s="12"/>
      <c r="C134" s="147" t="s">
        <v>114</v>
      </c>
      <c r="D134" s="190">
        <v>0</v>
      </c>
      <c r="E134" s="191">
        <v>0</v>
      </c>
      <c r="F134" s="190">
        <v>0</v>
      </c>
      <c r="G134" s="156">
        <f t="shared" si="38"/>
        <v>0</v>
      </c>
      <c r="H134" s="70">
        <v>0</v>
      </c>
      <c r="I134" s="251">
        <v>0</v>
      </c>
      <c r="J134" s="288"/>
      <c r="K134" s="70">
        <f t="shared" si="37"/>
        <v>0</v>
      </c>
      <c r="L134" s="253"/>
    </row>
    <row r="135" spans="1:22" x14ac:dyDescent="0.25">
      <c r="A135" s="71"/>
      <c r="B135" s="12"/>
      <c r="C135" s="71" t="s">
        <v>119</v>
      </c>
      <c r="D135" s="138">
        <v>0</v>
      </c>
      <c r="E135" s="136">
        <v>0</v>
      </c>
      <c r="F135" s="97">
        <v>0</v>
      </c>
      <c r="G135" s="166">
        <f t="shared" si="38"/>
        <v>0</v>
      </c>
      <c r="H135" s="70">
        <v>0</v>
      </c>
      <c r="I135" s="251">
        <v>0</v>
      </c>
      <c r="J135" s="288"/>
      <c r="K135" s="70">
        <f t="shared" si="37"/>
        <v>0</v>
      </c>
      <c r="L135" s="253"/>
    </row>
    <row r="136" spans="1:22" ht="15.75" thickBot="1" x14ac:dyDescent="0.3">
      <c r="A136" s="71"/>
      <c r="B136" s="69"/>
      <c r="C136" s="152" t="s">
        <v>116</v>
      </c>
      <c r="D136" s="189">
        <f>SUM(D132:D133)</f>
        <v>18.2</v>
      </c>
      <c r="E136" s="164">
        <v>59.91</v>
      </c>
      <c r="F136" s="165">
        <f>SUM(F132:F133)</f>
        <v>115.84</v>
      </c>
      <c r="G136" s="164">
        <f t="shared" si="38"/>
        <v>-55.930000000000007</v>
      </c>
      <c r="H136" s="70">
        <f>SUM(H132:H133)</f>
        <v>90</v>
      </c>
      <c r="I136" s="251">
        <f>SUM(I132:I133)</f>
        <v>96.95</v>
      </c>
      <c r="J136" s="288"/>
      <c r="K136" s="70">
        <f t="shared" si="37"/>
        <v>-6.9500000000000028</v>
      </c>
      <c r="L136" s="253">
        <f>(ABS(H136-I136))/I136</f>
        <v>7.1686436307374965E-2</v>
      </c>
    </row>
    <row r="137" spans="1:22" ht="15.75" thickTop="1" x14ac:dyDescent="0.25">
      <c r="A137" s="71"/>
      <c r="B137" s="69"/>
      <c r="C137" s="79" t="s">
        <v>117</v>
      </c>
      <c r="D137" s="130">
        <v>18.2</v>
      </c>
      <c r="E137" s="166">
        <v>59.91</v>
      </c>
      <c r="F137" s="153">
        <v>115.84</v>
      </c>
      <c r="G137" s="166">
        <f t="shared" si="38"/>
        <v>-55.930000000000007</v>
      </c>
      <c r="H137" s="70">
        <f>SUM(H134:H136)</f>
        <v>90</v>
      </c>
      <c r="I137" s="284">
        <f>SUM(I134:I136)</f>
        <v>96.95</v>
      </c>
      <c r="J137" s="380"/>
      <c r="K137" s="239">
        <f t="shared" si="37"/>
        <v>-6.9500000000000028</v>
      </c>
      <c r="L137" s="384">
        <f>(ABS(H137-I137))/I137</f>
        <v>7.1686436307374965E-2</v>
      </c>
      <c r="M137" s="401">
        <f>SUM(M132:M133)</f>
        <v>95</v>
      </c>
      <c r="N137" s="239"/>
      <c r="O137" s="260"/>
      <c r="P137" s="239"/>
      <c r="Q137" s="260"/>
      <c r="R137" s="239"/>
      <c r="S137" s="260"/>
      <c r="T137" s="239"/>
      <c r="U137" s="260"/>
      <c r="V137" s="401">
        <f>SUM(N132:N136)</f>
        <v>90.08</v>
      </c>
    </row>
    <row r="138" spans="1:22" x14ac:dyDescent="0.25">
      <c r="A138" s="13" t="s">
        <v>30</v>
      </c>
      <c r="B138" s="15"/>
      <c r="C138" s="3"/>
      <c r="D138" s="37"/>
      <c r="E138" s="99"/>
      <c r="F138" s="83"/>
      <c r="G138" s="115"/>
      <c r="H138" s="70"/>
      <c r="J138" s="288"/>
      <c r="K138" s="70"/>
      <c r="L138" s="268"/>
    </row>
    <row r="139" spans="1:22" x14ac:dyDescent="0.25">
      <c r="A139" s="71"/>
      <c r="B139" s="9" t="s">
        <v>3</v>
      </c>
      <c r="C139" s="9" t="s">
        <v>57</v>
      </c>
      <c r="D139" s="39">
        <v>0.66</v>
      </c>
      <c r="E139" s="122">
        <v>3.36</v>
      </c>
      <c r="F139" s="95">
        <v>2.82</v>
      </c>
      <c r="G139" s="122">
        <f>E139-F139</f>
        <v>0.54</v>
      </c>
      <c r="H139" s="257">
        <v>3.3</v>
      </c>
      <c r="I139" s="251">
        <v>2.57</v>
      </c>
      <c r="J139" s="288">
        <f t="shared" si="20"/>
        <v>3.8939393939393936</v>
      </c>
      <c r="K139" s="70">
        <f t="shared" ref="K139:K148" si="39">H139-I139</f>
        <v>0.73</v>
      </c>
      <c r="L139" s="253">
        <f t="shared" ref="L139:L148" si="40">(ABS(H139-I139))/I139</f>
        <v>0.28404669260700388</v>
      </c>
      <c r="M139" s="248">
        <v>2.5</v>
      </c>
      <c r="N139" s="70">
        <v>4.18</v>
      </c>
    </row>
    <row r="140" spans="1:22" x14ac:dyDescent="0.25">
      <c r="A140" s="1"/>
      <c r="B140" s="9" t="s">
        <v>3</v>
      </c>
      <c r="C140" s="9" t="s">
        <v>51</v>
      </c>
      <c r="D140" s="39">
        <v>2.79</v>
      </c>
      <c r="E140" s="122">
        <v>13.42</v>
      </c>
      <c r="F140" s="95">
        <v>16.260000000000002</v>
      </c>
      <c r="G140" s="122">
        <f t="shared" ref="G140:G151" si="41">E140-F140</f>
        <v>-2.8400000000000016</v>
      </c>
      <c r="H140" s="255">
        <v>7.5</v>
      </c>
      <c r="I140" s="251">
        <v>9.8000000000000007</v>
      </c>
      <c r="J140" s="288">
        <f t="shared" ref="J140:J191" si="42">I140/D140</f>
        <v>3.5125448028673838</v>
      </c>
      <c r="K140" s="70">
        <f t="shared" si="39"/>
        <v>-2.3000000000000007</v>
      </c>
      <c r="L140" s="253">
        <f t="shared" si="40"/>
        <v>0.23469387755102047</v>
      </c>
      <c r="M140" s="248">
        <v>10</v>
      </c>
      <c r="N140" s="70">
        <v>14.58</v>
      </c>
    </row>
    <row r="141" spans="1:22" x14ac:dyDescent="0.25">
      <c r="A141" s="71"/>
      <c r="B141" s="9" t="s">
        <v>3</v>
      </c>
      <c r="C141" s="9" t="s">
        <v>63</v>
      </c>
      <c r="D141" s="39">
        <v>2.7</v>
      </c>
      <c r="E141" s="122">
        <v>10.86</v>
      </c>
      <c r="F141" s="95">
        <v>8.07</v>
      </c>
      <c r="G141" s="122">
        <f t="shared" si="41"/>
        <v>2.7899999999999991</v>
      </c>
      <c r="H141" s="227">
        <v>7.5</v>
      </c>
      <c r="I141" s="251">
        <v>7.68</v>
      </c>
      <c r="J141" s="288">
        <f t="shared" si="42"/>
        <v>2.8444444444444441</v>
      </c>
      <c r="K141" s="70">
        <f t="shared" si="39"/>
        <v>-0.17999999999999972</v>
      </c>
      <c r="L141" s="253">
        <f t="shared" si="40"/>
        <v>2.3437499999999965E-2</v>
      </c>
      <c r="M141" s="248">
        <v>8</v>
      </c>
      <c r="N141" s="70">
        <v>14.36</v>
      </c>
    </row>
    <row r="142" spans="1:22" x14ac:dyDescent="0.25">
      <c r="A142" s="71"/>
      <c r="B142" s="9" t="s">
        <v>3</v>
      </c>
      <c r="C142" s="9" t="s">
        <v>64</v>
      </c>
      <c r="D142" s="39">
        <v>0.85</v>
      </c>
      <c r="E142" s="122">
        <v>3.21</v>
      </c>
      <c r="F142" s="95">
        <v>1.4</v>
      </c>
      <c r="G142" s="122">
        <f t="shared" si="41"/>
        <v>1.81</v>
      </c>
      <c r="H142" s="227">
        <v>2</v>
      </c>
      <c r="I142" s="251">
        <v>1.3</v>
      </c>
      <c r="J142" s="288">
        <f t="shared" si="42"/>
        <v>1.5294117647058825</v>
      </c>
      <c r="K142" s="70">
        <f t="shared" si="39"/>
        <v>0.7</v>
      </c>
      <c r="L142" s="253">
        <f t="shared" si="40"/>
        <v>0.53846153846153844</v>
      </c>
      <c r="M142" s="248">
        <v>1.5</v>
      </c>
      <c r="N142" s="70">
        <v>3.33</v>
      </c>
      <c r="P142" s="70"/>
      <c r="R142" s="70"/>
    </row>
    <row r="143" spans="1:22" x14ac:dyDescent="0.25">
      <c r="A143" s="71"/>
      <c r="B143" s="9" t="s">
        <v>3</v>
      </c>
      <c r="C143" s="9" t="s">
        <v>45</v>
      </c>
      <c r="D143" s="39">
        <v>0.78</v>
      </c>
      <c r="E143" s="122">
        <v>2.7</v>
      </c>
      <c r="F143" s="95">
        <v>1.67</v>
      </c>
      <c r="G143" s="122">
        <f t="shared" si="41"/>
        <v>1.0300000000000002</v>
      </c>
      <c r="H143" s="257">
        <v>2.2000000000000002</v>
      </c>
      <c r="I143" s="251">
        <v>1.1000000000000001</v>
      </c>
      <c r="J143" s="288">
        <f t="shared" si="42"/>
        <v>1.4102564102564104</v>
      </c>
      <c r="K143" s="70">
        <f t="shared" si="39"/>
        <v>1.1000000000000001</v>
      </c>
      <c r="L143" s="253">
        <f t="shared" si="40"/>
        <v>1</v>
      </c>
      <c r="M143" s="248">
        <v>2</v>
      </c>
      <c r="N143" s="70">
        <v>4.09</v>
      </c>
      <c r="P143" s="70"/>
      <c r="R143" s="70"/>
    </row>
    <row r="144" spans="1:22" x14ac:dyDescent="0.25">
      <c r="A144" s="1"/>
      <c r="B144" s="9" t="s">
        <v>3</v>
      </c>
      <c r="C144" s="9" t="s">
        <v>65</v>
      </c>
      <c r="D144" s="39">
        <v>4.92</v>
      </c>
      <c r="E144" s="122">
        <v>19.28</v>
      </c>
      <c r="F144" s="95">
        <v>21.55</v>
      </c>
      <c r="G144" s="122">
        <f t="shared" si="41"/>
        <v>-2.2699999999999996</v>
      </c>
      <c r="H144" s="227">
        <v>21.9</v>
      </c>
      <c r="I144" s="251">
        <v>15.29</v>
      </c>
      <c r="J144" s="288">
        <f t="shared" si="42"/>
        <v>3.1077235772357721</v>
      </c>
      <c r="K144" s="70">
        <f t="shared" si="39"/>
        <v>6.6099999999999994</v>
      </c>
      <c r="L144" s="253">
        <f t="shared" si="40"/>
        <v>0.43230869849574882</v>
      </c>
      <c r="M144" s="248">
        <v>20</v>
      </c>
      <c r="N144" s="70">
        <v>24.83</v>
      </c>
    </row>
    <row r="145" spans="1:22" s="70" customFormat="1" x14ac:dyDescent="0.25">
      <c r="A145" s="1"/>
      <c r="B145" s="9"/>
      <c r="C145" s="9" t="s">
        <v>171</v>
      </c>
      <c r="D145" s="39"/>
      <c r="E145" s="122"/>
      <c r="F145" s="95"/>
      <c r="G145" s="122"/>
      <c r="H145" s="227"/>
      <c r="I145" s="251"/>
      <c r="J145" s="288"/>
      <c r="L145" s="253"/>
      <c r="M145" s="248"/>
      <c r="O145" s="246"/>
      <c r="Q145" s="246"/>
      <c r="S145" s="246"/>
      <c r="U145" s="246"/>
      <c r="V145" s="412"/>
    </row>
    <row r="146" spans="1:22" s="70" customFormat="1" x14ac:dyDescent="0.25">
      <c r="A146" s="1"/>
      <c r="B146" s="9"/>
      <c r="C146" s="9" t="s">
        <v>172</v>
      </c>
      <c r="D146" s="39"/>
      <c r="E146" s="122"/>
      <c r="F146" s="95"/>
      <c r="G146" s="122"/>
      <c r="H146" s="227"/>
      <c r="I146" s="251"/>
      <c r="J146" s="288"/>
      <c r="L146" s="253"/>
      <c r="M146" s="248"/>
      <c r="O146" s="246"/>
      <c r="Q146" s="246"/>
      <c r="S146" s="246"/>
      <c r="U146" s="246"/>
      <c r="V146" s="412"/>
    </row>
    <row r="147" spans="1:22" x14ac:dyDescent="0.25">
      <c r="A147" s="1"/>
      <c r="B147" s="18" t="s">
        <v>7</v>
      </c>
      <c r="C147" s="18"/>
      <c r="D147" s="125">
        <v>6.41</v>
      </c>
      <c r="E147" s="136">
        <v>0</v>
      </c>
      <c r="F147" s="97">
        <v>23.13</v>
      </c>
      <c r="G147" s="122">
        <f t="shared" si="41"/>
        <v>-23.13</v>
      </c>
      <c r="H147" s="259">
        <v>23.13</v>
      </c>
      <c r="I147" s="251">
        <v>25.8</v>
      </c>
      <c r="J147" s="288">
        <f t="shared" si="42"/>
        <v>4.0249609984399379</v>
      </c>
      <c r="K147" s="70">
        <f t="shared" si="39"/>
        <v>-2.6700000000000017</v>
      </c>
      <c r="L147" s="269">
        <f t="shared" si="40"/>
        <v>0.10348837209302332</v>
      </c>
      <c r="M147" s="248">
        <v>20</v>
      </c>
    </row>
    <row r="148" spans="1:22" x14ac:dyDescent="0.25">
      <c r="A148" s="71"/>
      <c r="B148" s="12"/>
      <c r="C148" s="147" t="s">
        <v>114</v>
      </c>
      <c r="D148" s="171">
        <f>SUM(D139:D144)</f>
        <v>12.7</v>
      </c>
      <c r="E148" s="182">
        <f>SUM(E139:E144)</f>
        <v>52.830000000000005</v>
      </c>
      <c r="F148" s="171">
        <f>SUM(F139:F144)</f>
        <v>51.769999999999996</v>
      </c>
      <c r="G148" s="156">
        <f t="shared" si="41"/>
        <v>1.0600000000000094</v>
      </c>
      <c r="H148" s="70">
        <f>SUM(H139:H144)</f>
        <v>44.4</v>
      </c>
      <c r="I148" s="251">
        <f>SUM(I139:I144)</f>
        <v>37.74</v>
      </c>
      <c r="J148" s="288"/>
      <c r="K148" s="70">
        <f t="shared" si="39"/>
        <v>6.6599999999999966</v>
      </c>
      <c r="L148" s="253">
        <f t="shared" si="40"/>
        <v>0.17647058823529402</v>
      </c>
    </row>
    <row r="149" spans="1:22" x14ac:dyDescent="0.25">
      <c r="A149" s="71"/>
      <c r="B149" s="12"/>
      <c r="C149" s="71" t="s">
        <v>120</v>
      </c>
      <c r="D149" s="145">
        <v>0</v>
      </c>
      <c r="E149" s="160">
        <v>0</v>
      </c>
      <c r="F149" s="145">
        <v>0</v>
      </c>
      <c r="G149" s="166">
        <f t="shared" si="41"/>
        <v>0</v>
      </c>
      <c r="H149" s="70">
        <v>0</v>
      </c>
      <c r="I149" s="251">
        <v>0</v>
      </c>
      <c r="J149" s="288"/>
      <c r="K149" s="70"/>
      <c r="L149" s="253"/>
    </row>
    <row r="150" spans="1:22" ht="15.75" thickBot="1" x14ac:dyDescent="0.3">
      <c r="A150" s="71"/>
      <c r="B150" s="69"/>
      <c r="C150" s="152" t="s">
        <v>116</v>
      </c>
      <c r="D150" s="178">
        <v>6.41</v>
      </c>
      <c r="E150" s="183">
        <v>0</v>
      </c>
      <c r="F150" s="178">
        <v>23.13</v>
      </c>
      <c r="G150" s="164">
        <f t="shared" si="41"/>
        <v>-23.13</v>
      </c>
      <c r="H150" s="70">
        <f>SUM(H147)</f>
        <v>23.13</v>
      </c>
      <c r="I150" s="251">
        <f>SUM(I147)</f>
        <v>25.8</v>
      </c>
      <c r="J150" s="288"/>
      <c r="K150" s="70">
        <f>H150-I150</f>
        <v>-2.6700000000000017</v>
      </c>
      <c r="L150" s="269">
        <f>(ABS(H150-I150))/I150</f>
        <v>0.10348837209302332</v>
      </c>
    </row>
    <row r="151" spans="1:22" ht="15.75" thickTop="1" x14ac:dyDescent="0.25">
      <c r="A151" s="71"/>
      <c r="B151" s="69"/>
      <c r="C151" s="79" t="s">
        <v>117</v>
      </c>
      <c r="D151" s="181">
        <f>SUM(D148,D150)</f>
        <v>19.11</v>
      </c>
      <c r="E151" s="160">
        <v>52.83</v>
      </c>
      <c r="F151" s="145">
        <f>SUM(F148,F150)</f>
        <v>74.899999999999991</v>
      </c>
      <c r="G151" s="166">
        <f t="shared" si="41"/>
        <v>-22.069999999999993</v>
      </c>
      <c r="H151" s="70">
        <f>SUM(H148:H150)</f>
        <v>67.53</v>
      </c>
      <c r="I151" s="284">
        <f>SUM(I148:I150)</f>
        <v>63.540000000000006</v>
      </c>
      <c r="J151" s="380"/>
      <c r="K151" s="239">
        <f>H151-I151</f>
        <v>3.9899999999999949</v>
      </c>
      <c r="L151" s="384">
        <f>(ABS(H151-I151))/I151</f>
        <v>6.2795089707270921E-2</v>
      </c>
      <c r="M151" s="401">
        <f>SUM(M139:M148)</f>
        <v>64</v>
      </c>
      <c r="N151" s="239"/>
      <c r="O151" s="260"/>
      <c r="P151" s="239"/>
      <c r="Q151" s="260"/>
      <c r="R151" s="239"/>
      <c r="S151" s="260"/>
      <c r="T151" s="239"/>
      <c r="U151" s="260"/>
      <c r="V151" s="401">
        <f>SUM(N139:N145)</f>
        <v>65.36999999999999</v>
      </c>
    </row>
    <row r="152" spans="1:22" x14ac:dyDescent="0.25">
      <c r="A152" s="3" t="s">
        <v>33</v>
      </c>
      <c r="B152" s="15"/>
      <c r="C152" s="15"/>
      <c r="D152" s="42"/>
      <c r="E152" s="99"/>
      <c r="F152" s="83"/>
      <c r="G152" s="115"/>
      <c r="H152" s="70"/>
      <c r="J152" s="288"/>
      <c r="K152" s="70"/>
      <c r="L152" s="268"/>
    </row>
    <row r="153" spans="1:22" x14ac:dyDescent="0.25">
      <c r="A153" s="71"/>
      <c r="B153" s="72" t="s">
        <v>3</v>
      </c>
      <c r="C153" s="72" t="s">
        <v>52</v>
      </c>
      <c r="D153" s="39">
        <v>1.79</v>
      </c>
      <c r="E153" s="122">
        <v>5.91</v>
      </c>
      <c r="F153" s="95">
        <v>8.6199999999999992</v>
      </c>
      <c r="G153" s="122">
        <f>E153-F153</f>
        <v>-2.7099999999999991</v>
      </c>
      <c r="H153" s="70">
        <v>6.2</v>
      </c>
      <c r="I153" s="251">
        <v>7.67</v>
      </c>
      <c r="J153" s="288">
        <f t="shared" si="42"/>
        <v>4.2849162011173183</v>
      </c>
      <c r="K153" s="70">
        <f t="shared" ref="K153:K182" si="43">H153-I153</f>
        <v>-1.4699999999999998</v>
      </c>
      <c r="L153" s="253">
        <f t="shared" ref="L153:L187" si="44">(ABS(H153-I153))/I153</f>
        <v>0.19165580182529332</v>
      </c>
      <c r="M153" s="248">
        <v>7.5</v>
      </c>
      <c r="N153" s="70">
        <v>7.22</v>
      </c>
    </row>
    <row r="154" spans="1:22" x14ac:dyDescent="0.25">
      <c r="A154" s="71"/>
      <c r="B154" s="72" t="s">
        <v>3</v>
      </c>
      <c r="C154" s="72" t="s">
        <v>32</v>
      </c>
      <c r="D154" s="39">
        <v>2.4700000000000002</v>
      </c>
      <c r="E154" s="122">
        <v>7.04</v>
      </c>
      <c r="F154" s="95">
        <v>11.47</v>
      </c>
      <c r="G154" s="122">
        <f t="shared" ref="G154:G187" si="45">E154-F154</f>
        <v>-4.4300000000000006</v>
      </c>
      <c r="H154" s="257">
        <v>9.5</v>
      </c>
      <c r="I154" s="251">
        <v>9.4600000000000009</v>
      </c>
      <c r="J154" s="288">
        <f t="shared" si="42"/>
        <v>3.8299595141700404</v>
      </c>
      <c r="K154" s="70">
        <f t="shared" si="43"/>
        <v>3.9999999999999147E-2</v>
      </c>
      <c r="L154" s="253">
        <f t="shared" si="44"/>
        <v>4.2283298097250677E-3</v>
      </c>
      <c r="M154" s="248">
        <v>10</v>
      </c>
      <c r="N154" s="70">
        <v>8.76</v>
      </c>
      <c r="R154" s="70"/>
    </row>
    <row r="155" spans="1:22" x14ac:dyDescent="0.25">
      <c r="A155" s="71"/>
      <c r="B155" s="9" t="s">
        <v>3</v>
      </c>
      <c r="C155" s="9" t="s">
        <v>54</v>
      </c>
      <c r="D155" s="39">
        <v>0.92</v>
      </c>
      <c r="E155" s="122">
        <v>2.96</v>
      </c>
      <c r="F155" s="95">
        <v>4.32</v>
      </c>
      <c r="G155" s="122">
        <f t="shared" si="45"/>
        <v>-1.3600000000000003</v>
      </c>
      <c r="H155" s="70">
        <v>2.9</v>
      </c>
      <c r="I155" s="251">
        <v>4.51</v>
      </c>
      <c r="J155" s="288">
        <f t="shared" si="42"/>
        <v>4.9021739130434776</v>
      </c>
      <c r="K155" s="70">
        <f t="shared" si="43"/>
        <v>-1.6099999999999999</v>
      </c>
      <c r="L155" s="253">
        <f t="shared" si="44"/>
        <v>0.35698447893569846</v>
      </c>
      <c r="M155" s="248">
        <v>6</v>
      </c>
      <c r="N155" s="70">
        <v>6.11</v>
      </c>
    </row>
    <row r="156" spans="1:22" x14ac:dyDescent="0.25">
      <c r="A156" s="71"/>
      <c r="B156" s="9" t="s">
        <v>3</v>
      </c>
      <c r="C156" s="9" t="s">
        <v>66</v>
      </c>
      <c r="D156" s="39">
        <v>0.55000000000000004</v>
      </c>
      <c r="E156" s="122">
        <v>1.84</v>
      </c>
      <c r="F156" s="95">
        <v>1.72</v>
      </c>
      <c r="G156" s="122">
        <f t="shared" si="45"/>
        <v>0.12000000000000011</v>
      </c>
      <c r="H156" s="70">
        <v>1.3</v>
      </c>
      <c r="I156" s="251">
        <v>1.1299999999999999</v>
      </c>
      <c r="J156" s="288">
        <f t="shared" si="42"/>
        <v>2.0545454545454542</v>
      </c>
      <c r="K156" s="70">
        <f t="shared" si="43"/>
        <v>0.17000000000000015</v>
      </c>
      <c r="L156" s="253">
        <f t="shared" si="44"/>
        <v>0.15044247787610635</v>
      </c>
      <c r="M156" s="248">
        <v>2</v>
      </c>
      <c r="N156" s="70">
        <v>4.1900000000000004</v>
      </c>
      <c r="P156" s="70"/>
      <c r="R156" s="70"/>
    </row>
    <row r="157" spans="1:22" x14ac:dyDescent="0.25">
      <c r="A157" s="1"/>
      <c r="B157" s="9" t="s">
        <v>3</v>
      </c>
      <c r="C157" s="9" t="s">
        <v>67</v>
      </c>
      <c r="D157" s="39">
        <v>0.96</v>
      </c>
      <c r="E157" s="122">
        <v>2.36</v>
      </c>
      <c r="F157" s="95">
        <v>2.88</v>
      </c>
      <c r="G157" s="122">
        <f t="shared" si="45"/>
        <v>-0.52</v>
      </c>
      <c r="H157" s="70">
        <v>3</v>
      </c>
      <c r="I157" s="251">
        <v>2.46</v>
      </c>
      <c r="J157" s="288">
        <f t="shared" si="42"/>
        <v>2.5625</v>
      </c>
      <c r="K157" s="70">
        <f t="shared" si="43"/>
        <v>0.54</v>
      </c>
      <c r="L157" s="253">
        <f t="shared" si="44"/>
        <v>0.21951219512195125</v>
      </c>
      <c r="M157" s="248">
        <v>4</v>
      </c>
      <c r="P157" s="70"/>
      <c r="R157" s="70"/>
    </row>
    <row r="158" spans="1:22" x14ac:dyDescent="0.25">
      <c r="A158" s="71"/>
      <c r="B158" s="9" t="s">
        <v>3</v>
      </c>
      <c r="C158" s="9" t="s">
        <v>68</v>
      </c>
      <c r="D158" s="39">
        <v>0.56999999999999995</v>
      </c>
      <c r="E158" s="122">
        <v>1.82</v>
      </c>
      <c r="F158" s="95">
        <v>2.1800000000000002</v>
      </c>
      <c r="G158" s="122">
        <f t="shared" si="45"/>
        <v>-0.3600000000000001</v>
      </c>
      <c r="H158" s="257">
        <v>1.8</v>
      </c>
      <c r="I158" s="251">
        <v>1.32</v>
      </c>
      <c r="J158" s="288">
        <f t="shared" si="42"/>
        <v>2.3157894736842106</v>
      </c>
      <c r="K158" s="70">
        <f t="shared" si="43"/>
        <v>0.48</v>
      </c>
      <c r="L158" s="253">
        <f t="shared" si="44"/>
        <v>0.36363636363636359</v>
      </c>
      <c r="M158" s="248">
        <v>2</v>
      </c>
      <c r="P158" s="70"/>
      <c r="R158" s="70"/>
    </row>
    <row r="159" spans="1:22" x14ac:dyDescent="0.25">
      <c r="A159" s="71"/>
      <c r="B159" s="9" t="s">
        <v>3</v>
      </c>
      <c r="C159" s="72" t="s">
        <v>69</v>
      </c>
      <c r="D159" s="39">
        <v>0.9</v>
      </c>
      <c r="E159" s="122">
        <v>3.33</v>
      </c>
      <c r="F159" s="95">
        <v>5.25</v>
      </c>
      <c r="G159" s="122">
        <f t="shared" si="45"/>
        <v>-1.92</v>
      </c>
      <c r="H159" s="70">
        <v>4.3</v>
      </c>
      <c r="I159" s="251">
        <v>3.84</v>
      </c>
      <c r="J159" s="288">
        <f t="shared" si="42"/>
        <v>4.2666666666666666</v>
      </c>
      <c r="K159" s="70">
        <f t="shared" si="43"/>
        <v>0.45999999999999996</v>
      </c>
      <c r="L159" s="253">
        <f t="shared" si="44"/>
        <v>0.11979166666666666</v>
      </c>
      <c r="M159" s="248">
        <v>4</v>
      </c>
      <c r="N159" s="70">
        <v>3.42</v>
      </c>
    </row>
    <row r="160" spans="1:22" x14ac:dyDescent="0.25">
      <c r="A160" s="71"/>
      <c r="B160" s="9" t="s">
        <v>3</v>
      </c>
      <c r="C160" s="9" t="s">
        <v>70</v>
      </c>
      <c r="D160" s="39">
        <v>2.68</v>
      </c>
      <c r="E160" s="122">
        <v>8.52</v>
      </c>
      <c r="F160" s="95">
        <v>12</v>
      </c>
      <c r="G160" s="122">
        <f t="shared" si="45"/>
        <v>-3.4800000000000004</v>
      </c>
      <c r="H160" s="70">
        <v>9.5</v>
      </c>
      <c r="I160" s="251">
        <v>11.47</v>
      </c>
      <c r="J160" s="288">
        <f t="shared" si="42"/>
        <v>4.2798507462686564</v>
      </c>
      <c r="K160" s="70">
        <f t="shared" si="43"/>
        <v>-1.9700000000000006</v>
      </c>
      <c r="L160" s="253">
        <f t="shared" si="44"/>
        <v>0.17175239755884922</v>
      </c>
      <c r="M160" s="248">
        <v>14</v>
      </c>
      <c r="N160" s="70">
        <v>8.94</v>
      </c>
    </row>
    <row r="161" spans="1:22" x14ac:dyDescent="0.25">
      <c r="A161" s="1"/>
      <c r="B161" s="9" t="s">
        <v>3</v>
      </c>
      <c r="C161" s="9" t="s">
        <v>71</v>
      </c>
      <c r="D161" s="39">
        <v>0.53</v>
      </c>
      <c r="E161" s="122">
        <v>2.74</v>
      </c>
      <c r="F161" s="95">
        <v>2.84</v>
      </c>
      <c r="G161" s="122">
        <f t="shared" si="45"/>
        <v>-9.9999999999999645E-2</v>
      </c>
      <c r="H161" s="70">
        <v>2</v>
      </c>
      <c r="I161" s="251">
        <v>3.75</v>
      </c>
      <c r="J161" s="288">
        <f t="shared" si="42"/>
        <v>7.0754716981132075</v>
      </c>
      <c r="K161">
        <f t="shared" si="43"/>
        <v>-1.75</v>
      </c>
      <c r="L161" s="253">
        <f t="shared" si="44"/>
        <v>0.46666666666666667</v>
      </c>
      <c r="M161" s="248">
        <v>4</v>
      </c>
      <c r="N161" s="70">
        <v>14.15</v>
      </c>
    </row>
    <row r="162" spans="1:22" x14ac:dyDescent="0.25">
      <c r="A162" s="71"/>
      <c r="B162" s="9" t="s">
        <v>3</v>
      </c>
      <c r="C162" s="9" t="s">
        <v>72</v>
      </c>
      <c r="D162" s="39">
        <v>1.25</v>
      </c>
      <c r="E162" s="122">
        <v>5.41</v>
      </c>
      <c r="F162" s="95">
        <v>6.22</v>
      </c>
      <c r="G162" s="122">
        <f t="shared" si="45"/>
        <v>-0.80999999999999961</v>
      </c>
      <c r="H162" s="70">
        <v>4.0999999999999996</v>
      </c>
      <c r="I162" s="251">
        <v>4.1100000000000003</v>
      </c>
      <c r="J162" s="288">
        <f t="shared" si="42"/>
        <v>3.2880000000000003</v>
      </c>
      <c r="K162" s="70">
        <f t="shared" si="43"/>
        <v>-1.0000000000000675E-2</v>
      </c>
      <c r="L162" s="253">
        <f t="shared" si="44"/>
        <v>2.4330900243310642E-3</v>
      </c>
      <c r="M162" s="248">
        <v>4</v>
      </c>
      <c r="R162" s="70"/>
    </row>
    <row r="163" spans="1:22" x14ac:dyDescent="0.25">
      <c r="A163" s="71"/>
      <c r="B163" s="9" t="s">
        <v>3</v>
      </c>
      <c r="C163" s="9" t="s">
        <v>73</v>
      </c>
      <c r="D163" s="39">
        <v>1.63</v>
      </c>
      <c r="E163" s="122">
        <v>6.38</v>
      </c>
      <c r="F163" s="95">
        <v>8.42</v>
      </c>
      <c r="G163" s="122">
        <f t="shared" si="45"/>
        <v>-2.04</v>
      </c>
      <c r="H163" s="257">
        <v>6.7</v>
      </c>
      <c r="I163" s="251">
        <v>6.91</v>
      </c>
      <c r="J163" s="288">
        <f t="shared" si="42"/>
        <v>4.2392638036809815</v>
      </c>
      <c r="K163" s="70">
        <f t="shared" si="43"/>
        <v>-0.20999999999999996</v>
      </c>
      <c r="L163" s="253">
        <f t="shared" si="44"/>
        <v>3.0390738060781471E-2</v>
      </c>
      <c r="M163" s="248">
        <v>6</v>
      </c>
    </row>
    <row r="164" spans="1:22" x14ac:dyDescent="0.25">
      <c r="A164" s="71"/>
      <c r="B164" s="9" t="s">
        <v>3</v>
      </c>
      <c r="C164" s="9" t="s">
        <v>74</v>
      </c>
      <c r="D164" s="39">
        <v>1.72</v>
      </c>
      <c r="E164" s="122">
        <v>5.4</v>
      </c>
      <c r="F164" s="95">
        <v>6.16</v>
      </c>
      <c r="G164" s="122">
        <f t="shared" si="45"/>
        <v>-0.75999999999999979</v>
      </c>
      <c r="H164" s="257">
        <v>6</v>
      </c>
      <c r="I164" s="251">
        <v>7.39</v>
      </c>
      <c r="J164" s="288">
        <f t="shared" si="42"/>
        <v>4.2965116279069768</v>
      </c>
      <c r="K164" s="70">
        <f t="shared" si="43"/>
        <v>-1.3899999999999997</v>
      </c>
      <c r="L164" s="253">
        <f t="shared" si="44"/>
        <v>0.18809201623815963</v>
      </c>
      <c r="M164" s="248">
        <v>7</v>
      </c>
      <c r="N164" s="70">
        <v>6.34</v>
      </c>
    </row>
    <row r="165" spans="1:22" x14ac:dyDescent="0.25">
      <c r="A165" s="1"/>
      <c r="B165" s="9" t="s">
        <v>3</v>
      </c>
      <c r="C165" s="9" t="s">
        <v>75</v>
      </c>
      <c r="D165" s="39">
        <v>1.57</v>
      </c>
      <c r="E165" s="122">
        <v>3.86</v>
      </c>
      <c r="F165" s="95">
        <v>6.93</v>
      </c>
      <c r="G165" s="122">
        <f t="shared" si="45"/>
        <v>-3.07</v>
      </c>
      <c r="H165" s="70">
        <v>3.7</v>
      </c>
      <c r="I165" s="251">
        <v>5.29</v>
      </c>
      <c r="J165" s="288">
        <f t="shared" si="42"/>
        <v>3.3694267515923566</v>
      </c>
      <c r="K165" s="70">
        <f t="shared" si="43"/>
        <v>-1.5899999999999999</v>
      </c>
      <c r="L165" s="253">
        <f t="shared" si="44"/>
        <v>0.30056710775047257</v>
      </c>
      <c r="M165" s="248">
        <v>6</v>
      </c>
      <c r="N165" s="70">
        <v>4.95</v>
      </c>
    </row>
    <row r="166" spans="1:22" x14ac:dyDescent="0.25">
      <c r="A166" s="71"/>
      <c r="B166" s="9" t="s">
        <v>3</v>
      </c>
      <c r="C166" s="9" t="s">
        <v>76</v>
      </c>
      <c r="D166" s="39">
        <v>1.01</v>
      </c>
      <c r="E166" s="122">
        <v>3.65</v>
      </c>
      <c r="F166" s="95">
        <v>6.29</v>
      </c>
      <c r="G166" s="122">
        <f t="shared" si="45"/>
        <v>-2.64</v>
      </c>
      <c r="H166" s="227">
        <v>3.6</v>
      </c>
      <c r="I166" s="251">
        <v>4.6399999999999997</v>
      </c>
      <c r="J166" s="288">
        <f t="shared" si="42"/>
        <v>4.5940594059405937</v>
      </c>
      <c r="K166" s="70">
        <f t="shared" si="43"/>
        <v>-1.0399999999999996</v>
      </c>
      <c r="L166" s="253">
        <f t="shared" si="44"/>
        <v>0.22413793103448268</v>
      </c>
      <c r="M166" s="248">
        <v>5</v>
      </c>
      <c r="N166" s="70">
        <v>4.88</v>
      </c>
    </row>
    <row r="167" spans="1:22" s="70" customFormat="1" x14ac:dyDescent="0.25">
      <c r="A167" s="71"/>
      <c r="B167" s="9"/>
      <c r="C167" s="9" t="s">
        <v>170</v>
      </c>
      <c r="D167" s="39"/>
      <c r="E167" s="122"/>
      <c r="F167" s="95"/>
      <c r="G167" s="122"/>
      <c r="H167" s="227"/>
      <c r="I167" s="251"/>
      <c r="J167" s="288"/>
      <c r="L167" s="253"/>
      <c r="M167" s="248"/>
      <c r="O167" s="246"/>
      <c r="Q167" s="246"/>
      <c r="S167" s="246"/>
      <c r="U167" s="246"/>
      <c r="V167" s="412"/>
    </row>
    <row r="168" spans="1:22" s="70" customFormat="1" x14ac:dyDescent="0.25">
      <c r="A168" s="71"/>
      <c r="B168" s="9"/>
      <c r="C168" s="9" t="s">
        <v>169</v>
      </c>
      <c r="D168" s="39"/>
      <c r="E168" s="122"/>
      <c r="F168" s="95"/>
      <c r="G168" s="122"/>
      <c r="H168" s="227"/>
      <c r="I168" s="251"/>
      <c r="J168" s="288"/>
      <c r="L168" s="253"/>
      <c r="M168" s="248"/>
      <c r="O168" s="246"/>
      <c r="Q168" s="246"/>
      <c r="S168" s="246"/>
      <c r="U168" s="246"/>
      <c r="V168" s="412"/>
    </row>
    <row r="169" spans="1:22" x14ac:dyDescent="0.25">
      <c r="A169" s="71"/>
      <c r="B169" s="9" t="s">
        <v>3</v>
      </c>
      <c r="C169" s="9" t="s">
        <v>77</v>
      </c>
      <c r="D169" s="39">
        <v>1.5</v>
      </c>
      <c r="E169" s="122">
        <v>4.58</v>
      </c>
      <c r="F169" s="95">
        <v>8.81</v>
      </c>
      <c r="G169" s="122">
        <f t="shared" si="45"/>
        <v>-4.2300000000000004</v>
      </c>
      <c r="H169" s="257">
        <v>7.3</v>
      </c>
      <c r="I169" s="251">
        <v>5.47</v>
      </c>
      <c r="J169" s="288">
        <f t="shared" si="42"/>
        <v>3.6466666666666665</v>
      </c>
      <c r="K169" s="70">
        <f t="shared" si="43"/>
        <v>1.83</v>
      </c>
      <c r="L169" s="253">
        <f t="shared" si="44"/>
        <v>0.33455210237659966</v>
      </c>
      <c r="M169" s="248">
        <v>5</v>
      </c>
      <c r="N169" s="70">
        <v>5.83</v>
      </c>
      <c r="P169" s="70"/>
    </row>
    <row r="170" spans="1:22" s="70" customFormat="1" x14ac:dyDescent="0.25">
      <c r="A170" s="71"/>
      <c r="B170" s="9"/>
      <c r="C170" s="9" t="s">
        <v>170</v>
      </c>
      <c r="D170" s="39"/>
      <c r="E170" s="122"/>
      <c r="F170" s="95"/>
      <c r="G170" s="122"/>
      <c r="H170" s="257"/>
      <c r="I170" s="251"/>
      <c r="J170" s="288"/>
      <c r="L170" s="253"/>
      <c r="M170" s="248"/>
      <c r="O170" s="246"/>
      <c r="Q170" s="246"/>
      <c r="S170" s="246"/>
      <c r="U170" s="246"/>
      <c r="V170" s="412"/>
    </row>
    <row r="171" spans="1:22" s="70" customFormat="1" x14ac:dyDescent="0.25">
      <c r="A171" s="71"/>
      <c r="B171" s="9"/>
      <c r="C171" s="9" t="s">
        <v>169</v>
      </c>
      <c r="D171" s="39"/>
      <c r="E171" s="122"/>
      <c r="F171" s="95"/>
      <c r="G171" s="122"/>
      <c r="H171" s="257"/>
      <c r="I171" s="251"/>
      <c r="J171" s="288"/>
      <c r="L171" s="253"/>
      <c r="M171" s="248"/>
      <c r="O171" s="246"/>
      <c r="Q171" s="246"/>
      <c r="S171" s="246"/>
      <c r="U171" s="246"/>
      <c r="V171" s="412"/>
    </row>
    <row r="172" spans="1:22" x14ac:dyDescent="0.25">
      <c r="A172" s="71"/>
      <c r="B172" s="9" t="s">
        <v>86</v>
      </c>
      <c r="C172" s="9" t="s">
        <v>49</v>
      </c>
      <c r="D172" s="39">
        <v>2.71</v>
      </c>
      <c r="E172" s="122">
        <v>10.52</v>
      </c>
      <c r="F172" s="95">
        <v>10.26</v>
      </c>
      <c r="G172" s="122">
        <f t="shared" si="45"/>
        <v>0.25999999999999979</v>
      </c>
      <c r="H172" s="227">
        <v>6.3</v>
      </c>
      <c r="I172" s="251">
        <v>9.73</v>
      </c>
      <c r="J172" s="288">
        <f t="shared" si="42"/>
        <v>3.5904059040590406</v>
      </c>
      <c r="K172" s="70">
        <f t="shared" si="43"/>
        <v>-3.4300000000000006</v>
      </c>
      <c r="L172" s="253">
        <f t="shared" si="44"/>
        <v>0.35251798561151082</v>
      </c>
      <c r="M172" s="248">
        <v>10</v>
      </c>
      <c r="N172" s="70">
        <v>8.01</v>
      </c>
    </row>
    <row r="173" spans="1:22" x14ac:dyDescent="0.25">
      <c r="A173" s="1"/>
      <c r="B173" s="9" t="s">
        <v>86</v>
      </c>
      <c r="C173" s="9" t="s">
        <v>44</v>
      </c>
      <c r="D173" s="39">
        <v>1.04</v>
      </c>
      <c r="E173" s="122">
        <v>2.92</v>
      </c>
      <c r="F173" s="95">
        <v>3.6</v>
      </c>
      <c r="G173" s="122">
        <f t="shared" si="45"/>
        <v>-0.68000000000000016</v>
      </c>
      <c r="H173" s="227">
        <v>4.5</v>
      </c>
      <c r="I173" s="251">
        <v>3.67</v>
      </c>
      <c r="J173" s="288">
        <f t="shared" si="42"/>
        <v>3.5288461538461537</v>
      </c>
      <c r="K173" s="70">
        <f t="shared" si="43"/>
        <v>0.83000000000000007</v>
      </c>
      <c r="L173" s="253">
        <f t="shared" si="44"/>
        <v>0.226158038147139</v>
      </c>
      <c r="M173" s="248">
        <v>3</v>
      </c>
      <c r="N173" s="70">
        <v>4.43</v>
      </c>
    </row>
    <row r="174" spans="1:22" x14ac:dyDescent="0.25">
      <c r="A174" s="71"/>
      <c r="B174" s="9" t="s">
        <v>86</v>
      </c>
      <c r="C174" s="9" t="s">
        <v>12</v>
      </c>
      <c r="D174" s="39">
        <v>1.31</v>
      </c>
      <c r="E174" s="122">
        <v>4.51</v>
      </c>
      <c r="F174" s="95">
        <v>6.61</v>
      </c>
      <c r="G174" s="122">
        <f t="shared" si="45"/>
        <v>-2.1000000000000005</v>
      </c>
      <c r="H174" s="227">
        <v>4.7</v>
      </c>
      <c r="I174" s="251">
        <v>7.92</v>
      </c>
      <c r="J174" s="288">
        <f t="shared" si="42"/>
        <v>6.0458015267175567</v>
      </c>
      <c r="K174" s="70">
        <f t="shared" si="43"/>
        <v>-3.2199999999999998</v>
      </c>
      <c r="L174" s="253">
        <f t="shared" si="44"/>
        <v>0.40656565656565652</v>
      </c>
      <c r="M174" s="248">
        <v>7</v>
      </c>
      <c r="N174" s="70">
        <v>13.57</v>
      </c>
    </row>
    <row r="175" spans="1:22" x14ac:dyDescent="0.25">
      <c r="A175" s="71"/>
      <c r="B175" s="9" t="s">
        <v>86</v>
      </c>
      <c r="C175" s="9" t="s">
        <v>36</v>
      </c>
      <c r="D175" s="39">
        <v>1.22</v>
      </c>
      <c r="E175" s="122">
        <v>3.83</v>
      </c>
      <c r="F175" s="95">
        <v>1.38</v>
      </c>
      <c r="G175" s="122">
        <f t="shared" si="45"/>
        <v>2.4500000000000002</v>
      </c>
      <c r="H175" s="257">
        <v>5</v>
      </c>
      <c r="I175" s="251">
        <v>3.81</v>
      </c>
      <c r="J175" s="288">
        <f t="shared" si="42"/>
        <v>3.1229508196721314</v>
      </c>
      <c r="K175" s="70">
        <f t="shared" si="43"/>
        <v>1.19</v>
      </c>
      <c r="L175" s="253">
        <f t="shared" si="44"/>
        <v>0.31233595800524933</v>
      </c>
      <c r="M175" s="248">
        <v>3</v>
      </c>
      <c r="P175" s="70"/>
      <c r="R175" s="70"/>
    </row>
    <row r="176" spans="1:22" x14ac:dyDescent="0.25">
      <c r="A176" s="71"/>
      <c r="B176" s="9" t="s">
        <v>86</v>
      </c>
      <c r="C176" s="9" t="s">
        <v>63</v>
      </c>
      <c r="D176" s="39">
        <v>0.45</v>
      </c>
      <c r="E176" s="122">
        <v>3.21</v>
      </c>
      <c r="F176" s="95">
        <v>1.1000000000000001</v>
      </c>
      <c r="G176" s="122">
        <f t="shared" si="45"/>
        <v>2.11</v>
      </c>
      <c r="H176" s="227">
        <v>2</v>
      </c>
      <c r="I176" s="251">
        <v>1.81</v>
      </c>
      <c r="J176" s="288">
        <f t="shared" si="42"/>
        <v>4.0222222222222221</v>
      </c>
      <c r="K176" s="70">
        <f t="shared" si="43"/>
        <v>0.18999999999999995</v>
      </c>
      <c r="L176" s="269">
        <f t="shared" si="44"/>
        <v>0.1049723756906077</v>
      </c>
      <c r="M176" s="248">
        <v>2</v>
      </c>
      <c r="P176" s="70"/>
      <c r="R176" s="70"/>
    </row>
    <row r="177" spans="1:22" x14ac:dyDescent="0.25">
      <c r="A177" s="1"/>
      <c r="B177" s="9" t="s">
        <v>86</v>
      </c>
      <c r="C177" s="9" t="s">
        <v>64</v>
      </c>
      <c r="D177" s="39">
        <v>0.32</v>
      </c>
      <c r="E177" s="122">
        <v>0.41</v>
      </c>
      <c r="F177" s="95">
        <v>3.22</v>
      </c>
      <c r="G177" s="122">
        <f t="shared" si="45"/>
        <v>-2.81</v>
      </c>
      <c r="H177" s="227">
        <v>1.6</v>
      </c>
      <c r="I177" s="251">
        <v>0.94</v>
      </c>
      <c r="J177" s="288">
        <f t="shared" si="42"/>
        <v>2.9374999999999996</v>
      </c>
      <c r="K177" s="70">
        <f t="shared" si="43"/>
        <v>0.66000000000000014</v>
      </c>
      <c r="L177" s="253">
        <f t="shared" si="44"/>
        <v>0.70212765957446832</v>
      </c>
      <c r="M177" s="248">
        <v>2</v>
      </c>
      <c r="P177" s="70"/>
    </row>
    <row r="178" spans="1:22" s="70" customFormat="1" x14ac:dyDescent="0.25">
      <c r="A178" s="1"/>
      <c r="B178" s="9"/>
      <c r="C178" s="9" t="s">
        <v>183</v>
      </c>
      <c r="D178" s="39">
        <v>5.5</v>
      </c>
      <c r="E178" s="122"/>
      <c r="F178" s="95"/>
      <c r="G178" s="122"/>
      <c r="H178" s="227"/>
      <c r="I178" s="251"/>
      <c r="J178" s="288"/>
      <c r="L178" s="253"/>
      <c r="M178" s="248">
        <v>5</v>
      </c>
      <c r="N178" s="70">
        <v>6.56</v>
      </c>
      <c r="O178" s="246"/>
      <c r="Q178" s="246"/>
      <c r="S178" s="246"/>
      <c r="U178" s="246"/>
      <c r="V178" s="412"/>
    </row>
    <row r="179" spans="1:22" s="70" customFormat="1" x14ac:dyDescent="0.25">
      <c r="A179" s="1"/>
      <c r="B179" s="9"/>
      <c r="C179" s="9" t="s">
        <v>182</v>
      </c>
      <c r="D179" s="39">
        <v>5.5</v>
      </c>
      <c r="E179" s="122"/>
      <c r="F179" s="95"/>
      <c r="G179" s="122"/>
      <c r="H179" s="227"/>
      <c r="I179" s="251"/>
      <c r="J179" s="288"/>
      <c r="L179" s="253"/>
      <c r="M179" s="248">
        <v>5</v>
      </c>
      <c r="N179" s="70">
        <v>6.97</v>
      </c>
      <c r="O179" s="246"/>
      <c r="Q179" s="246"/>
      <c r="S179" s="246"/>
      <c r="U179" s="246"/>
      <c r="V179" s="412"/>
    </row>
    <row r="180" spans="1:22" s="70" customFormat="1" x14ac:dyDescent="0.25">
      <c r="A180" s="1"/>
      <c r="B180" s="18" t="s">
        <v>7</v>
      </c>
      <c r="C180" s="18" t="s">
        <v>168</v>
      </c>
      <c r="D180" s="39"/>
      <c r="E180" s="122"/>
      <c r="F180" s="95"/>
      <c r="G180" s="122"/>
      <c r="H180" s="227"/>
      <c r="I180" s="251"/>
      <c r="J180" s="288"/>
      <c r="L180" s="253"/>
      <c r="M180" s="248"/>
      <c r="O180" s="246"/>
      <c r="Q180" s="246"/>
      <c r="S180" s="246"/>
      <c r="U180" s="246"/>
      <c r="V180" s="412"/>
    </row>
    <row r="181" spans="1:22" x14ac:dyDescent="0.25">
      <c r="A181" s="71"/>
      <c r="B181" s="18" t="s">
        <v>7</v>
      </c>
      <c r="C181" s="18" t="s">
        <v>167</v>
      </c>
      <c r="D181" s="125">
        <v>5.0999999999999996</v>
      </c>
      <c r="E181" s="136">
        <v>15.46</v>
      </c>
      <c r="F181" s="97">
        <v>29.34</v>
      </c>
      <c r="G181" s="122">
        <f t="shared" si="45"/>
        <v>-13.879999999999999</v>
      </c>
      <c r="H181" s="227">
        <v>28.8</v>
      </c>
      <c r="I181" s="251">
        <v>30.54</v>
      </c>
      <c r="J181" s="288">
        <f t="shared" si="42"/>
        <v>5.9882352941176471</v>
      </c>
      <c r="K181" s="70">
        <f t="shared" si="43"/>
        <v>-1.7399999999999984</v>
      </c>
      <c r="L181" s="253">
        <f t="shared" si="44"/>
        <v>5.6974459724950834E-2</v>
      </c>
      <c r="M181" s="248">
        <v>30</v>
      </c>
      <c r="N181" s="70">
        <v>15.84</v>
      </c>
    </row>
    <row r="182" spans="1:22" x14ac:dyDescent="0.25">
      <c r="A182" s="71"/>
      <c r="B182" s="18" t="s">
        <v>7</v>
      </c>
      <c r="C182" s="18" t="s">
        <v>42</v>
      </c>
      <c r="D182" s="125">
        <v>4</v>
      </c>
      <c r="E182" s="136">
        <v>7.7</v>
      </c>
      <c r="F182" s="97">
        <v>18.02</v>
      </c>
      <c r="G182" s="122">
        <f t="shared" si="45"/>
        <v>-10.32</v>
      </c>
      <c r="H182" s="259">
        <v>12</v>
      </c>
      <c r="I182" s="251">
        <v>22.5</v>
      </c>
      <c r="J182" s="288">
        <f t="shared" si="42"/>
        <v>5.625</v>
      </c>
      <c r="K182" s="70">
        <f t="shared" si="43"/>
        <v>-10.5</v>
      </c>
      <c r="L182" s="253">
        <f t="shared" si="44"/>
        <v>0.46666666666666667</v>
      </c>
      <c r="M182" s="248">
        <v>20</v>
      </c>
      <c r="N182" s="70">
        <v>10.07</v>
      </c>
    </row>
    <row r="183" spans="1:22" x14ac:dyDescent="0.25">
      <c r="A183" s="71"/>
      <c r="B183" s="18" t="s">
        <v>7</v>
      </c>
      <c r="C183" s="18" t="s">
        <v>47</v>
      </c>
      <c r="D183" s="125">
        <v>4.5</v>
      </c>
      <c r="E183" s="136">
        <v>16.260000000000002</v>
      </c>
      <c r="F183" s="97">
        <v>23.8</v>
      </c>
      <c r="G183" s="122">
        <f t="shared" si="45"/>
        <v>-7.5399999999999991</v>
      </c>
      <c r="H183" s="259">
        <v>16</v>
      </c>
      <c r="I183" s="251">
        <v>22.76</v>
      </c>
      <c r="J183" s="288">
        <f t="shared" si="42"/>
        <v>5.0577777777777779</v>
      </c>
      <c r="K183" s="70" t="e">
        <f>H1451.3=H183-I183</f>
        <v>#NAME?</v>
      </c>
      <c r="L183" s="253">
        <f t="shared" si="44"/>
        <v>0.29701230228471004</v>
      </c>
      <c r="M183" s="248">
        <v>18</v>
      </c>
      <c r="N183" s="70">
        <v>20.6</v>
      </c>
    </row>
    <row r="184" spans="1:22" x14ac:dyDescent="0.25">
      <c r="A184" s="71"/>
      <c r="B184" s="12"/>
      <c r="C184" s="147" t="s">
        <v>114</v>
      </c>
      <c r="D184" s="171">
        <f>SUM(D153:D169)</f>
        <v>20.05</v>
      </c>
      <c r="E184" s="182">
        <f>SUM(E153:E169)</f>
        <v>65.800000000000011</v>
      </c>
      <c r="F184" s="171">
        <f>SUM(F153:F169)</f>
        <v>94.11</v>
      </c>
      <c r="G184" s="156">
        <f t="shared" si="45"/>
        <v>-28.309999999999988</v>
      </c>
      <c r="H184" s="70">
        <f>SUM(H153:H169)</f>
        <v>71.900000000000006</v>
      </c>
      <c r="I184" s="251">
        <f>SUM(I153:I169)</f>
        <v>79.42</v>
      </c>
      <c r="J184" s="288"/>
      <c r="K184" s="70">
        <f>H184-I184</f>
        <v>-7.519999999999996</v>
      </c>
      <c r="L184" s="253">
        <f t="shared" si="44"/>
        <v>9.4686476957945048E-2</v>
      </c>
    </row>
    <row r="185" spans="1:22" x14ac:dyDescent="0.25">
      <c r="A185" s="71"/>
      <c r="B185" s="12"/>
      <c r="C185" s="71" t="s">
        <v>118</v>
      </c>
      <c r="D185" s="145">
        <f>SUM(D172:D177)</f>
        <v>7.0500000000000007</v>
      </c>
      <c r="E185" s="160">
        <f>SUM(E172:E177)</f>
        <v>25.400000000000002</v>
      </c>
      <c r="F185" s="145">
        <f>SUM(F172:F177)</f>
        <v>26.169999999999998</v>
      </c>
      <c r="G185" s="166">
        <f t="shared" si="45"/>
        <v>-0.76999999999999602</v>
      </c>
      <c r="H185" s="70">
        <f>SUM(H172:H177)</f>
        <v>24.1</v>
      </c>
      <c r="I185" s="251">
        <f>SUM(I172:I177)</f>
        <v>27.88</v>
      </c>
      <c r="J185" s="288"/>
      <c r="K185" s="70">
        <f>H185-I185</f>
        <v>-3.7799999999999976</v>
      </c>
      <c r="L185" s="253">
        <f t="shared" si="44"/>
        <v>0.1355810616929698</v>
      </c>
    </row>
    <row r="186" spans="1:22" ht="15.75" thickBot="1" x14ac:dyDescent="0.3">
      <c r="A186" s="71"/>
      <c r="B186" s="69"/>
      <c r="C186" s="152" t="s">
        <v>116</v>
      </c>
      <c r="D186" s="178">
        <f>SUM(D181:D183)</f>
        <v>13.6</v>
      </c>
      <c r="E186" s="183">
        <f>SUM(E181:E183)</f>
        <v>39.42</v>
      </c>
      <c r="F186" s="178">
        <f>SUM(F181:F183)</f>
        <v>71.16</v>
      </c>
      <c r="G186" s="164">
        <f t="shared" si="45"/>
        <v>-31.739999999999995</v>
      </c>
      <c r="H186" s="70">
        <f>SUM(H181:H183)</f>
        <v>56.8</v>
      </c>
      <c r="I186" s="251">
        <f>SUM(I181:I183)</f>
        <v>75.8</v>
      </c>
      <c r="J186" s="288"/>
      <c r="K186" s="70">
        <f>H186-I186</f>
        <v>-19</v>
      </c>
      <c r="L186" s="253">
        <f t="shared" si="44"/>
        <v>0.2506596306068602</v>
      </c>
    </row>
    <row r="187" spans="1:22" ht="15.75" thickTop="1" x14ac:dyDescent="0.25">
      <c r="A187" s="43"/>
      <c r="B187" s="8"/>
      <c r="C187" s="79" t="s">
        <v>117</v>
      </c>
      <c r="D187" s="181">
        <f>SUM(D184:D186)</f>
        <v>40.700000000000003</v>
      </c>
      <c r="E187" s="160">
        <f>SUM(E184:E186)</f>
        <v>130.62</v>
      </c>
      <c r="F187" s="145">
        <f>SUM(F184:F186)</f>
        <v>191.44</v>
      </c>
      <c r="G187" s="166">
        <f t="shared" si="45"/>
        <v>-60.819999999999993</v>
      </c>
      <c r="H187" s="70">
        <f>SUM(H184:H186)</f>
        <v>152.80000000000001</v>
      </c>
      <c r="I187" s="284">
        <f>SUM(I184:I186)</f>
        <v>183.1</v>
      </c>
      <c r="J187" s="380"/>
      <c r="K187" s="239">
        <f>H187-I187</f>
        <v>-30.299999999999983</v>
      </c>
      <c r="L187" s="384">
        <f t="shared" si="44"/>
        <v>0.16548334243582732</v>
      </c>
      <c r="M187" s="401">
        <f>SUM(M153:M185)</f>
        <v>191.5</v>
      </c>
      <c r="N187" s="239"/>
      <c r="O187" s="260"/>
      <c r="P187" s="239"/>
      <c r="Q187" s="260"/>
      <c r="R187" s="239"/>
      <c r="S187" s="260"/>
      <c r="T187" s="239"/>
      <c r="U187" s="260"/>
      <c r="V187" s="401">
        <f>SUM(N153:N185)</f>
        <v>160.83999999999997</v>
      </c>
    </row>
    <row r="188" spans="1:22" x14ac:dyDescent="0.25">
      <c r="A188" s="3" t="s">
        <v>34</v>
      </c>
      <c r="B188" s="15"/>
      <c r="C188" s="3"/>
      <c r="D188" s="37"/>
      <c r="E188" s="99"/>
      <c r="F188" s="83"/>
      <c r="G188" s="115"/>
      <c r="H188" s="70"/>
      <c r="J188" s="288"/>
      <c r="K188" s="70"/>
      <c r="L188" s="268"/>
    </row>
    <row r="189" spans="1:22" x14ac:dyDescent="0.25">
      <c r="A189" s="71"/>
      <c r="B189" s="9" t="s">
        <v>3</v>
      </c>
      <c r="C189" s="9" t="s">
        <v>50</v>
      </c>
      <c r="D189" s="39">
        <v>2.69</v>
      </c>
      <c r="E189" s="122">
        <v>5.45</v>
      </c>
      <c r="F189" s="95">
        <v>10.72</v>
      </c>
      <c r="G189" s="122">
        <f t="shared" ref="G189:G195" si="46">E189-F189</f>
        <v>-5.2700000000000005</v>
      </c>
      <c r="H189" s="255">
        <v>7.8</v>
      </c>
      <c r="I189" s="251">
        <v>7.65</v>
      </c>
      <c r="J189" s="288">
        <f t="shared" si="42"/>
        <v>2.8438661710037176</v>
      </c>
      <c r="K189" s="70">
        <f>H189-I189</f>
        <v>0.14999999999999947</v>
      </c>
      <c r="L189" s="253">
        <f>(ABS(H189-I189))/I189</f>
        <v>1.9607843137254832E-2</v>
      </c>
      <c r="M189" s="248">
        <v>8</v>
      </c>
      <c r="N189" s="70">
        <v>9.57</v>
      </c>
    </row>
    <row r="190" spans="1:22" x14ac:dyDescent="0.25">
      <c r="A190" s="71"/>
      <c r="B190" s="9" t="s">
        <v>6</v>
      </c>
      <c r="C190" s="9" t="s">
        <v>38</v>
      </c>
      <c r="D190" s="39">
        <v>1.6</v>
      </c>
      <c r="E190" s="122">
        <v>3.47</v>
      </c>
      <c r="F190" s="95">
        <v>2.33</v>
      </c>
      <c r="G190" s="122">
        <f t="shared" si="46"/>
        <v>1.1400000000000001</v>
      </c>
      <c r="H190" s="257">
        <v>7.9</v>
      </c>
      <c r="I190" s="251">
        <v>1.9</v>
      </c>
      <c r="J190" s="288">
        <f t="shared" si="42"/>
        <v>1.1874999999999998</v>
      </c>
      <c r="K190" s="70">
        <f>H190-I190</f>
        <v>6</v>
      </c>
      <c r="L190" s="253">
        <f>(ABS(H190-I190))/I190</f>
        <v>3.1578947368421053</v>
      </c>
      <c r="M190" s="248">
        <v>2</v>
      </c>
      <c r="N190" s="70">
        <v>3.49</v>
      </c>
    </row>
    <row r="191" spans="1:22" x14ac:dyDescent="0.25">
      <c r="A191" s="71"/>
      <c r="B191" s="18" t="s">
        <v>7</v>
      </c>
      <c r="C191" s="18" t="s">
        <v>121</v>
      </c>
      <c r="D191" s="39">
        <v>2.85</v>
      </c>
      <c r="E191" s="124">
        <v>0</v>
      </c>
      <c r="F191" s="95">
        <v>9.82</v>
      </c>
      <c r="G191" s="122">
        <f t="shared" si="46"/>
        <v>-9.82</v>
      </c>
      <c r="H191" s="259">
        <v>10</v>
      </c>
      <c r="I191" s="251">
        <v>10.039999999999999</v>
      </c>
      <c r="J191" s="288">
        <f t="shared" si="42"/>
        <v>3.5228070175438591</v>
      </c>
      <c r="K191" s="70">
        <f>H191-I191</f>
        <v>-3.9999999999999147E-2</v>
      </c>
      <c r="L191" s="253">
        <f>(ABS(H191-I191))/I191</f>
        <v>3.9840637450198361E-3</v>
      </c>
      <c r="M191" s="248">
        <v>10</v>
      </c>
      <c r="N191" s="70">
        <v>9.6</v>
      </c>
    </row>
    <row r="192" spans="1:22" x14ac:dyDescent="0.25">
      <c r="A192" s="71"/>
      <c r="B192" s="12"/>
      <c r="C192" s="147" t="s">
        <v>114</v>
      </c>
      <c r="D192" s="158">
        <f>SUM(D189:D190)</f>
        <v>4.29</v>
      </c>
      <c r="E192" s="156">
        <f t="shared" ref="E192:F192" si="47">SUM(E189:E190)</f>
        <v>8.92</v>
      </c>
      <c r="F192" s="158">
        <f t="shared" si="47"/>
        <v>13.05</v>
      </c>
      <c r="G192" s="156">
        <f t="shared" si="46"/>
        <v>-4.1300000000000008</v>
      </c>
      <c r="H192" s="70">
        <f>SUM(H189:H190)</f>
        <v>15.7</v>
      </c>
      <c r="I192" s="251">
        <f>SUM(I189:I190)</f>
        <v>9.5500000000000007</v>
      </c>
      <c r="J192" s="288"/>
      <c r="K192" s="70">
        <f>H192-I192</f>
        <v>6.1499999999999986</v>
      </c>
      <c r="L192" s="253">
        <f>(ABS(H192-I192))/I192</f>
        <v>0.64397905759162288</v>
      </c>
    </row>
    <row r="193" spans="1:22" x14ac:dyDescent="0.25">
      <c r="A193" s="71"/>
      <c r="B193" s="12"/>
      <c r="C193" s="71" t="s">
        <v>115</v>
      </c>
      <c r="D193" s="153">
        <v>0</v>
      </c>
      <c r="E193" s="160">
        <v>0</v>
      </c>
      <c r="F193" s="145">
        <v>0</v>
      </c>
      <c r="G193" s="166">
        <f t="shared" si="46"/>
        <v>0</v>
      </c>
      <c r="H193" s="70">
        <v>0</v>
      </c>
      <c r="I193" s="251">
        <v>0</v>
      </c>
      <c r="J193" s="288"/>
      <c r="K193" s="70"/>
      <c r="L193" s="253"/>
    </row>
    <row r="194" spans="1:22" ht="15.75" thickBot="1" x14ac:dyDescent="0.3">
      <c r="A194" s="71"/>
      <c r="B194" s="69"/>
      <c r="C194" s="152" t="s">
        <v>116</v>
      </c>
      <c r="D194" s="165">
        <v>2.85</v>
      </c>
      <c r="E194" s="164">
        <v>0</v>
      </c>
      <c r="F194" s="165">
        <v>9.82</v>
      </c>
      <c r="G194" s="164">
        <f t="shared" si="46"/>
        <v>-9.82</v>
      </c>
      <c r="H194" s="70">
        <f>H191</f>
        <v>10</v>
      </c>
      <c r="I194" s="251">
        <f>I191</f>
        <v>10.039999999999999</v>
      </c>
      <c r="J194" s="288"/>
      <c r="K194" s="70">
        <f>H194-I194</f>
        <v>-3.9999999999999147E-2</v>
      </c>
      <c r="L194" s="253">
        <f>(ABS(H194-I194))/I194</f>
        <v>3.9840637450198361E-3</v>
      </c>
    </row>
    <row r="195" spans="1:22" ht="15.75" thickTop="1" x14ac:dyDescent="0.25">
      <c r="A195" s="71"/>
      <c r="B195" s="69"/>
      <c r="C195" s="79" t="s">
        <v>9</v>
      </c>
      <c r="D195" s="153">
        <f>SUM(D192,D194)</f>
        <v>7.1400000000000006</v>
      </c>
      <c r="E195" s="166">
        <v>8.92</v>
      </c>
      <c r="F195" s="153">
        <f>SUM(F192,F194)</f>
        <v>22.87</v>
      </c>
      <c r="G195" s="166">
        <f t="shared" si="46"/>
        <v>-13.950000000000001</v>
      </c>
      <c r="H195" s="70">
        <f>SUM(H192:H194)</f>
        <v>25.7</v>
      </c>
      <c r="I195" s="251">
        <f>SUM(I192:I194)</f>
        <v>19.59</v>
      </c>
      <c r="J195" s="288"/>
      <c r="K195" s="70">
        <f>H195-I195</f>
        <v>6.1099999999999994</v>
      </c>
      <c r="L195" s="253">
        <f>(ABS(H195-I195))/I195</f>
        <v>0.31189382337927513</v>
      </c>
    </row>
    <row r="196" spans="1:22" x14ac:dyDescent="0.25">
      <c r="E196" s="260"/>
      <c r="G196" s="260"/>
      <c r="H196" s="70"/>
      <c r="J196" s="273"/>
      <c r="K196" s="239"/>
      <c r="L196" s="384"/>
      <c r="M196" s="401">
        <f>SUM(M189:M191)</f>
        <v>20</v>
      </c>
      <c r="N196" s="239"/>
      <c r="O196" s="260"/>
      <c r="P196" s="239"/>
      <c r="Q196" s="260"/>
      <c r="R196" s="239"/>
      <c r="S196" s="260"/>
      <c r="T196" s="239"/>
      <c r="U196" s="260"/>
      <c r="V196" s="401">
        <f>SUM(N189:N194)</f>
        <v>22.66</v>
      </c>
    </row>
    <row r="197" spans="1:22" s="69" customFormat="1" ht="15.75" customHeight="1" x14ac:dyDescent="0.25">
      <c r="A197" s="20"/>
      <c r="B197" s="15"/>
      <c r="C197" s="59" t="s">
        <v>123</v>
      </c>
      <c r="D197" s="390">
        <f>D193+D192+D185+D184+D149+D148+D135+D134+D128+D127+D119+D118+D101+D97+D96+D72+D71+D65+D60+D59+D45+D44+D37+D36+D26+D25</f>
        <v>157.35999999999999</v>
      </c>
      <c r="E197" s="218">
        <f>E193+E192+E185+E184+E149+E148+E135+E134+E128+E127+E119+E118+E101+E97+E96+E72+E71+E65+E60+E59+E45+E44+E37+E36+E26+E25</f>
        <v>646.4</v>
      </c>
      <c r="F197" s="264">
        <f>SUM(F25:F26,F36:F37,F44:F45,F59:F60,F71:F72,F65,F96:F97,F101,F118,F127:F128,F148,F184:F185,F192)</f>
        <v>730.52999999999986</v>
      </c>
      <c r="G197" s="265">
        <f>SUM(G25:G26,G36:G37,G44:G45,G59:G60,G71:G72,G65,G96:G97,G101,G118,G127:G128,G148,G184:G185,G192)</f>
        <v>-84.129999999999953</v>
      </c>
      <c r="H197" s="272">
        <f>SUM(H25:H26,H36:H37,H44:H45,H59:H60,H71:H72,H65,H96:H97,H101,H118,H127:H128,H148,H184:H185,H192)</f>
        <v>680.58</v>
      </c>
      <c r="I197" s="265">
        <f>SUM(I25:I26,I36:I37,I44:I45,I59:I60,I71:I72,I65,I96:I97,I101,I118,I127:I128,I148,I184:I185,I192)</f>
        <v>728.3</v>
      </c>
      <c r="J197" s="288"/>
      <c r="K197" s="70">
        <f>H197-I197</f>
        <v>-47.719999999999914</v>
      </c>
      <c r="L197" s="253">
        <f>(ABS(H197-I197))/I197</f>
        <v>6.5522449540024605E-2</v>
      </c>
      <c r="M197" s="6"/>
      <c r="O197" s="116"/>
      <c r="Q197" s="116"/>
      <c r="S197" s="116"/>
      <c r="U197" s="116"/>
      <c r="V197" s="412"/>
    </row>
    <row r="198" spans="1:22" s="69" customFormat="1" ht="15.75" customHeight="1" x14ac:dyDescent="0.25">
      <c r="A198" s="22"/>
      <c r="C198" s="217" t="s">
        <v>122</v>
      </c>
      <c r="D198" s="391">
        <f>D194+D186+D150+D136+D129+D120+D111+D107+D105+D103+D98+D83+D73+D61+D46+D38+D27</f>
        <v>119.53999999999999</v>
      </c>
      <c r="E198" s="219">
        <f>E194+E186+E150+E136+E129+E120+E111+E107+E105+E103+E98+E83+E73+E61+E46+E38+E27</f>
        <v>359.12000000000006</v>
      </c>
      <c r="F198" s="263">
        <f>SUM(F27,F38,F61,F73,F83,F103,F105,F120,F136,F150,F186,F194)</f>
        <v>550.62</v>
      </c>
      <c r="G198" s="266">
        <f>SUM(G27,G38,G61,G73,G83,G103,G105,G120,G136,G150,G186,G194)</f>
        <v>-191.5</v>
      </c>
      <c r="H198" s="273">
        <f>SUM(H27,H38,H61,H73,H83,H103,H105,H120,H136,H150,H186,H194,H111)</f>
        <v>485.78000000000003</v>
      </c>
      <c r="I198" s="266">
        <f>SUM(I27,I38,I61,I73,I83,I103,I105,I120,I136,I150,I186,I194,I107,I111)</f>
        <v>608.62</v>
      </c>
      <c r="J198" s="288"/>
      <c r="K198" s="70">
        <f>H198-I198</f>
        <v>-122.83999999999997</v>
      </c>
      <c r="L198" s="253">
        <f>(ABS(H198-I198))/I198</f>
        <v>0.2018336564687325</v>
      </c>
      <c r="M198" s="6"/>
      <c r="O198" s="116"/>
      <c r="Q198" s="116"/>
      <c r="S198" s="116"/>
      <c r="U198" s="116"/>
      <c r="V198" s="412"/>
    </row>
    <row r="199" spans="1:22" s="69" customFormat="1" ht="15.75" customHeight="1" thickBot="1" x14ac:dyDescent="0.3">
      <c r="A199" s="23"/>
      <c r="B199" s="406"/>
      <c r="C199" s="60" t="s">
        <v>97</v>
      </c>
      <c r="D199" s="392">
        <f>SUM(D197,D198)</f>
        <v>276.89999999999998</v>
      </c>
      <c r="E199" s="389">
        <f>SUM(E197:E198)</f>
        <v>1005.52</v>
      </c>
      <c r="F199" s="183">
        <f>SUM(F197:F198)</f>
        <v>1281.1499999999999</v>
      </c>
      <c r="G199" s="226">
        <f>E199-F199</f>
        <v>-275.62999999999988</v>
      </c>
      <c r="H199" s="274">
        <f>SUM(H197:H198)</f>
        <v>1166.3600000000001</v>
      </c>
      <c r="I199" s="226">
        <f>SUM(I197:I198)</f>
        <v>1336.92</v>
      </c>
      <c r="J199" s="165"/>
      <c r="K199" s="406">
        <f>H199-I199</f>
        <v>-170.55999999999995</v>
      </c>
      <c r="L199" s="407">
        <f>(ABS(H199-I199))/I199</f>
        <v>0.12757681835861528</v>
      </c>
      <c r="M199" s="405">
        <f>SUM(M196+M187+M151+M137+M130+M121+M111+M105+M101+M99+M84+M74+M65+M62+M47+M39+M28+M109)</f>
        <v>1332.25</v>
      </c>
      <c r="N199" s="10">
        <f>SUM(N4:N196)</f>
        <v>1380.7999999999997</v>
      </c>
      <c r="O199" s="416"/>
      <c r="P199" s="10"/>
      <c r="Q199" s="416"/>
      <c r="R199" s="10"/>
      <c r="S199" s="416"/>
      <c r="T199" s="10"/>
      <c r="U199" s="416"/>
      <c r="V199" s="417">
        <f>SUM(V4:V198)</f>
        <v>1380.8</v>
      </c>
    </row>
    <row r="200" spans="1:22" ht="15.75" thickTop="1" x14ac:dyDescent="0.25">
      <c r="H200" s="70"/>
      <c r="J200" s="275"/>
      <c r="K200" s="275"/>
      <c r="L200" s="268"/>
    </row>
    <row r="201" spans="1:22" x14ac:dyDescent="0.25">
      <c r="G201" s="71" t="s">
        <v>134</v>
      </c>
      <c r="H201" s="261">
        <f>SUM(H195,H187,H151,H137,H130,H121,H111)</f>
        <v>430.01</v>
      </c>
      <c r="I201" s="387"/>
      <c r="J201" s="289"/>
      <c r="K201" s="276">
        <f>SUM(K195,K187,K151,K137,K130,K121)</f>
        <v>-35.009999999999991</v>
      </c>
      <c r="L201" s="268"/>
    </row>
    <row r="202" spans="1:22" x14ac:dyDescent="0.25">
      <c r="G202" s="71" t="s">
        <v>135</v>
      </c>
      <c r="H202" s="71">
        <f>SUM(H28,H39,H47,H62,H65,H74,H84,H99,H101,H103,H105,H107)</f>
        <v>711.34999999999991</v>
      </c>
      <c r="I202" s="252"/>
      <c r="J202" s="290"/>
      <c r="K202" s="277">
        <f>SUM(K28,K39,K47,K62,K65,K73,K84,K99,K101,K103,K105)</f>
        <v>-131.39000000000001</v>
      </c>
      <c r="L202" s="268"/>
    </row>
  </sheetData>
  <customSheetViews>
    <customSheetView guid="{F76F088D-E257-4637-81FB-2D037F8BCE3A}">
      <selection activeCell="I1" sqref="I1:J1048576"/>
      <pageMargins left="0.7" right="0.7" top="0.75" bottom="0.75" header="0.3" footer="0.3"/>
      <pageSetup orientation="portrait" r:id="rId1"/>
    </customSheetView>
  </customSheetViews>
  <mergeCells count="1">
    <mergeCell ref="B2:C2"/>
  </mergeCells>
  <conditionalFormatting sqref="L4:L202">
    <cfRule type="containsText" dxfId="31" priority="38" operator="containsText" text="BLANK">
      <formula>NOT(ISERROR(SEARCH("BLANK",L4)))</formula>
    </cfRule>
    <cfRule type="cellIs" dxfId="30" priority="39" operator="equal">
      <formula>0.1</formula>
    </cfRule>
    <cfRule type="cellIs" dxfId="29" priority="43" operator="between">
      <formula>0.11</formula>
      <formula>0.39</formula>
    </cfRule>
    <cfRule type="cellIs" dxfId="28" priority="44" operator="lessThan">
      <formula>0.1</formula>
    </cfRule>
    <cfRule type="cellIs" dxfId="27" priority="45" operator="greaterThan">
      <formula>0.4</formula>
    </cfRule>
  </conditionalFormatting>
  <conditionalFormatting sqref="L3:L202">
    <cfRule type="cellIs" dxfId="26" priority="42" operator="greaterThan">
      <formula>0.4</formula>
    </cfRule>
  </conditionalFormatting>
  <conditionalFormatting sqref="L3:L202">
    <cfRule type="cellIs" dxfId="25" priority="41" operator="equal">
      <formula>0.4</formula>
    </cfRule>
  </conditionalFormatting>
  <conditionalFormatting sqref="L3">
    <cfRule type="containsText" dxfId="24" priority="40" operator="containsText" text="blank">
      <formula>NOT(ISERROR(SEARCH("blank",L3)))</formula>
    </cfRule>
  </conditionalFormatting>
  <conditionalFormatting sqref="L24">
    <cfRule type="cellIs" dxfId="23" priority="33" operator="between">
      <formula>0.11</formula>
      <formula>0.01</formula>
    </cfRule>
    <cfRule type="cellIs" dxfId="22" priority="34" operator="equal">
      <formula>0.11</formula>
    </cfRule>
    <cfRule type="cellIs" dxfId="21" priority="35" operator="equal">
      <formula>0.11</formula>
    </cfRule>
    <cfRule type="cellIs" dxfId="20" priority="36" operator="equal">
      <formula>0.11</formula>
    </cfRule>
    <cfRule type="cellIs" dxfId="19" priority="37" operator="between">
      <formula>0.11</formula>
      <formula>0.39</formula>
    </cfRule>
  </conditionalFormatting>
  <conditionalFormatting sqref="T1:T1048576">
    <cfRule type="cellIs" dxfId="18" priority="4" operator="lessThan">
      <formula>5</formula>
    </cfRule>
    <cfRule type="cellIs" dxfId="17" priority="5" operator="greaterThan">
      <formula>10</formula>
    </cfRule>
    <cfRule type="cellIs" dxfId="16" priority="6" operator="between">
      <formula>5</formula>
      <formula>10</formula>
    </cfRule>
  </conditionalFormatting>
  <conditionalFormatting sqref="U1:U1048576">
    <cfRule type="cellIs" dxfId="15" priority="1" operator="lessThan">
      <formula>9.07</formula>
    </cfRule>
    <cfRule type="cellIs" dxfId="14" priority="2" operator="greaterThan">
      <formula>58.97</formula>
    </cfRule>
    <cfRule type="cellIs" dxfId="13" priority="3" operator="between">
      <formula>9.07</formula>
      <formula>58.97</formula>
    </cfRule>
  </conditionalFormatting>
  <printOptions gridLines="1"/>
  <pageMargins left="0.2" right="0.2" top="0.25" bottom="0.25" header="0.3" footer="0.3"/>
  <pageSetup scale="92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9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1" sqref="O11"/>
    </sheetView>
  </sheetViews>
  <sheetFormatPr defaultColWidth="8.85546875" defaultRowHeight="15" x14ac:dyDescent="0.25"/>
  <cols>
    <col min="1" max="1" width="8.85546875" style="70"/>
    <col min="2" max="2" width="9.42578125" style="70" customWidth="1"/>
    <col min="3" max="3" width="11.5703125" style="70" customWidth="1"/>
    <col min="4" max="4" width="8.85546875" style="70"/>
    <col min="5" max="5" width="17.7109375" style="426" customWidth="1"/>
    <col min="6" max="6" width="10.42578125" style="251" customWidth="1"/>
    <col min="7" max="7" width="8.28515625" style="286" customWidth="1"/>
    <col min="8" max="8" width="11.7109375" style="246" customWidth="1"/>
    <col min="9" max="9" width="5.7109375" style="246" customWidth="1"/>
    <col min="10" max="10" width="5.140625" style="70" customWidth="1"/>
    <col min="11" max="11" width="5" style="246" customWidth="1"/>
    <col min="12" max="12" width="5" style="70" customWidth="1"/>
    <col min="13" max="13" width="5.28515625" style="246" customWidth="1"/>
    <col min="14" max="16384" width="8.85546875" style="70"/>
  </cols>
  <sheetData>
    <row r="1" spans="1:17" x14ac:dyDescent="0.25">
      <c r="A1" s="292"/>
      <c r="B1" s="293"/>
      <c r="C1" s="293"/>
      <c r="D1" s="294"/>
      <c r="E1" s="518"/>
      <c r="F1" s="295">
        <v>2016</v>
      </c>
      <c r="G1" s="296">
        <v>2016</v>
      </c>
      <c r="H1" s="297">
        <v>2016</v>
      </c>
      <c r="I1" s="298" t="s">
        <v>139</v>
      </c>
      <c r="J1" s="299" t="s">
        <v>140</v>
      </c>
      <c r="K1" s="295" t="s">
        <v>141</v>
      </c>
      <c r="L1" s="299" t="s">
        <v>157</v>
      </c>
      <c r="M1" s="295" t="s">
        <v>158</v>
      </c>
      <c r="N1" s="293" t="s">
        <v>274</v>
      </c>
      <c r="O1" s="293"/>
      <c r="P1" s="293"/>
      <c r="Q1" s="293"/>
    </row>
    <row r="2" spans="1:17" x14ac:dyDescent="0.25">
      <c r="A2" s="292" t="s">
        <v>0</v>
      </c>
      <c r="B2" s="576" t="s">
        <v>1</v>
      </c>
      <c r="C2" s="576"/>
      <c r="D2" s="300" t="s">
        <v>82</v>
      </c>
      <c r="E2" s="519" t="s">
        <v>125</v>
      </c>
      <c r="F2" s="301" t="s">
        <v>107</v>
      </c>
      <c r="G2" s="302" t="s">
        <v>156</v>
      </c>
      <c r="H2" s="303" t="s">
        <v>161</v>
      </c>
      <c r="I2" s="304"/>
      <c r="J2" s="293"/>
      <c r="K2" s="304"/>
      <c r="L2" s="293"/>
      <c r="M2" s="304"/>
      <c r="N2" s="293"/>
      <c r="O2" s="293"/>
      <c r="P2" s="293"/>
      <c r="Q2" s="293"/>
    </row>
    <row r="3" spans="1:17" x14ac:dyDescent="0.25">
      <c r="A3" s="305" t="s">
        <v>2</v>
      </c>
      <c r="B3" s="306"/>
      <c r="C3" s="306"/>
      <c r="D3" s="509"/>
      <c r="E3" s="520"/>
      <c r="F3" s="295"/>
      <c r="G3" s="296"/>
      <c r="H3" s="303"/>
      <c r="I3" s="304"/>
      <c r="J3" s="293"/>
      <c r="K3" s="304"/>
      <c r="L3" s="293"/>
      <c r="M3" s="304"/>
      <c r="N3" s="293"/>
      <c r="O3" s="293"/>
      <c r="P3" s="293"/>
      <c r="Q3" s="293"/>
    </row>
    <row r="4" spans="1:17" x14ac:dyDescent="0.25">
      <c r="A4" s="307"/>
      <c r="B4" s="308" t="s">
        <v>3</v>
      </c>
      <c r="C4" s="308" t="s">
        <v>10</v>
      </c>
      <c r="D4" s="309">
        <v>0.75</v>
      </c>
      <c r="E4" s="520">
        <v>4</v>
      </c>
      <c r="F4" s="295">
        <v>3.28</v>
      </c>
      <c r="G4" s="309">
        <f t="shared" ref="G4:G25" si="0">F4/D4</f>
        <v>4.3733333333333331</v>
      </c>
      <c r="H4" s="310">
        <f t="shared" ref="H4:H29" si="1">(ABS(E4-F4))/F4</f>
        <v>0.2195121951219513</v>
      </c>
      <c r="I4" s="304">
        <v>21.4</v>
      </c>
      <c r="J4" s="293">
        <v>3.33</v>
      </c>
      <c r="K4" s="304">
        <v>9.6</v>
      </c>
      <c r="L4" s="293"/>
      <c r="M4" s="304"/>
      <c r="N4" s="293"/>
      <c r="O4" s="293"/>
      <c r="P4" s="293"/>
      <c r="Q4" s="293"/>
    </row>
    <row r="5" spans="1:17" x14ac:dyDescent="0.25">
      <c r="A5" s="307"/>
      <c r="B5" s="308" t="s">
        <v>3</v>
      </c>
      <c r="C5" s="308" t="s">
        <v>11</v>
      </c>
      <c r="D5" s="509">
        <v>1.4</v>
      </c>
      <c r="E5" s="521">
        <v>10</v>
      </c>
      <c r="F5" s="295">
        <v>10</v>
      </c>
      <c r="G5" s="309">
        <f t="shared" si="0"/>
        <v>7.1428571428571432</v>
      </c>
      <c r="H5" s="310">
        <f t="shared" si="1"/>
        <v>0</v>
      </c>
      <c r="I5" s="304">
        <v>22.9</v>
      </c>
      <c r="J5" s="293">
        <v>3.31</v>
      </c>
      <c r="K5" s="304">
        <v>9.1999999999999993</v>
      </c>
      <c r="L5" s="293">
        <v>206.9</v>
      </c>
      <c r="M5" s="304"/>
      <c r="N5" s="293"/>
      <c r="O5" s="293"/>
      <c r="P5" s="293"/>
      <c r="Q5" s="293"/>
    </row>
    <row r="6" spans="1:17" x14ac:dyDescent="0.25">
      <c r="A6" s="292"/>
      <c r="B6" s="308" t="s">
        <v>3</v>
      </c>
      <c r="C6" s="308" t="s">
        <v>12</v>
      </c>
      <c r="D6" s="509">
        <v>0.72</v>
      </c>
      <c r="E6" s="521">
        <v>7</v>
      </c>
      <c r="F6" s="295">
        <v>7.25</v>
      </c>
      <c r="G6" s="309">
        <f t="shared" si="0"/>
        <v>10.069444444444445</v>
      </c>
      <c r="H6" s="310">
        <f t="shared" si="1"/>
        <v>3.4482758620689655E-2</v>
      </c>
      <c r="I6" s="304"/>
      <c r="J6" s="293"/>
      <c r="K6" s="304"/>
      <c r="L6" s="293"/>
      <c r="M6" s="304"/>
      <c r="N6" s="293"/>
      <c r="O6" s="293"/>
      <c r="P6" s="293"/>
      <c r="Q6" s="293"/>
    </row>
    <row r="7" spans="1:17" x14ac:dyDescent="0.25">
      <c r="A7" s="292"/>
      <c r="B7" s="308" t="s">
        <v>3</v>
      </c>
      <c r="C7" s="308" t="s">
        <v>14</v>
      </c>
      <c r="D7" s="509">
        <v>2.39</v>
      </c>
      <c r="E7" s="520">
        <v>15</v>
      </c>
      <c r="F7" s="295">
        <v>13.3</v>
      </c>
      <c r="G7" s="309">
        <f t="shared" si="0"/>
        <v>5.5648535564853558</v>
      </c>
      <c r="H7" s="310">
        <f t="shared" si="1"/>
        <v>0.12781954887218039</v>
      </c>
      <c r="I7" s="304">
        <v>25.3</v>
      </c>
      <c r="J7" s="293">
        <v>3.44</v>
      </c>
      <c r="K7" s="304">
        <v>7.8</v>
      </c>
      <c r="L7" s="293">
        <v>298.8</v>
      </c>
      <c r="M7" s="304"/>
      <c r="N7" s="293"/>
      <c r="O7" s="293"/>
      <c r="P7" s="293"/>
      <c r="Q7" s="293"/>
    </row>
    <row r="8" spans="1:17" x14ac:dyDescent="0.25">
      <c r="A8" s="292"/>
      <c r="B8" s="308" t="s">
        <v>3</v>
      </c>
      <c r="C8" s="308" t="s">
        <v>16</v>
      </c>
      <c r="D8" s="509">
        <v>2.35</v>
      </c>
      <c r="E8" s="520">
        <v>14</v>
      </c>
      <c r="F8" s="295">
        <v>13.85</v>
      </c>
      <c r="G8" s="309">
        <f t="shared" si="0"/>
        <v>5.8936170212765955</v>
      </c>
      <c r="H8" s="310">
        <f t="shared" si="1"/>
        <v>1.0830324909747318E-2</v>
      </c>
      <c r="I8" s="304">
        <v>22.7</v>
      </c>
      <c r="J8" s="293">
        <v>3.26</v>
      </c>
      <c r="K8" s="304">
        <v>9</v>
      </c>
      <c r="L8" s="293">
        <v>225.3</v>
      </c>
      <c r="M8" s="304"/>
      <c r="N8" s="293"/>
      <c r="O8" s="293"/>
      <c r="P8" s="293"/>
      <c r="Q8" s="293"/>
    </row>
    <row r="9" spans="1:17" x14ac:dyDescent="0.25">
      <c r="A9" s="292"/>
      <c r="B9" s="308" t="s">
        <v>3</v>
      </c>
      <c r="C9" s="308" t="s">
        <v>143</v>
      </c>
      <c r="D9" s="509">
        <v>0.9</v>
      </c>
      <c r="E9" s="520">
        <v>7</v>
      </c>
      <c r="F9" s="295">
        <v>5.81</v>
      </c>
      <c r="G9" s="309">
        <f t="shared" si="0"/>
        <v>6.4555555555555548</v>
      </c>
      <c r="H9" s="310">
        <f t="shared" si="1"/>
        <v>0.20481927710843381</v>
      </c>
      <c r="I9" s="304">
        <v>24</v>
      </c>
      <c r="J9" s="293">
        <v>3.4</v>
      </c>
      <c r="K9" s="304">
        <v>7.8</v>
      </c>
      <c r="L9" s="293"/>
      <c r="M9" s="304"/>
      <c r="N9" s="293"/>
      <c r="O9" s="293"/>
      <c r="P9" s="293"/>
      <c r="Q9" s="293"/>
    </row>
    <row r="10" spans="1:17" x14ac:dyDescent="0.25">
      <c r="A10" s="292"/>
      <c r="B10" s="308"/>
      <c r="C10" s="308" t="s">
        <v>144</v>
      </c>
      <c r="D10" s="509">
        <v>0.9</v>
      </c>
      <c r="E10" s="520">
        <v>7</v>
      </c>
      <c r="F10" s="295">
        <v>5.81</v>
      </c>
      <c r="G10" s="309">
        <f t="shared" si="0"/>
        <v>6.4555555555555548</v>
      </c>
      <c r="H10" s="310">
        <f t="shared" si="1"/>
        <v>0.20481927710843381</v>
      </c>
      <c r="I10" s="304">
        <v>23.1</v>
      </c>
      <c r="J10" s="293">
        <v>3.42</v>
      </c>
      <c r="K10" s="304">
        <v>8</v>
      </c>
      <c r="L10" s="293">
        <v>248.3</v>
      </c>
      <c r="M10" s="304"/>
      <c r="N10" s="293"/>
      <c r="O10" s="293"/>
      <c r="P10" s="293"/>
      <c r="Q10" s="293"/>
    </row>
    <row r="11" spans="1:17" x14ac:dyDescent="0.25">
      <c r="A11" s="292"/>
      <c r="B11" s="308" t="s">
        <v>3</v>
      </c>
      <c r="C11" s="308" t="s">
        <v>145</v>
      </c>
      <c r="D11" s="509">
        <v>0.96</v>
      </c>
      <c r="E11" s="303">
        <v>5</v>
      </c>
      <c r="F11" s="295">
        <v>6.2</v>
      </c>
      <c r="G11" s="309">
        <f t="shared" si="0"/>
        <v>6.4583333333333339</v>
      </c>
      <c r="H11" s="310">
        <f t="shared" si="1"/>
        <v>0.19354838709677422</v>
      </c>
      <c r="I11" s="304"/>
      <c r="J11" s="293"/>
      <c r="K11" s="304"/>
      <c r="L11" s="293"/>
      <c r="M11" s="304"/>
      <c r="N11" s="293"/>
      <c r="O11" s="293"/>
      <c r="P11" s="293"/>
      <c r="Q11" s="293"/>
    </row>
    <row r="12" spans="1:17" x14ac:dyDescent="0.25">
      <c r="A12" s="292"/>
      <c r="B12" s="308"/>
      <c r="C12" s="308" t="s">
        <v>146</v>
      </c>
      <c r="D12" s="509">
        <v>0.96</v>
      </c>
      <c r="E12" s="303">
        <v>7</v>
      </c>
      <c r="F12" s="295">
        <v>6.2</v>
      </c>
      <c r="G12" s="309">
        <f t="shared" si="0"/>
        <v>6.4583333333333339</v>
      </c>
      <c r="H12" s="310">
        <f t="shared" si="1"/>
        <v>0.1290322580645161</v>
      </c>
      <c r="I12" s="304"/>
      <c r="J12" s="293"/>
      <c r="K12" s="304"/>
      <c r="L12" s="293"/>
      <c r="M12" s="304"/>
      <c r="N12" s="293"/>
      <c r="O12" s="293"/>
      <c r="P12" s="293"/>
      <c r="Q12" s="293"/>
    </row>
    <row r="13" spans="1:17" x14ac:dyDescent="0.25">
      <c r="A13" s="292"/>
      <c r="B13" s="308" t="s">
        <v>3</v>
      </c>
      <c r="C13" s="308" t="s">
        <v>147</v>
      </c>
      <c r="D13" s="509">
        <v>0.71499999999999997</v>
      </c>
      <c r="E13" s="303">
        <v>5</v>
      </c>
      <c r="F13" s="295">
        <v>4.72</v>
      </c>
      <c r="G13" s="309">
        <f t="shared" si="0"/>
        <v>6.6013986013986017</v>
      </c>
      <c r="H13" s="310">
        <f t="shared" si="1"/>
        <v>5.9322033898305142E-2</v>
      </c>
      <c r="I13" s="304"/>
      <c r="J13" s="293"/>
      <c r="K13" s="304"/>
      <c r="L13" s="293"/>
      <c r="M13" s="304"/>
      <c r="N13" s="293"/>
      <c r="O13" s="293"/>
      <c r="P13" s="293"/>
      <c r="Q13" s="293"/>
    </row>
    <row r="14" spans="1:17" x14ac:dyDescent="0.25">
      <c r="A14" s="292"/>
      <c r="B14" s="308"/>
      <c r="C14" s="308" t="s">
        <v>148</v>
      </c>
      <c r="D14" s="509">
        <v>0.71499999999999997</v>
      </c>
      <c r="E14" s="303">
        <v>8</v>
      </c>
      <c r="F14" s="295">
        <v>4.72</v>
      </c>
      <c r="G14" s="309">
        <f t="shared" si="0"/>
        <v>6.6013986013986017</v>
      </c>
      <c r="H14" s="310">
        <f t="shared" si="1"/>
        <v>0.69491525423728817</v>
      </c>
      <c r="I14" s="304"/>
      <c r="J14" s="293"/>
      <c r="K14" s="304"/>
      <c r="L14" s="293"/>
      <c r="M14" s="304"/>
      <c r="N14" s="293"/>
      <c r="O14" s="293"/>
      <c r="P14" s="293"/>
      <c r="Q14" s="293"/>
    </row>
    <row r="15" spans="1:17" x14ac:dyDescent="0.25">
      <c r="A15" s="292"/>
      <c r="B15" s="308" t="s">
        <v>3</v>
      </c>
      <c r="C15" s="308" t="s">
        <v>149</v>
      </c>
      <c r="D15" s="509">
        <v>0.51500000000000001</v>
      </c>
      <c r="E15" s="303">
        <v>3</v>
      </c>
      <c r="F15" s="311">
        <v>3.23</v>
      </c>
      <c r="G15" s="309">
        <f t="shared" si="0"/>
        <v>6.2718446601941746</v>
      </c>
      <c r="H15" s="310">
        <f t="shared" si="1"/>
        <v>7.1207430340557265E-2</v>
      </c>
      <c r="I15" s="304"/>
      <c r="J15" s="293"/>
      <c r="K15" s="304"/>
      <c r="L15" s="293"/>
      <c r="M15" s="304"/>
      <c r="N15" s="293"/>
      <c r="O15" s="293"/>
      <c r="P15" s="293"/>
      <c r="Q15" s="293"/>
    </row>
    <row r="16" spans="1:17" x14ac:dyDescent="0.25">
      <c r="A16" s="292"/>
      <c r="B16" s="293"/>
      <c r="C16" s="308" t="s">
        <v>150</v>
      </c>
      <c r="D16" s="509">
        <v>0.51500000000000001</v>
      </c>
      <c r="E16" s="303">
        <v>3</v>
      </c>
      <c r="F16" s="295">
        <v>3.23</v>
      </c>
      <c r="G16" s="309">
        <f t="shared" si="0"/>
        <v>6.2718446601941746</v>
      </c>
      <c r="H16" s="310">
        <f t="shared" si="1"/>
        <v>7.1207430340557265E-2</v>
      </c>
      <c r="I16" s="304"/>
      <c r="J16" s="293"/>
      <c r="K16" s="304"/>
      <c r="L16" s="293"/>
      <c r="M16" s="304"/>
      <c r="N16" s="293"/>
      <c r="O16" s="293"/>
      <c r="P16" s="293"/>
      <c r="Q16" s="293"/>
    </row>
    <row r="17" spans="1:17" x14ac:dyDescent="0.25">
      <c r="A17" s="292"/>
      <c r="B17" s="312" t="s">
        <v>84</v>
      </c>
      <c r="C17" s="308" t="s">
        <v>190</v>
      </c>
      <c r="D17" s="509">
        <v>1.1299999999999999</v>
      </c>
      <c r="E17" s="520">
        <v>4</v>
      </c>
      <c r="F17" s="295">
        <v>4.84</v>
      </c>
      <c r="G17" s="309">
        <f t="shared" si="0"/>
        <v>4.283185840707965</v>
      </c>
      <c r="H17" s="310">
        <f t="shared" si="1"/>
        <v>0.17355371900826444</v>
      </c>
      <c r="I17" s="304">
        <v>22.9</v>
      </c>
      <c r="J17" s="293">
        <v>3.31</v>
      </c>
      <c r="K17" s="304">
        <v>9.1999999999999993</v>
      </c>
      <c r="L17" s="293">
        <v>206.9</v>
      </c>
      <c r="M17" s="304"/>
      <c r="N17" s="293"/>
      <c r="O17" s="293"/>
      <c r="P17" s="293"/>
      <c r="Q17" s="293"/>
    </row>
    <row r="18" spans="1:17" x14ac:dyDescent="0.25">
      <c r="A18" s="292"/>
      <c r="B18" s="312" t="s">
        <v>86</v>
      </c>
      <c r="C18" s="308" t="s">
        <v>218</v>
      </c>
      <c r="D18" s="509">
        <v>1.1100000000000001</v>
      </c>
      <c r="E18" s="520">
        <v>4</v>
      </c>
      <c r="F18" s="295">
        <v>3.93</v>
      </c>
      <c r="G18" s="309">
        <f t="shared" si="0"/>
        <v>3.5405405405405403</v>
      </c>
      <c r="H18" s="310">
        <f t="shared" si="1"/>
        <v>1.7811704834605556E-2</v>
      </c>
      <c r="I18" s="304">
        <v>23.1</v>
      </c>
      <c r="J18" s="293">
        <v>3.42</v>
      </c>
      <c r="K18" s="304">
        <v>8</v>
      </c>
      <c r="L18" s="293"/>
      <c r="M18" s="304"/>
      <c r="N18" s="293"/>
      <c r="O18" s="293"/>
      <c r="P18" s="293"/>
      <c r="Q18" s="293"/>
    </row>
    <row r="19" spans="1:17" x14ac:dyDescent="0.25">
      <c r="A19" s="292"/>
      <c r="B19" s="312" t="s">
        <v>199</v>
      </c>
      <c r="C19" s="308" t="s">
        <v>40</v>
      </c>
      <c r="D19" s="509">
        <v>10</v>
      </c>
      <c r="E19" s="520">
        <v>30</v>
      </c>
      <c r="F19" s="295">
        <v>33.6</v>
      </c>
      <c r="G19" s="309">
        <f t="shared" si="0"/>
        <v>3.3600000000000003</v>
      </c>
      <c r="H19" s="310">
        <f t="shared" si="1"/>
        <v>0.10714285714285718</v>
      </c>
      <c r="I19" s="304">
        <v>21.3</v>
      </c>
      <c r="J19" s="293">
        <v>3.34</v>
      </c>
      <c r="K19" s="304">
        <v>6.6</v>
      </c>
      <c r="L19" s="293">
        <v>245.8</v>
      </c>
      <c r="M19" s="304"/>
      <c r="N19" s="293"/>
      <c r="O19" s="293"/>
      <c r="P19" s="293"/>
      <c r="Q19" s="293"/>
    </row>
    <row r="20" spans="1:17" x14ac:dyDescent="0.25">
      <c r="A20" s="292"/>
      <c r="B20" s="312" t="s">
        <v>7</v>
      </c>
      <c r="C20" s="308" t="s">
        <v>109</v>
      </c>
      <c r="D20" s="510">
        <v>2</v>
      </c>
      <c r="E20" s="522">
        <v>12</v>
      </c>
      <c r="F20" s="295">
        <v>14.3</v>
      </c>
      <c r="G20" s="309">
        <f t="shared" si="0"/>
        <v>7.15</v>
      </c>
      <c r="H20" s="310">
        <f t="shared" si="1"/>
        <v>0.16083916083916089</v>
      </c>
      <c r="I20" s="304">
        <v>23.1</v>
      </c>
      <c r="J20" s="293">
        <v>3.33</v>
      </c>
      <c r="K20" s="304">
        <v>9.8000000000000007</v>
      </c>
      <c r="L20" s="293">
        <v>222.9</v>
      </c>
      <c r="M20" s="304"/>
      <c r="N20" s="293"/>
      <c r="O20" s="293"/>
      <c r="P20" s="293"/>
      <c r="Q20" s="293"/>
    </row>
    <row r="21" spans="1:17" x14ac:dyDescent="0.25">
      <c r="A21" s="292"/>
      <c r="B21" s="312" t="s">
        <v>7</v>
      </c>
      <c r="C21" s="308" t="s">
        <v>273</v>
      </c>
      <c r="D21" s="510">
        <v>1.5</v>
      </c>
      <c r="E21" s="522">
        <v>8</v>
      </c>
      <c r="F21" s="295">
        <v>8.34</v>
      </c>
      <c r="G21" s="309">
        <f t="shared" si="0"/>
        <v>5.56</v>
      </c>
      <c r="H21" s="310">
        <f t="shared" si="1"/>
        <v>4.0767386091127081E-2</v>
      </c>
      <c r="I21" s="304">
        <v>23.4</v>
      </c>
      <c r="J21" s="293">
        <v>3.39</v>
      </c>
      <c r="K21" s="304">
        <v>8.4</v>
      </c>
      <c r="L21" s="293">
        <v>275.3</v>
      </c>
      <c r="M21" s="304"/>
      <c r="N21" s="293"/>
      <c r="O21" s="293"/>
      <c r="P21" s="293"/>
      <c r="Q21" s="293"/>
    </row>
    <row r="22" spans="1:17" x14ac:dyDescent="0.25">
      <c r="A22" s="292"/>
      <c r="B22" s="312" t="s">
        <v>7</v>
      </c>
      <c r="C22" s="308" t="s">
        <v>100</v>
      </c>
      <c r="D22" s="510">
        <v>1.25</v>
      </c>
      <c r="E22" s="522">
        <v>0</v>
      </c>
      <c r="F22" s="295">
        <v>0</v>
      </c>
      <c r="G22" s="309">
        <f t="shared" si="0"/>
        <v>0</v>
      </c>
      <c r="H22" s="310"/>
      <c r="I22" s="304"/>
      <c r="J22" s="293"/>
      <c r="K22" s="304"/>
      <c r="L22" s="293"/>
      <c r="M22" s="304"/>
      <c r="N22" s="293"/>
      <c r="O22" s="293"/>
      <c r="P22" s="293"/>
      <c r="Q22" s="293"/>
    </row>
    <row r="23" spans="1:17" x14ac:dyDescent="0.25">
      <c r="A23" s="292"/>
      <c r="B23" s="312" t="s">
        <v>7</v>
      </c>
      <c r="C23" s="313" t="s">
        <v>87</v>
      </c>
      <c r="D23" s="510">
        <v>10.5</v>
      </c>
      <c r="E23" s="522">
        <v>0</v>
      </c>
      <c r="F23" s="295">
        <v>0</v>
      </c>
      <c r="G23" s="309">
        <f t="shared" si="0"/>
        <v>0</v>
      </c>
      <c r="H23" s="310"/>
      <c r="I23" s="304"/>
      <c r="J23" s="293"/>
      <c r="K23" s="304"/>
      <c r="L23" s="293"/>
      <c r="M23" s="304"/>
      <c r="N23" s="293"/>
      <c r="O23" s="293"/>
      <c r="P23" s="293"/>
      <c r="Q23" s="293"/>
    </row>
    <row r="24" spans="1:17" x14ac:dyDescent="0.25">
      <c r="A24" s="292"/>
      <c r="B24" s="312" t="s">
        <v>7</v>
      </c>
      <c r="C24" s="313" t="s">
        <v>113</v>
      </c>
      <c r="D24" s="510">
        <v>10.5</v>
      </c>
      <c r="E24" s="522">
        <v>50</v>
      </c>
      <c r="F24" s="295">
        <v>38.03</v>
      </c>
      <c r="G24" s="309">
        <f t="shared" si="0"/>
        <v>3.6219047619047622</v>
      </c>
      <c r="H24" s="310">
        <f>ABS(E24-F24)/F24</f>
        <v>0.31475151196423873</v>
      </c>
      <c r="I24" s="304">
        <v>22.4</v>
      </c>
      <c r="J24" s="293">
        <v>3.44</v>
      </c>
      <c r="K24" s="304">
        <v>7</v>
      </c>
      <c r="L24" s="293">
        <v>299.83999999999997</v>
      </c>
      <c r="M24" s="304"/>
      <c r="N24" s="293"/>
      <c r="O24" s="293"/>
      <c r="P24" s="293"/>
      <c r="Q24" s="293"/>
    </row>
    <row r="25" spans="1:17" x14ac:dyDescent="0.25">
      <c r="A25" s="292"/>
      <c r="B25" s="312" t="s">
        <v>138</v>
      </c>
      <c r="C25" s="313" t="s">
        <v>121</v>
      </c>
      <c r="D25" s="510">
        <v>1.66</v>
      </c>
      <c r="E25" s="522">
        <v>20</v>
      </c>
      <c r="F25" s="295">
        <v>24.34</v>
      </c>
      <c r="G25" s="309">
        <f t="shared" si="0"/>
        <v>14.66265060240964</v>
      </c>
      <c r="H25" s="310">
        <f t="shared" si="1"/>
        <v>0.17830731306491371</v>
      </c>
      <c r="I25" s="304">
        <v>22.8</v>
      </c>
      <c r="J25" s="293">
        <v>3.45</v>
      </c>
      <c r="K25" s="304">
        <v>7.9</v>
      </c>
      <c r="L25" s="293">
        <v>181.5</v>
      </c>
      <c r="M25" s="304"/>
      <c r="N25" s="293"/>
      <c r="O25" s="293"/>
      <c r="P25" s="293"/>
      <c r="Q25" s="293"/>
    </row>
    <row r="26" spans="1:17" x14ac:dyDescent="0.25">
      <c r="A26" s="292"/>
      <c r="B26" s="314"/>
      <c r="C26" s="315" t="s">
        <v>114</v>
      </c>
      <c r="D26" s="337">
        <f>SUM(D4:D16)</f>
        <v>13.790000000000003</v>
      </c>
      <c r="E26" s="520">
        <f>SUM(E4:E16)</f>
        <v>95</v>
      </c>
      <c r="F26" s="304">
        <f>SUM(F4:F16)</f>
        <v>87.600000000000009</v>
      </c>
      <c r="G26" s="309"/>
      <c r="H26" s="317">
        <f t="shared" si="1"/>
        <v>8.4474885844748757E-2</v>
      </c>
      <c r="I26" s="304"/>
      <c r="J26" s="293"/>
      <c r="K26" s="304"/>
      <c r="L26" s="293"/>
      <c r="M26" s="304"/>
      <c r="N26" s="293"/>
      <c r="O26" s="293"/>
      <c r="P26" s="293"/>
      <c r="Q26" s="293"/>
    </row>
    <row r="27" spans="1:17" x14ac:dyDescent="0.25">
      <c r="A27" s="292"/>
      <c r="B27" s="314"/>
      <c r="C27" s="318" t="s">
        <v>118</v>
      </c>
      <c r="D27" s="323">
        <f>SUM(D17:D19)</f>
        <v>12.24</v>
      </c>
      <c r="E27" s="520">
        <f>SUM(E17:E19)</f>
        <v>38</v>
      </c>
      <c r="F27" s="304">
        <f>SUM(F17:F19)</f>
        <v>42.370000000000005</v>
      </c>
      <c r="G27" s="309"/>
      <c r="H27" s="310">
        <f t="shared" si="1"/>
        <v>0.10313901345291489</v>
      </c>
      <c r="I27" s="304"/>
      <c r="J27" s="293"/>
      <c r="K27" s="304"/>
      <c r="L27" s="293"/>
      <c r="M27" s="304"/>
      <c r="N27" s="293"/>
      <c r="O27" s="293"/>
      <c r="P27" s="293"/>
      <c r="Q27" s="293"/>
    </row>
    <row r="28" spans="1:17" ht="15.75" thickBot="1" x14ac:dyDescent="0.3">
      <c r="A28" s="292"/>
      <c r="B28" s="293"/>
      <c r="C28" s="319" t="s">
        <v>116</v>
      </c>
      <c r="D28" s="339">
        <f>SUM(D20:D23)</f>
        <v>15.25</v>
      </c>
      <c r="E28" s="520">
        <f>SUM(E20:E25)</f>
        <v>90</v>
      </c>
      <c r="F28" s="321">
        <f>SUM(F20:F25)</f>
        <v>85.01</v>
      </c>
      <c r="G28" s="309"/>
      <c r="H28" s="310">
        <f t="shared" si="1"/>
        <v>5.869897659098923E-2</v>
      </c>
      <c r="I28" s="304"/>
      <c r="J28" s="293"/>
      <c r="K28" s="304"/>
      <c r="L28" s="293"/>
      <c r="M28" s="304"/>
      <c r="N28" s="293"/>
      <c r="O28" s="293"/>
      <c r="P28" s="293"/>
      <c r="Q28" s="293"/>
    </row>
    <row r="29" spans="1:17" ht="15.75" thickTop="1" x14ac:dyDescent="0.25">
      <c r="A29" s="292"/>
      <c r="B29" s="293"/>
      <c r="C29" s="322" t="s">
        <v>117</v>
      </c>
      <c r="D29" s="323">
        <f>SUM(D4:D23)</f>
        <v>41.28</v>
      </c>
      <c r="E29" s="523">
        <f>SUM(E26:E28)</f>
        <v>223</v>
      </c>
      <c r="F29" s="359">
        <f>SUM(F26:F28)</f>
        <v>214.98000000000002</v>
      </c>
      <c r="G29" s="506"/>
      <c r="H29" s="507">
        <f t="shared" si="1"/>
        <v>3.730579588798949E-2</v>
      </c>
      <c r="I29" s="359"/>
      <c r="J29" s="360"/>
      <c r="K29" s="359"/>
      <c r="L29" s="360"/>
      <c r="M29" s="359"/>
      <c r="N29" s="293"/>
      <c r="O29" s="293"/>
      <c r="P29" s="293"/>
      <c r="Q29" s="293"/>
    </row>
    <row r="30" spans="1:17" x14ac:dyDescent="0.25">
      <c r="A30" s="305" t="s">
        <v>13</v>
      </c>
      <c r="B30" s="324"/>
      <c r="C30" s="324"/>
      <c r="D30" s="305"/>
      <c r="E30" s="520"/>
      <c r="F30" s="295"/>
      <c r="G30" s="309"/>
      <c r="H30" s="325"/>
      <c r="I30" s="304"/>
      <c r="J30" s="293"/>
      <c r="K30" s="304"/>
      <c r="L30" s="293"/>
      <c r="M30" s="304"/>
      <c r="N30" s="293"/>
      <c r="O30" s="293"/>
      <c r="P30" s="293"/>
      <c r="Q30" s="293"/>
    </row>
    <row r="31" spans="1:17" x14ac:dyDescent="0.25">
      <c r="A31" s="292"/>
      <c r="B31" s="308" t="s">
        <v>3</v>
      </c>
      <c r="C31" s="308" t="s">
        <v>29</v>
      </c>
      <c r="D31" s="363">
        <v>4.32</v>
      </c>
      <c r="E31" s="524">
        <v>36</v>
      </c>
      <c r="F31" s="295">
        <v>43.1</v>
      </c>
      <c r="G31" s="309">
        <f>F31/D31</f>
        <v>9.9768518518518512</v>
      </c>
      <c r="H31" s="310">
        <f t="shared" ref="H31:H38" si="2">(ABS(E31-F31))/F31</f>
        <v>0.16473317865429238</v>
      </c>
      <c r="I31" s="304">
        <v>18.899999999999999</v>
      </c>
      <c r="J31" s="293">
        <v>3.56</v>
      </c>
      <c r="K31" s="304">
        <v>5.0999999999999996</v>
      </c>
      <c r="L31" s="293">
        <v>158.13999999999999</v>
      </c>
      <c r="M31" s="304"/>
      <c r="N31" s="293"/>
      <c r="O31" s="293"/>
      <c r="P31" s="293"/>
      <c r="Q31" s="293"/>
    </row>
    <row r="32" spans="1:17" x14ac:dyDescent="0.25">
      <c r="A32" s="292"/>
      <c r="B32" s="308" t="s">
        <v>3</v>
      </c>
      <c r="C32" s="308" t="s">
        <v>31</v>
      </c>
      <c r="D32" s="363">
        <v>1.92</v>
      </c>
      <c r="E32" s="524">
        <v>15</v>
      </c>
      <c r="F32" s="295">
        <v>14.85</v>
      </c>
      <c r="G32" s="309">
        <f>F32/D32</f>
        <v>7.734375</v>
      </c>
      <c r="H32" s="310">
        <f t="shared" si="2"/>
        <v>1.0101010101010124E-2</v>
      </c>
      <c r="I32" s="304">
        <v>18.600000000000001</v>
      </c>
      <c r="J32" s="293">
        <v>3.38</v>
      </c>
      <c r="K32" s="304">
        <v>6.3</v>
      </c>
      <c r="L32" s="293"/>
      <c r="M32" s="304"/>
      <c r="N32" s="293"/>
      <c r="O32" s="293"/>
      <c r="P32" s="293"/>
      <c r="Q32" s="293"/>
    </row>
    <row r="33" spans="1:17" x14ac:dyDescent="0.25">
      <c r="A33" s="292"/>
      <c r="B33" s="308" t="s">
        <v>86</v>
      </c>
      <c r="C33" s="308" t="s">
        <v>32</v>
      </c>
      <c r="D33" s="511">
        <v>3.29</v>
      </c>
      <c r="E33" s="303">
        <v>35</v>
      </c>
      <c r="F33" s="295">
        <v>30.56</v>
      </c>
      <c r="G33" s="309">
        <f>F33/D33</f>
        <v>9.2887537993920972</v>
      </c>
      <c r="H33" s="310">
        <f t="shared" si="2"/>
        <v>0.1452879581151833</v>
      </c>
      <c r="I33" s="304">
        <v>18.899999999999999</v>
      </c>
      <c r="J33" s="293">
        <v>3.28</v>
      </c>
      <c r="K33" s="304">
        <v>6.8</v>
      </c>
      <c r="L33" s="293"/>
      <c r="M33" s="304"/>
      <c r="N33" s="293"/>
      <c r="O33" s="326"/>
      <c r="P33" s="293"/>
      <c r="Q33" s="293"/>
    </row>
    <row r="34" spans="1:17" x14ac:dyDescent="0.25">
      <c r="A34" s="342"/>
      <c r="B34" s="343" t="s">
        <v>84</v>
      </c>
      <c r="C34" s="343" t="s">
        <v>191</v>
      </c>
      <c r="D34" s="512">
        <v>7.57</v>
      </c>
      <c r="E34" s="525">
        <v>20</v>
      </c>
      <c r="F34" s="357">
        <v>56.75</v>
      </c>
      <c r="G34" s="506">
        <f>F34/D34</f>
        <v>7.4966974900924699</v>
      </c>
      <c r="H34" s="507">
        <f t="shared" si="2"/>
        <v>0.64757709251101325</v>
      </c>
      <c r="I34" s="359">
        <v>19.5</v>
      </c>
      <c r="J34" s="360">
        <v>3.55</v>
      </c>
      <c r="K34" s="359">
        <v>5.2</v>
      </c>
      <c r="L34" s="360"/>
      <c r="M34" s="359"/>
      <c r="N34" s="293"/>
      <c r="O34" s="293"/>
      <c r="P34" s="293"/>
      <c r="Q34" s="293"/>
    </row>
    <row r="35" spans="1:17" x14ac:dyDescent="0.25">
      <c r="A35" s="292"/>
      <c r="B35" s="314"/>
      <c r="C35" s="508" t="s">
        <v>114</v>
      </c>
      <c r="D35" s="327">
        <f>SUM(D31:D32)</f>
        <v>6.24</v>
      </c>
      <c r="E35" s="520">
        <f>SUM(E31:E32)</f>
        <v>51</v>
      </c>
      <c r="F35" s="304">
        <f>SUM(F31,F32)</f>
        <v>57.95</v>
      </c>
      <c r="G35" s="309"/>
      <c r="H35" s="310">
        <f t="shared" si="2"/>
        <v>0.11993097497842972</v>
      </c>
      <c r="I35" s="304"/>
      <c r="J35" s="293"/>
      <c r="K35" s="304"/>
      <c r="L35" s="293"/>
      <c r="M35" s="304"/>
      <c r="N35" s="293"/>
      <c r="O35" s="293"/>
      <c r="P35" s="293"/>
      <c r="Q35" s="293"/>
    </row>
    <row r="36" spans="1:17" x14ac:dyDescent="0.25">
      <c r="A36" s="292"/>
      <c r="B36" s="314"/>
      <c r="C36" s="292" t="s">
        <v>119</v>
      </c>
      <c r="D36" s="327">
        <f>SUM(D33:D34)</f>
        <v>10.86</v>
      </c>
      <c r="E36" s="520">
        <f>SUM(E33:E34)</f>
        <v>55</v>
      </c>
      <c r="F36" s="304">
        <f>SUM(F33:F34)</f>
        <v>87.31</v>
      </c>
      <c r="G36" s="309"/>
      <c r="H36" s="310">
        <f t="shared" si="2"/>
        <v>0.37006070324132401</v>
      </c>
      <c r="I36" s="304"/>
      <c r="J36" s="293"/>
      <c r="K36" s="304"/>
      <c r="L36" s="293"/>
      <c r="M36" s="304"/>
      <c r="N36" s="293"/>
      <c r="O36" s="293"/>
      <c r="P36" s="293"/>
      <c r="Q36" s="293"/>
    </row>
    <row r="37" spans="1:17" ht="15.75" thickBot="1" x14ac:dyDescent="0.3">
      <c r="A37" s="292"/>
      <c r="B37" s="293"/>
      <c r="C37" s="328" t="s">
        <v>116</v>
      </c>
      <c r="D37" s="329">
        <v>0</v>
      </c>
      <c r="E37" s="520">
        <v>0</v>
      </c>
      <c r="F37" s="304">
        <v>0</v>
      </c>
      <c r="G37" s="309"/>
      <c r="H37" s="310"/>
      <c r="I37" s="304"/>
      <c r="J37" s="293"/>
      <c r="K37" s="304"/>
      <c r="L37" s="293"/>
      <c r="M37" s="304"/>
      <c r="N37" s="293"/>
      <c r="O37" s="293"/>
      <c r="P37" s="293"/>
      <c r="Q37" s="293"/>
    </row>
    <row r="38" spans="1:17" ht="15.75" thickTop="1" x14ac:dyDescent="0.25">
      <c r="A38" s="292"/>
      <c r="B38" s="293"/>
      <c r="C38" s="330" t="s">
        <v>117</v>
      </c>
      <c r="D38" s="327">
        <f>SUM(D35:D36)</f>
        <v>17.100000000000001</v>
      </c>
      <c r="E38" s="523">
        <f>SUM(E35:E36)</f>
        <v>106</v>
      </c>
      <c r="F38" s="359">
        <f>SUM(F35:F36)</f>
        <v>145.26</v>
      </c>
      <c r="G38" s="506"/>
      <c r="H38" s="507">
        <f t="shared" si="2"/>
        <v>0.2702739914635825</v>
      </c>
      <c r="I38" s="359"/>
      <c r="J38" s="360"/>
      <c r="K38" s="359"/>
      <c r="L38" s="360"/>
      <c r="M38" s="359"/>
      <c r="N38" s="293"/>
      <c r="O38" s="293"/>
      <c r="P38" s="293"/>
      <c r="Q38" s="293"/>
    </row>
    <row r="39" spans="1:17" x14ac:dyDescent="0.25">
      <c r="A39" s="305" t="s">
        <v>15</v>
      </c>
      <c r="B39" s="324"/>
      <c r="C39" s="305"/>
      <c r="D39" s="305"/>
      <c r="E39" s="520"/>
      <c r="F39" s="295"/>
      <c r="G39" s="309"/>
      <c r="H39" s="331"/>
      <c r="I39" s="304"/>
      <c r="J39" s="293"/>
      <c r="K39" s="304"/>
      <c r="L39" s="293"/>
      <c r="M39" s="304"/>
      <c r="N39" s="293"/>
      <c r="O39" s="293"/>
      <c r="P39" s="293"/>
      <c r="Q39" s="293"/>
    </row>
    <row r="40" spans="1:17" x14ac:dyDescent="0.25">
      <c r="A40" s="292"/>
      <c r="B40" s="308" t="s">
        <v>3</v>
      </c>
      <c r="C40" s="308" t="s">
        <v>36</v>
      </c>
      <c r="D40" s="511">
        <v>4.04</v>
      </c>
      <c r="E40" s="520">
        <v>26</v>
      </c>
      <c r="F40" s="295">
        <v>25.52</v>
      </c>
      <c r="G40" s="309">
        <f>F40/D40</f>
        <v>6.3168316831683171</v>
      </c>
      <c r="H40" s="332">
        <f>(ABS(E40-F40))/F40</f>
        <v>1.8808777429467103E-2</v>
      </c>
      <c r="I40" s="304">
        <v>23.4</v>
      </c>
      <c r="J40" s="293">
        <v>3.3</v>
      </c>
      <c r="K40" s="304">
        <v>7.1</v>
      </c>
      <c r="L40" s="293">
        <v>186.1</v>
      </c>
      <c r="M40" s="304"/>
      <c r="N40" s="293"/>
      <c r="O40" s="293"/>
      <c r="P40" s="293"/>
      <c r="Q40" s="293"/>
    </row>
    <row r="41" spans="1:17" x14ac:dyDescent="0.25">
      <c r="A41" s="292"/>
      <c r="B41" s="308" t="s">
        <v>86</v>
      </c>
      <c r="C41" s="308" t="s">
        <v>37</v>
      </c>
      <c r="D41" s="511">
        <v>5.04</v>
      </c>
      <c r="E41" s="520">
        <v>32</v>
      </c>
      <c r="F41" s="295">
        <v>27.26</v>
      </c>
      <c r="G41" s="309">
        <f>F41/D41</f>
        <v>5.4087301587301591</v>
      </c>
      <c r="H41" s="310">
        <f>(ABS(E41-F41))/F41</f>
        <v>0.17388114453411585</v>
      </c>
      <c r="I41" s="304">
        <v>23.4</v>
      </c>
      <c r="J41" s="293">
        <v>3.25</v>
      </c>
      <c r="K41" s="304">
        <v>8.3000000000000007</v>
      </c>
      <c r="L41" s="293">
        <v>219.7</v>
      </c>
      <c r="M41" s="304"/>
      <c r="N41" s="293"/>
      <c r="O41" s="293"/>
      <c r="P41" s="293"/>
      <c r="Q41" s="293"/>
    </row>
    <row r="42" spans="1:17" x14ac:dyDescent="0.25">
      <c r="A42" s="292"/>
      <c r="B42" s="308" t="s">
        <v>6</v>
      </c>
      <c r="C42" s="308" t="s">
        <v>38</v>
      </c>
      <c r="D42" s="511">
        <v>1.65</v>
      </c>
      <c r="E42" s="521">
        <v>12</v>
      </c>
      <c r="F42" s="295">
        <v>14.53</v>
      </c>
      <c r="G42" s="309">
        <f>F42/D42</f>
        <v>8.8060606060606066</v>
      </c>
      <c r="H42" s="310">
        <f>(ABS(E42-F42))/F42</f>
        <v>0.1741225051617343</v>
      </c>
      <c r="I42" s="304">
        <v>22.9</v>
      </c>
      <c r="J42" s="293">
        <v>3.42</v>
      </c>
      <c r="K42" s="304">
        <v>7</v>
      </c>
      <c r="L42" s="293"/>
      <c r="M42" s="304"/>
      <c r="N42" s="293"/>
      <c r="O42" s="293"/>
      <c r="P42" s="293"/>
      <c r="Q42" s="293"/>
    </row>
    <row r="43" spans="1:17" x14ac:dyDescent="0.25">
      <c r="A43" s="292"/>
      <c r="B43" s="314"/>
      <c r="C43" s="315" t="s">
        <v>114</v>
      </c>
      <c r="D43" s="333">
        <f>SUM(D40,D42)</f>
        <v>5.6899999999999995</v>
      </c>
      <c r="E43" s="520">
        <f>SUM(E40,E42)</f>
        <v>38</v>
      </c>
      <c r="F43" s="304">
        <f>SUM(F40,F42)</f>
        <v>40.049999999999997</v>
      </c>
      <c r="G43" s="309"/>
      <c r="H43" s="310">
        <f>(ABS(E43-F43))/F43</f>
        <v>5.118601747815224E-2</v>
      </c>
      <c r="I43" s="304"/>
      <c r="J43" s="293"/>
      <c r="K43" s="304"/>
      <c r="L43" s="293"/>
      <c r="M43" s="304"/>
      <c r="N43" s="293"/>
      <c r="O43" s="293"/>
      <c r="P43" s="293"/>
      <c r="Q43" s="293"/>
    </row>
    <row r="44" spans="1:17" x14ac:dyDescent="0.25">
      <c r="A44" s="292"/>
      <c r="B44" s="314"/>
      <c r="C44" s="292" t="s">
        <v>118</v>
      </c>
      <c r="D44" s="334">
        <v>5.04</v>
      </c>
      <c r="E44" s="520">
        <f>E41</f>
        <v>32</v>
      </c>
      <c r="F44" s="304">
        <f>F41</f>
        <v>27.26</v>
      </c>
      <c r="G44" s="309"/>
      <c r="H44" s="310">
        <f>(ABS(E44-F44))/F44</f>
        <v>0.17388114453411585</v>
      </c>
      <c r="I44" s="304"/>
      <c r="J44" s="293"/>
      <c r="K44" s="304"/>
      <c r="L44" s="293"/>
      <c r="M44" s="304"/>
      <c r="N44" s="293"/>
      <c r="O44" s="293"/>
      <c r="P44" s="293"/>
      <c r="Q44" s="293"/>
    </row>
    <row r="45" spans="1:17" ht="15.75" thickBot="1" x14ac:dyDescent="0.3">
      <c r="A45" s="292"/>
      <c r="B45" s="293"/>
      <c r="C45" s="328" t="s">
        <v>116</v>
      </c>
      <c r="D45" s="335" t="s">
        <v>108</v>
      </c>
      <c r="E45" s="520">
        <v>0</v>
      </c>
      <c r="F45" s="304">
        <v>0</v>
      </c>
      <c r="G45" s="309"/>
      <c r="H45" s="331"/>
      <c r="I45" s="304"/>
      <c r="J45" s="293"/>
      <c r="K45" s="304"/>
      <c r="L45" s="293"/>
      <c r="M45" s="304"/>
      <c r="N45" s="293"/>
      <c r="O45" s="293"/>
      <c r="P45" s="293"/>
      <c r="Q45" s="293"/>
    </row>
    <row r="46" spans="1:17" ht="15.75" thickTop="1" x14ac:dyDescent="0.25">
      <c r="A46" s="292"/>
      <c r="B46" s="293"/>
      <c r="C46" s="330" t="s">
        <v>117</v>
      </c>
      <c r="D46" s="327">
        <f>SUM(D43,D44)</f>
        <v>10.73</v>
      </c>
      <c r="E46" s="523">
        <f>SUM(E43:E45)</f>
        <v>70</v>
      </c>
      <c r="F46" s="359">
        <f>SUM(F43:F45)</f>
        <v>67.31</v>
      </c>
      <c r="G46" s="506"/>
      <c r="H46" s="507">
        <f>(ABS(E46-F46))/F46</f>
        <v>3.9964344079631522E-2</v>
      </c>
      <c r="I46" s="359"/>
      <c r="J46" s="360"/>
      <c r="K46" s="359"/>
      <c r="L46" s="360"/>
      <c r="M46" s="359"/>
      <c r="N46" s="293"/>
      <c r="O46" s="293"/>
      <c r="P46" s="293"/>
      <c r="Q46" s="293"/>
    </row>
    <row r="47" spans="1:17" x14ac:dyDescent="0.25">
      <c r="A47" s="305" t="s">
        <v>17</v>
      </c>
      <c r="B47" s="324"/>
      <c r="C47" s="305"/>
      <c r="D47" s="305"/>
      <c r="E47" s="520"/>
      <c r="F47" s="295"/>
      <c r="G47" s="309"/>
      <c r="H47" s="331"/>
      <c r="I47" s="304"/>
      <c r="J47" s="293"/>
      <c r="K47" s="304"/>
      <c r="L47" s="293"/>
      <c r="M47" s="304"/>
      <c r="N47" s="293"/>
      <c r="O47" s="293"/>
      <c r="P47" s="293"/>
      <c r="Q47" s="293"/>
    </row>
    <row r="48" spans="1:17" x14ac:dyDescent="0.25">
      <c r="A48" s="292"/>
      <c r="B48" s="308" t="s">
        <v>3</v>
      </c>
      <c r="C48" s="308" t="s">
        <v>39</v>
      </c>
      <c r="D48" s="509">
        <v>1.89</v>
      </c>
      <c r="E48" s="524">
        <v>10</v>
      </c>
      <c r="F48" s="295">
        <v>7.22</v>
      </c>
      <c r="G48" s="309">
        <f t="shared" ref="G48:G57" si="3">F48/D48</f>
        <v>3.82010582010582</v>
      </c>
      <c r="H48" s="310">
        <f>(ABS(E48-F48))/F48</f>
        <v>0.38504155124653744</v>
      </c>
      <c r="I48" s="304">
        <v>22.6</v>
      </c>
      <c r="J48" s="293">
        <v>3.49</v>
      </c>
      <c r="K48" s="304">
        <v>6.6</v>
      </c>
      <c r="L48" s="293">
        <v>216.7</v>
      </c>
      <c r="M48" s="304"/>
      <c r="N48" s="293"/>
      <c r="O48" s="293"/>
      <c r="P48" s="293"/>
      <c r="Q48" s="293"/>
    </row>
    <row r="49" spans="1:17" x14ac:dyDescent="0.25">
      <c r="A49" s="292"/>
      <c r="B49" s="308" t="s">
        <v>86</v>
      </c>
      <c r="C49" s="308" t="s">
        <v>219</v>
      </c>
      <c r="D49" s="509">
        <v>0.57999999999999996</v>
      </c>
      <c r="E49" s="524">
        <v>3</v>
      </c>
      <c r="F49" s="295">
        <v>3.81</v>
      </c>
      <c r="G49" s="309">
        <f t="shared" si="3"/>
        <v>6.5689655172413799</v>
      </c>
      <c r="H49" s="310">
        <f>(ABS(E49-F49))/F49</f>
        <v>0.2125984251968504</v>
      </c>
      <c r="I49" s="304">
        <v>22.4</v>
      </c>
      <c r="J49" s="293">
        <v>3.54</v>
      </c>
      <c r="K49" s="304">
        <v>5.6</v>
      </c>
      <c r="L49" s="293">
        <v>291.3</v>
      </c>
      <c r="M49" s="304"/>
      <c r="N49" s="293"/>
      <c r="O49" s="293"/>
      <c r="P49" s="293"/>
      <c r="Q49" s="293"/>
    </row>
    <row r="50" spans="1:17" x14ac:dyDescent="0.25">
      <c r="A50" s="292"/>
      <c r="B50" s="308" t="s">
        <v>4</v>
      </c>
      <c r="C50" s="308" t="s">
        <v>40</v>
      </c>
      <c r="D50" s="509">
        <v>9.11</v>
      </c>
      <c r="E50" s="522">
        <v>22</v>
      </c>
      <c r="F50" s="295">
        <v>31.27</v>
      </c>
      <c r="G50" s="309">
        <f t="shared" si="3"/>
        <v>3.4324917672886941</v>
      </c>
      <c r="H50" s="310">
        <f>(ABS(E50-F50))/F50</f>
        <v>0.29645027182603134</v>
      </c>
      <c r="I50" s="304">
        <v>21.4</v>
      </c>
      <c r="J50" s="293">
        <v>3.31</v>
      </c>
      <c r="K50" s="304">
        <v>8.4</v>
      </c>
      <c r="L50" s="293"/>
      <c r="M50" s="304"/>
      <c r="N50" s="293"/>
      <c r="O50" s="293"/>
      <c r="P50" s="293"/>
      <c r="Q50" s="293"/>
    </row>
    <row r="51" spans="1:17" x14ac:dyDescent="0.25">
      <c r="A51" s="292"/>
      <c r="B51" s="308" t="s">
        <v>89</v>
      </c>
      <c r="C51" s="308" t="s">
        <v>90</v>
      </c>
      <c r="D51" s="509">
        <v>7.34</v>
      </c>
      <c r="E51" s="521">
        <v>45</v>
      </c>
      <c r="F51" s="295">
        <v>53.62</v>
      </c>
      <c r="G51" s="309">
        <f t="shared" si="3"/>
        <v>7.3051771117166213</v>
      </c>
      <c r="H51" s="310">
        <f>(ABS(E51-F51))/F51</f>
        <v>0.16076091010816856</v>
      </c>
      <c r="I51" s="304">
        <v>21.4</v>
      </c>
      <c r="J51" s="293">
        <v>3.33</v>
      </c>
      <c r="K51" s="304">
        <v>6.3</v>
      </c>
      <c r="L51" s="293"/>
      <c r="M51" s="304"/>
      <c r="N51" s="293"/>
      <c r="O51" s="293"/>
      <c r="P51" s="293"/>
      <c r="Q51" s="293"/>
    </row>
    <row r="52" spans="1:17" x14ac:dyDescent="0.25">
      <c r="A52" s="307"/>
      <c r="B52" s="336" t="s">
        <v>7</v>
      </c>
      <c r="C52" s="336" t="s">
        <v>41</v>
      </c>
      <c r="D52" s="513">
        <v>2</v>
      </c>
      <c r="E52" s="522">
        <v>8</v>
      </c>
      <c r="F52" s="295">
        <v>11.33</v>
      </c>
      <c r="G52" s="309">
        <f t="shared" si="3"/>
        <v>5.665</v>
      </c>
      <c r="H52" s="331"/>
      <c r="I52" s="304">
        <v>21.3</v>
      </c>
      <c r="J52" s="293">
        <v>3.23</v>
      </c>
      <c r="K52" s="304">
        <v>8.3000000000000007</v>
      </c>
      <c r="L52" s="293"/>
      <c r="M52" s="304"/>
      <c r="N52" s="293"/>
      <c r="O52" s="293"/>
      <c r="P52" s="293"/>
      <c r="Q52" s="293"/>
    </row>
    <row r="53" spans="1:17" x14ac:dyDescent="0.25">
      <c r="A53" s="292"/>
      <c r="B53" s="336" t="s">
        <v>7</v>
      </c>
      <c r="C53" s="336" t="s">
        <v>42</v>
      </c>
      <c r="D53" s="513">
        <v>2</v>
      </c>
      <c r="E53" s="522">
        <v>8</v>
      </c>
      <c r="F53" s="295">
        <v>12.47</v>
      </c>
      <c r="G53" s="309">
        <f t="shared" si="3"/>
        <v>6.2350000000000003</v>
      </c>
      <c r="H53" s="310">
        <f t="shared" ref="H53:H61" si="4">(ABS(E53-F53))/F53</f>
        <v>0.35846030473135526</v>
      </c>
      <c r="I53" s="304">
        <v>22.5</v>
      </c>
      <c r="J53" s="293">
        <v>3.68</v>
      </c>
      <c r="K53" s="304">
        <v>4.8</v>
      </c>
      <c r="L53" s="293">
        <v>300.39999999999998</v>
      </c>
      <c r="M53" s="304"/>
      <c r="N53" s="293"/>
      <c r="O53" s="293"/>
      <c r="P53" s="293"/>
      <c r="Q53" s="293"/>
    </row>
    <row r="54" spans="1:17" x14ac:dyDescent="0.25">
      <c r="A54" s="292"/>
      <c r="B54" s="336" t="s">
        <v>7</v>
      </c>
      <c r="C54" s="336" t="s">
        <v>43</v>
      </c>
      <c r="D54" s="513">
        <v>4</v>
      </c>
      <c r="E54" s="522">
        <v>25</v>
      </c>
      <c r="F54" s="295">
        <v>19.97</v>
      </c>
      <c r="G54" s="309">
        <f t="shared" si="3"/>
        <v>4.9924999999999997</v>
      </c>
      <c r="H54" s="310">
        <f t="shared" si="4"/>
        <v>0.25187781672508769</v>
      </c>
      <c r="I54" s="304">
        <v>24</v>
      </c>
      <c r="J54" s="293">
        <v>3.53</v>
      </c>
      <c r="K54" s="304">
        <v>6.2</v>
      </c>
      <c r="L54" s="293">
        <v>197.1</v>
      </c>
      <c r="M54" s="304"/>
      <c r="N54" s="293"/>
      <c r="O54" s="293"/>
      <c r="P54" s="293"/>
      <c r="Q54" s="293"/>
    </row>
    <row r="55" spans="1:17" x14ac:dyDescent="0.25">
      <c r="A55" s="292"/>
      <c r="B55" s="336" t="s">
        <v>7</v>
      </c>
      <c r="C55" s="336" t="s">
        <v>91</v>
      </c>
      <c r="D55" s="513">
        <v>4.25</v>
      </c>
      <c r="E55" s="522">
        <v>18</v>
      </c>
      <c r="F55" s="295">
        <v>21.13</v>
      </c>
      <c r="G55" s="309">
        <f t="shared" si="3"/>
        <v>4.9717647058823529</v>
      </c>
      <c r="H55" s="310">
        <f t="shared" si="4"/>
        <v>0.14813061997160432</v>
      </c>
      <c r="I55" s="304">
        <v>21</v>
      </c>
      <c r="J55" s="293">
        <v>3.52</v>
      </c>
      <c r="K55" s="304">
        <v>5.0999999999999996</v>
      </c>
      <c r="L55" s="293">
        <v>251.9</v>
      </c>
      <c r="M55" s="304"/>
      <c r="N55" s="293"/>
      <c r="O55" s="293"/>
      <c r="P55" s="293"/>
      <c r="Q55" s="293"/>
    </row>
    <row r="56" spans="1:17" x14ac:dyDescent="0.25">
      <c r="A56" s="292"/>
      <c r="B56" s="336" t="s">
        <v>7</v>
      </c>
      <c r="C56" s="308" t="s">
        <v>99</v>
      </c>
      <c r="D56" s="513">
        <v>3</v>
      </c>
      <c r="E56" s="522">
        <v>16</v>
      </c>
      <c r="F56" s="295">
        <v>17.47</v>
      </c>
      <c r="G56" s="309">
        <f t="shared" si="3"/>
        <v>5.8233333333333333</v>
      </c>
      <c r="H56" s="310">
        <f t="shared" si="4"/>
        <v>8.4144247281053172E-2</v>
      </c>
      <c r="I56" s="304">
        <v>22.6</v>
      </c>
      <c r="J56" s="293">
        <v>3.67</v>
      </c>
      <c r="K56" s="304">
        <v>5.4</v>
      </c>
      <c r="L56" s="293">
        <v>266.10000000000002</v>
      </c>
      <c r="M56" s="304"/>
      <c r="N56" s="293"/>
      <c r="O56" s="293"/>
      <c r="P56" s="293"/>
      <c r="Q56" s="293"/>
    </row>
    <row r="57" spans="1:17" x14ac:dyDescent="0.25">
      <c r="A57" s="292"/>
      <c r="B57" s="336" t="s">
        <v>7</v>
      </c>
      <c r="C57" s="308" t="s">
        <v>100</v>
      </c>
      <c r="D57" s="513">
        <v>6.5</v>
      </c>
      <c r="E57" s="522">
        <v>6.5</v>
      </c>
      <c r="F57" s="295">
        <v>0</v>
      </c>
      <c r="G57" s="309">
        <f t="shared" si="3"/>
        <v>0</v>
      </c>
      <c r="H57" s="332" t="e">
        <f t="shared" si="4"/>
        <v>#DIV/0!</v>
      </c>
      <c r="I57" s="304"/>
      <c r="J57" s="293"/>
      <c r="K57" s="304"/>
      <c r="L57" s="293"/>
      <c r="M57" s="304"/>
      <c r="N57" s="293"/>
      <c r="O57" s="293"/>
      <c r="P57" s="293"/>
      <c r="Q57" s="293"/>
    </row>
    <row r="58" spans="1:17" x14ac:dyDescent="0.25">
      <c r="A58" s="293"/>
      <c r="B58" s="314"/>
      <c r="C58" s="315" t="s">
        <v>114</v>
      </c>
      <c r="D58" s="337">
        <f>SUM(D48)</f>
        <v>1.89</v>
      </c>
      <c r="E58" s="520">
        <f>SUM(E50,E48)</f>
        <v>32</v>
      </c>
      <c r="F58" s="304">
        <f>SUM(F50,F48)</f>
        <v>38.49</v>
      </c>
      <c r="G58" s="309"/>
      <c r="H58" s="310">
        <f t="shared" si="4"/>
        <v>0.16861522473369711</v>
      </c>
      <c r="I58" s="304"/>
      <c r="J58" s="293"/>
      <c r="K58" s="304"/>
      <c r="L58" s="293"/>
      <c r="M58" s="304"/>
      <c r="N58" s="293"/>
      <c r="O58" s="293"/>
      <c r="P58" s="293"/>
      <c r="Q58" s="293"/>
    </row>
    <row r="59" spans="1:17" x14ac:dyDescent="0.25">
      <c r="A59" s="292"/>
      <c r="B59" s="314"/>
      <c r="C59" s="338" t="s">
        <v>118</v>
      </c>
      <c r="D59" s="323">
        <f>SUM(D49,D51)</f>
        <v>7.92</v>
      </c>
      <c r="E59" s="520">
        <f>SUM(E49,E51)</f>
        <v>48</v>
      </c>
      <c r="F59" s="304">
        <f>SUM(F49,F51)</f>
        <v>57.43</v>
      </c>
      <c r="G59" s="309"/>
      <c r="H59" s="310">
        <f t="shared" si="4"/>
        <v>0.16419989552498693</v>
      </c>
      <c r="I59" s="304"/>
      <c r="J59" s="293"/>
      <c r="K59" s="304"/>
      <c r="L59" s="293"/>
      <c r="M59" s="304"/>
      <c r="N59" s="293"/>
      <c r="O59" s="293"/>
      <c r="P59" s="293"/>
      <c r="Q59" s="293"/>
    </row>
    <row r="60" spans="1:17" ht="15.75" thickBot="1" x14ac:dyDescent="0.3">
      <c r="A60" s="292"/>
      <c r="B60" s="293"/>
      <c r="C60" s="319" t="s">
        <v>116</v>
      </c>
      <c r="D60" s="339">
        <f>SUM(D52:D57)</f>
        <v>21.75</v>
      </c>
      <c r="E60" s="520">
        <f>SUM(E52:E57)</f>
        <v>81.5</v>
      </c>
      <c r="F60" s="304">
        <f>SUM(F52:F57)</f>
        <v>82.36999999999999</v>
      </c>
      <c r="G60" s="309"/>
      <c r="H60" s="310">
        <f t="shared" si="4"/>
        <v>1.0562097851159287E-2</v>
      </c>
      <c r="I60" s="304"/>
      <c r="J60" s="293"/>
      <c r="K60" s="304"/>
      <c r="L60" s="293"/>
      <c r="M60" s="304"/>
      <c r="N60" s="293"/>
      <c r="O60" s="293"/>
      <c r="P60" s="293"/>
      <c r="Q60" s="293"/>
    </row>
    <row r="61" spans="1:17" ht="15.75" thickTop="1" x14ac:dyDescent="0.25">
      <c r="A61" s="292"/>
      <c r="B61" s="293"/>
      <c r="C61" s="322" t="s">
        <v>9</v>
      </c>
      <c r="D61" s="340">
        <f>SUM(D58:D60)</f>
        <v>31.560000000000002</v>
      </c>
      <c r="E61" s="523">
        <f>SUM(E58:E60)</f>
        <v>161.5</v>
      </c>
      <c r="F61" s="537">
        <f>SUM(F58:F60)</f>
        <v>178.29</v>
      </c>
      <c r="G61" s="506"/>
      <c r="H61" s="507">
        <f t="shared" si="4"/>
        <v>9.4172415727186001E-2</v>
      </c>
      <c r="I61" s="359"/>
      <c r="J61" s="360"/>
      <c r="K61" s="359"/>
      <c r="L61" s="360"/>
      <c r="M61" s="359"/>
      <c r="N61" s="293"/>
      <c r="O61" s="293"/>
      <c r="P61" s="293"/>
      <c r="Q61" s="293"/>
    </row>
    <row r="62" spans="1:17" x14ac:dyDescent="0.25">
      <c r="A62" s="305" t="s">
        <v>19</v>
      </c>
      <c r="B62" s="324"/>
      <c r="C62" s="305"/>
      <c r="D62" s="305"/>
      <c r="E62" s="520"/>
      <c r="F62" s="295"/>
      <c r="G62" s="309"/>
      <c r="H62" s="331"/>
      <c r="I62" s="304"/>
      <c r="J62" s="293"/>
      <c r="K62" s="304"/>
      <c r="L62" s="293"/>
      <c r="M62" s="304"/>
      <c r="N62" s="293"/>
      <c r="O62" s="293"/>
      <c r="P62" s="293"/>
      <c r="Q62" s="293"/>
    </row>
    <row r="63" spans="1:17" x14ac:dyDescent="0.25">
      <c r="A63" s="292"/>
      <c r="B63" s="308" t="s">
        <v>3</v>
      </c>
      <c r="C63" s="308" t="s">
        <v>37</v>
      </c>
      <c r="D63" s="511">
        <v>4.43</v>
      </c>
      <c r="E63" s="540">
        <v>18</v>
      </c>
      <c r="F63" s="357">
        <v>24.07</v>
      </c>
      <c r="G63" s="506">
        <f>F63/D63</f>
        <v>5.4334085778781045</v>
      </c>
      <c r="H63" s="507">
        <f>(ABS(E63-F63))/F63</f>
        <v>0.25218113834648942</v>
      </c>
      <c r="I63" s="359">
        <v>28</v>
      </c>
      <c r="J63" s="360">
        <v>3.82</v>
      </c>
      <c r="K63" s="359">
        <v>5.9</v>
      </c>
      <c r="L63" s="360">
        <v>306.8</v>
      </c>
      <c r="M63" s="359" t="s">
        <v>154</v>
      </c>
      <c r="N63" s="293"/>
      <c r="O63" s="293"/>
      <c r="P63" s="293"/>
      <c r="Q63" s="293"/>
    </row>
    <row r="64" spans="1:17" x14ac:dyDescent="0.25">
      <c r="A64" s="305" t="s">
        <v>21</v>
      </c>
      <c r="B64" s="324"/>
      <c r="C64" s="305"/>
      <c r="D64" s="305"/>
      <c r="E64" s="520"/>
      <c r="F64" s="295"/>
      <c r="G64" s="309"/>
      <c r="H64" s="331"/>
      <c r="I64" s="304"/>
      <c r="J64" s="293"/>
      <c r="K64" s="304"/>
      <c r="L64" s="293"/>
      <c r="M64" s="304"/>
      <c r="N64" s="293"/>
      <c r="O64" s="293"/>
      <c r="P64" s="293"/>
      <c r="Q64" s="293"/>
    </row>
    <row r="65" spans="1:17" x14ac:dyDescent="0.25">
      <c r="A65" s="292"/>
      <c r="B65" s="308" t="s">
        <v>3</v>
      </c>
      <c r="C65" s="308" t="s">
        <v>44</v>
      </c>
      <c r="D65" s="511">
        <v>3.55</v>
      </c>
      <c r="E65" s="524">
        <v>20</v>
      </c>
      <c r="F65" s="295">
        <v>17.079999999999998</v>
      </c>
      <c r="G65" s="309">
        <f>F65/D65</f>
        <v>4.8112676056338026</v>
      </c>
      <c r="H65" s="310">
        <f t="shared" ref="H65:H72" si="5">(ABS(E65-F65))/F65</f>
        <v>0.17096018735363008</v>
      </c>
      <c r="I65" s="304">
        <v>24.5</v>
      </c>
      <c r="J65" s="293">
        <v>3.42</v>
      </c>
      <c r="K65" s="304">
        <v>8.1</v>
      </c>
      <c r="L65" s="293">
        <v>232.8</v>
      </c>
      <c r="M65" s="304"/>
      <c r="N65" s="293"/>
      <c r="O65" s="293"/>
      <c r="P65" s="293"/>
      <c r="Q65" s="293"/>
    </row>
    <row r="66" spans="1:17" x14ac:dyDescent="0.25">
      <c r="A66" s="292"/>
      <c r="B66" s="308" t="s">
        <v>192</v>
      </c>
      <c r="C66" s="308" t="s">
        <v>204</v>
      </c>
      <c r="D66" s="511">
        <v>5</v>
      </c>
      <c r="E66" s="524">
        <v>10</v>
      </c>
      <c r="F66" s="295">
        <v>12</v>
      </c>
      <c r="G66" s="309"/>
      <c r="H66" s="310">
        <f>ABS(E66-F66)/F66</f>
        <v>0.16666666666666666</v>
      </c>
      <c r="I66" s="304">
        <v>22.9</v>
      </c>
      <c r="J66" s="293">
        <v>3.43</v>
      </c>
      <c r="K66" s="304">
        <v>8.5</v>
      </c>
      <c r="L66" s="293">
        <v>192.33</v>
      </c>
      <c r="M66" s="304"/>
      <c r="N66" s="293"/>
      <c r="O66" s="293"/>
      <c r="P66" s="293"/>
      <c r="Q66" s="293"/>
    </row>
    <row r="67" spans="1:17" x14ac:dyDescent="0.25">
      <c r="A67" s="292"/>
      <c r="B67" s="308" t="s">
        <v>86</v>
      </c>
      <c r="C67" s="308" t="s">
        <v>45</v>
      </c>
      <c r="D67" s="511">
        <v>1.9</v>
      </c>
      <c r="E67" s="303">
        <v>8</v>
      </c>
      <c r="F67" s="295">
        <v>11.12</v>
      </c>
      <c r="G67" s="309">
        <f>F67/D67</f>
        <v>5.852631578947368</v>
      </c>
      <c r="H67" s="310">
        <f t="shared" si="5"/>
        <v>0.2805755395683453</v>
      </c>
      <c r="I67" s="304">
        <v>22.5</v>
      </c>
      <c r="J67" s="293">
        <v>3.45</v>
      </c>
      <c r="K67" s="304">
        <v>8.9</v>
      </c>
      <c r="L67" s="293">
        <v>301.3</v>
      </c>
      <c r="M67" s="304"/>
      <c r="N67" s="293"/>
      <c r="O67" s="293"/>
      <c r="P67" s="293"/>
      <c r="Q67" s="293"/>
    </row>
    <row r="68" spans="1:17" x14ac:dyDescent="0.25">
      <c r="A68" s="292"/>
      <c r="B68" s="336" t="s">
        <v>7</v>
      </c>
      <c r="C68" s="336" t="s">
        <v>92</v>
      </c>
      <c r="D68" s="513">
        <v>9.1</v>
      </c>
      <c r="E68" s="522">
        <v>35</v>
      </c>
      <c r="F68" s="295">
        <v>34.729999999999997</v>
      </c>
      <c r="G68" s="309">
        <f>F68/D68</f>
        <v>3.8164835164835162</v>
      </c>
      <c r="H68" s="310">
        <f t="shared" si="5"/>
        <v>7.7742585660812887E-3</v>
      </c>
      <c r="I68" s="304">
        <v>21.5</v>
      </c>
      <c r="J68" s="293">
        <v>3.44</v>
      </c>
      <c r="K68" s="304">
        <v>7.3</v>
      </c>
      <c r="L68" s="293">
        <v>165.3</v>
      </c>
      <c r="M68" s="304"/>
      <c r="N68" s="293"/>
      <c r="O68" s="293"/>
      <c r="P68" s="293"/>
      <c r="Q68" s="293"/>
    </row>
    <row r="69" spans="1:17" x14ac:dyDescent="0.25">
      <c r="A69" s="292"/>
      <c r="B69" s="314"/>
      <c r="C69" s="315" t="s">
        <v>114</v>
      </c>
      <c r="D69" s="514">
        <v>3.55</v>
      </c>
      <c r="E69" s="520">
        <f>E65</f>
        <v>20</v>
      </c>
      <c r="F69" s="304">
        <f>F65</f>
        <v>17.079999999999998</v>
      </c>
      <c r="G69" s="309"/>
      <c r="H69" s="310">
        <f t="shared" si="5"/>
        <v>0.17096018735363008</v>
      </c>
      <c r="I69" s="304"/>
      <c r="J69" s="293"/>
      <c r="K69" s="304"/>
      <c r="L69" s="293"/>
      <c r="M69" s="304"/>
      <c r="N69" s="293"/>
      <c r="O69" s="293"/>
      <c r="P69" s="293"/>
      <c r="Q69" s="293"/>
    </row>
    <row r="70" spans="1:17" x14ac:dyDescent="0.25">
      <c r="A70" s="292"/>
      <c r="B70" s="314"/>
      <c r="C70" s="292" t="s">
        <v>118</v>
      </c>
      <c r="D70" s="340">
        <v>6.9</v>
      </c>
      <c r="E70" s="520">
        <f>SUM(E66,E67)</f>
        <v>18</v>
      </c>
      <c r="F70" s="304">
        <f>SUM(F66,F67)</f>
        <v>23.119999999999997</v>
      </c>
      <c r="G70" s="309"/>
      <c r="H70" s="310">
        <f t="shared" si="5"/>
        <v>0.22145328719723176</v>
      </c>
      <c r="I70" s="304"/>
      <c r="J70" s="293"/>
      <c r="K70" s="304"/>
      <c r="L70" s="293"/>
      <c r="M70" s="304"/>
      <c r="N70" s="293"/>
      <c r="O70" s="293"/>
      <c r="P70" s="293"/>
      <c r="Q70" s="293"/>
    </row>
    <row r="71" spans="1:17" ht="15.75" thickBot="1" x14ac:dyDescent="0.3">
      <c r="A71" s="292"/>
      <c r="B71" s="293"/>
      <c r="C71" s="328" t="s">
        <v>116</v>
      </c>
      <c r="D71" s="515">
        <v>7</v>
      </c>
      <c r="E71" s="522">
        <f t="shared" ref="E71:F71" si="6">E68</f>
        <v>35</v>
      </c>
      <c r="F71" s="304">
        <f t="shared" si="6"/>
        <v>34.729999999999997</v>
      </c>
      <c r="G71" s="309"/>
      <c r="H71" s="310">
        <f t="shared" si="5"/>
        <v>7.7742585660812887E-3</v>
      </c>
      <c r="I71" s="304"/>
      <c r="J71" s="293"/>
      <c r="K71" s="304"/>
      <c r="L71" s="293"/>
      <c r="M71" s="304"/>
      <c r="N71" s="293"/>
      <c r="O71" s="293"/>
      <c r="P71" s="293"/>
      <c r="Q71" s="293"/>
    </row>
    <row r="72" spans="1:17" ht="15.75" thickTop="1" x14ac:dyDescent="0.25">
      <c r="A72" s="292"/>
      <c r="B72" s="308"/>
      <c r="C72" s="330" t="s">
        <v>117</v>
      </c>
      <c r="D72" s="539">
        <f>SUM(D69:D71)</f>
        <v>17.45</v>
      </c>
      <c r="E72" s="523">
        <f>SUM(E69:E71)</f>
        <v>73</v>
      </c>
      <c r="F72" s="359">
        <f>SUM(F69:F71)</f>
        <v>74.929999999999993</v>
      </c>
      <c r="G72" s="506"/>
      <c r="H72" s="507">
        <f t="shared" si="5"/>
        <v>2.5757373548645306E-2</v>
      </c>
      <c r="I72" s="359"/>
      <c r="J72" s="360"/>
      <c r="K72" s="359"/>
      <c r="L72" s="360"/>
      <c r="M72" s="359"/>
      <c r="N72" s="293"/>
      <c r="O72" s="293"/>
      <c r="P72" s="293"/>
      <c r="Q72" s="293"/>
    </row>
    <row r="73" spans="1:17" x14ac:dyDescent="0.25">
      <c r="A73" s="305" t="s">
        <v>23</v>
      </c>
      <c r="B73" s="324"/>
      <c r="C73" s="324"/>
      <c r="D73" s="538"/>
      <c r="E73" s="520"/>
      <c r="F73" s="295"/>
      <c r="G73" s="309"/>
      <c r="H73" s="331"/>
      <c r="I73" s="304"/>
      <c r="J73" s="293"/>
      <c r="K73" s="304"/>
      <c r="L73" s="293"/>
      <c r="M73" s="304"/>
      <c r="N73" s="293"/>
      <c r="O73" s="293"/>
      <c r="P73" s="293"/>
      <c r="Q73" s="293"/>
    </row>
    <row r="74" spans="1:17" x14ac:dyDescent="0.25">
      <c r="A74" s="307"/>
      <c r="B74" s="344" t="s">
        <v>203</v>
      </c>
      <c r="C74" s="344" t="s">
        <v>85</v>
      </c>
      <c r="D74" s="510">
        <v>0.5</v>
      </c>
      <c r="E74" s="520">
        <v>0.5</v>
      </c>
      <c r="F74" s="295">
        <v>0.48</v>
      </c>
      <c r="G74" s="309">
        <f t="shared" ref="G74:G80" si="7">F74/D74</f>
        <v>0.96</v>
      </c>
      <c r="H74" s="310">
        <f t="shared" ref="H74:H75" si="8">(ABS(E74-F74))/F74</f>
        <v>4.1666666666666706E-2</v>
      </c>
      <c r="I74" s="304">
        <v>23.5</v>
      </c>
      <c r="J74" s="293">
        <v>3.41</v>
      </c>
      <c r="K74" s="304">
        <v>7.8</v>
      </c>
      <c r="L74" s="293"/>
      <c r="M74" s="304"/>
      <c r="N74" s="293"/>
      <c r="O74" s="293"/>
      <c r="P74" s="293"/>
      <c r="Q74" s="293"/>
    </row>
    <row r="75" spans="1:17" x14ac:dyDescent="0.25">
      <c r="A75" s="307"/>
      <c r="B75" s="344" t="s">
        <v>199</v>
      </c>
      <c r="C75" s="344" t="s">
        <v>200</v>
      </c>
      <c r="D75" s="511">
        <v>2</v>
      </c>
      <c r="E75" s="520">
        <v>2</v>
      </c>
      <c r="F75" s="295">
        <v>1.5</v>
      </c>
      <c r="G75" s="309">
        <f t="shared" si="7"/>
        <v>0.75</v>
      </c>
      <c r="H75" s="310">
        <f t="shared" si="8"/>
        <v>0.33333333333333331</v>
      </c>
      <c r="I75" s="304">
        <v>22.5</v>
      </c>
      <c r="J75" s="293">
        <v>3.23</v>
      </c>
      <c r="K75" s="304">
        <v>6.5</v>
      </c>
      <c r="L75" s="293"/>
      <c r="M75" s="304"/>
      <c r="N75" s="293"/>
      <c r="O75" s="293"/>
      <c r="P75" s="293"/>
      <c r="Q75" s="293"/>
    </row>
    <row r="76" spans="1:17" x14ac:dyDescent="0.25">
      <c r="A76" s="292"/>
      <c r="B76" s="336" t="s">
        <v>7</v>
      </c>
      <c r="C76" s="336" t="s">
        <v>42</v>
      </c>
      <c r="D76" s="513">
        <v>6</v>
      </c>
      <c r="E76" s="522">
        <v>24</v>
      </c>
      <c r="F76" s="295">
        <v>16.05</v>
      </c>
      <c r="G76" s="309">
        <f t="shared" si="7"/>
        <v>2.6750000000000003</v>
      </c>
      <c r="H76" s="310">
        <f t="shared" ref="H76:H83" si="9">(ABS(E76-F76))/F76</f>
        <v>0.49532710280373826</v>
      </c>
      <c r="I76" s="304">
        <v>24.4</v>
      </c>
      <c r="J76" s="293">
        <v>3.51</v>
      </c>
      <c r="K76" s="304">
        <v>6.4</v>
      </c>
      <c r="L76" s="293"/>
      <c r="M76" s="304"/>
      <c r="N76" s="293"/>
      <c r="O76" s="293"/>
      <c r="P76" s="293"/>
      <c r="Q76" s="293"/>
    </row>
    <row r="77" spans="1:17" x14ac:dyDescent="0.25">
      <c r="A77" s="292"/>
      <c r="B77" s="336" t="s">
        <v>7</v>
      </c>
      <c r="C77" s="336" t="s">
        <v>46</v>
      </c>
      <c r="D77" s="513">
        <v>3.8</v>
      </c>
      <c r="E77" s="522">
        <v>15</v>
      </c>
      <c r="F77" s="295">
        <v>11.75</v>
      </c>
      <c r="G77" s="309">
        <f t="shared" si="7"/>
        <v>3.0921052631578947</v>
      </c>
      <c r="H77" s="310">
        <f t="shared" si="9"/>
        <v>0.27659574468085107</v>
      </c>
      <c r="I77" s="304">
        <v>24.1</v>
      </c>
      <c r="J77" s="293">
        <v>3.53</v>
      </c>
      <c r="K77" s="304">
        <v>7.3</v>
      </c>
      <c r="L77" s="293">
        <v>237.8</v>
      </c>
      <c r="M77" s="304"/>
      <c r="N77" s="293"/>
      <c r="O77" s="293"/>
      <c r="P77" s="293"/>
      <c r="Q77" s="293"/>
    </row>
    <row r="78" spans="1:17" x14ac:dyDescent="0.25">
      <c r="A78" s="292"/>
      <c r="B78" s="336" t="s">
        <v>7</v>
      </c>
      <c r="C78" s="336" t="s">
        <v>47</v>
      </c>
      <c r="D78" s="513">
        <v>2.5</v>
      </c>
      <c r="E78" s="522">
        <v>10</v>
      </c>
      <c r="F78" s="295">
        <v>12.06</v>
      </c>
      <c r="G78" s="309">
        <f t="shared" si="7"/>
        <v>4.8239999999999998</v>
      </c>
      <c r="H78" s="310">
        <f t="shared" si="9"/>
        <v>0.17081260364842457</v>
      </c>
      <c r="I78" s="304">
        <v>24</v>
      </c>
      <c r="J78" s="293">
        <v>3.5</v>
      </c>
      <c r="K78" s="304">
        <v>7</v>
      </c>
      <c r="L78" s="293">
        <v>350.9</v>
      </c>
      <c r="M78" s="304"/>
      <c r="N78" s="293"/>
      <c r="O78" s="293"/>
      <c r="P78" s="293"/>
      <c r="Q78" s="293"/>
    </row>
    <row r="79" spans="1:17" x14ac:dyDescent="0.25">
      <c r="A79" s="292"/>
      <c r="B79" s="336" t="s">
        <v>7</v>
      </c>
      <c r="C79" s="336" t="s">
        <v>91</v>
      </c>
      <c r="D79" s="513">
        <v>1.75</v>
      </c>
      <c r="E79" s="522">
        <v>5</v>
      </c>
      <c r="F79" s="295">
        <v>6.96</v>
      </c>
      <c r="G79" s="309">
        <f t="shared" si="7"/>
        <v>3.9771428571428573</v>
      </c>
      <c r="H79" s="310">
        <f t="shared" si="9"/>
        <v>0.28160919540229884</v>
      </c>
      <c r="I79" s="304">
        <v>23.1</v>
      </c>
      <c r="J79" s="293">
        <v>3.37</v>
      </c>
      <c r="K79" s="304">
        <v>8.3000000000000007</v>
      </c>
      <c r="L79" s="293"/>
      <c r="M79" s="304"/>
      <c r="N79" s="293"/>
      <c r="O79" s="293"/>
      <c r="P79" s="293"/>
      <c r="Q79" s="293"/>
    </row>
    <row r="80" spans="1:17" x14ac:dyDescent="0.25">
      <c r="A80" s="292"/>
      <c r="B80" s="336" t="s">
        <v>7</v>
      </c>
      <c r="C80" s="336" t="s">
        <v>79</v>
      </c>
      <c r="D80" s="513">
        <v>5</v>
      </c>
      <c r="E80" s="522">
        <v>25</v>
      </c>
      <c r="F80" s="295">
        <v>30</v>
      </c>
      <c r="G80" s="309">
        <f t="shared" si="7"/>
        <v>6</v>
      </c>
      <c r="H80" s="310">
        <f t="shared" si="9"/>
        <v>0.16666666666666666</v>
      </c>
      <c r="I80" s="304">
        <v>24.4</v>
      </c>
      <c r="J80" s="293">
        <v>3.44</v>
      </c>
      <c r="K80" s="304">
        <v>6.9</v>
      </c>
      <c r="L80" s="293">
        <v>282.10000000000002</v>
      </c>
      <c r="M80" s="304"/>
      <c r="N80" s="293"/>
      <c r="O80" s="293"/>
      <c r="P80" s="293"/>
      <c r="Q80" s="293"/>
    </row>
    <row r="81" spans="1:17" x14ac:dyDescent="0.25">
      <c r="A81" s="292"/>
      <c r="B81" s="293"/>
      <c r="C81" s="542" t="s">
        <v>116</v>
      </c>
      <c r="D81" s="316">
        <f>SUM(D76:D80)</f>
        <v>19.05</v>
      </c>
      <c r="E81" s="541">
        <f>SUM(E76:E80)</f>
        <v>79</v>
      </c>
      <c r="F81" s="304">
        <f>SUM(F76:F80)</f>
        <v>76.819999999999993</v>
      </c>
      <c r="G81" s="309"/>
      <c r="H81" s="310">
        <f t="shared" si="9"/>
        <v>2.8378026555584576E-2</v>
      </c>
      <c r="I81" s="304"/>
      <c r="J81" s="293"/>
      <c r="K81" s="304"/>
      <c r="L81" s="293"/>
      <c r="M81" s="304"/>
      <c r="N81" s="293"/>
      <c r="O81" s="293"/>
      <c r="P81" s="293"/>
      <c r="Q81" s="293"/>
    </row>
    <row r="82" spans="1:17" ht="15.75" thickBot="1" x14ac:dyDescent="0.3">
      <c r="A82" s="292"/>
      <c r="B82" s="293"/>
      <c r="C82" s="292" t="s">
        <v>118</v>
      </c>
      <c r="D82" s="320">
        <v>2.5</v>
      </c>
      <c r="E82" s="520">
        <v>2.5</v>
      </c>
      <c r="F82" s="304">
        <v>1.98</v>
      </c>
      <c r="G82" s="309"/>
      <c r="H82" s="310">
        <f t="shared" si="9"/>
        <v>0.26262626262626265</v>
      </c>
      <c r="I82" s="304"/>
      <c r="J82" s="293"/>
      <c r="K82" s="304"/>
      <c r="L82" s="293"/>
      <c r="M82" s="304"/>
      <c r="N82" s="293"/>
      <c r="O82" s="293"/>
      <c r="P82" s="293"/>
      <c r="Q82" s="293"/>
    </row>
    <row r="83" spans="1:17" ht="15.75" thickTop="1" x14ac:dyDescent="0.25">
      <c r="A83" s="292"/>
      <c r="B83" s="293"/>
      <c r="C83" s="341" t="s">
        <v>117</v>
      </c>
      <c r="D83" s="340">
        <f>SUM(D81,D82)</f>
        <v>21.55</v>
      </c>
      <c r="E83" s="536">
        <f>SUM(E81:E81)</f>
        <v>79</v>
      </c>
      <c r="F83" s="359">
        <f>SUM(F81,F82)</f>
        <v>78.8</v>
      </c>
      <c r="G83" s="506"/>
      <c r="H83" s="507">
        <f t="shared" si="9"/>
        <v>2.5380710659898839E-3</v>
      </c>
      <c r="I83" s="359"/>
      <c r="J83" s="360"/>
      <c r="K83" s="359"/>
      <c r="L83" s="360"/>
      <c r="M83" s="359"/>
      <c r="N83" s="293"/>
      <c r="O83" s="293"/>
      <c r="P83" s="293"/>
      <c r="Q83" s="293"/>
    </row>
    <row r="84" spans="1:17" x14ac:dyDescent="0.25">
      <c r="A84" s="305" t="s">
        <v>48</v>
      </c>
      <c r="B84" s="324"/>
      <c r="C84" s="305"/>
      <c r="D84" s="305"/>
      <c r="E84" s="520"/>
      <c r="F84" s="295"/>
      <c r="G84" s="309"/>
      <c r="H84" s="331"/>
      <c r="I84" s="304"/>
      <c r="J84" s="293"/>
      <c r="K84" s="304"/>
      <c r="L84" s="293"/>
      <c r="M84" s="304"/>
      <c r="N84" s="293"/>
      <c r="O84" s="293"/>
      <c r="P84" s="293"/>
      <c r="Q84" s="293"/>
    </row>
    <row r="85" spans="1:17" x14ac:dyDescent="0.25">
      <c r="A85" s="292"/>
      <c r="B85" s="308" t="s">
        <v>3</v>
      </c>
      <c r="C85" s="308" t="s">
        <v>49</v>
      </c>
      <c r="D85" s="511">
        <v>5.07</v>
      </c>
      <c r="E85" s="526">
        <v>30</v>
      </c>
      <c r="F85" s="295">
        <v>29.91</v>
      </c>
      <c r="G85" s="309">
        <f>F85/D85</f>
        <v>5.8994082840236679</v>
      </c>
      <c r="H85" s="310">
        <f t="shared" ref="H85:H93" si="10">(ABS(E85-F85))/F85</f>
        <v>3.0090270812437262E-3</v>
      </c>
      <c r="I85" s="304">
        <v>21.9</v>
      </c>
      <c r="J85" s="293">
        <v>3.19</v>
      </c>
      <c r="K85" s="304">
        <v>7.8</v>
      </c>
      <c r="L85" s="293">
        <v>211.5</v>
      </c>
      <c r="M85" s="304"/>
      <c r="N85" s="293"/>
      <c r="O85" s="293"/>
      <c r="P85" s="293"/>
      <c r="Q85" s="293"/>
    </row>
    <row r="86" spans="1:17" x14ac:dyDescent="0.25">
      <c r="A86" s="292"/>
      <c r="B86" s="308" t="s">
        <v>86</v>
      </c>
      <c r="C86" s="308" t="s">
        <v>50</v>
      </c>
      <c r="D86" s="511">
        <v>0</v>
      </c>
      <c r="E86" s="524">
        <v>0</v>
      </c>
      <c r="F86" s="295"/>
      <c r="G86" s="309"/>
      <c r="H86" s="310"/>
      <c r="I86" s="304"/>
      <c r="J86" s="293"/>
      <c r="K86" s="304"/>
      <c r="L86" s="293"/>
      <c r="M86" s="304"/>
      <c r="N86" s="293"/>
      <c r="O86" s="293"/>
      <c r="P86" s="293"/>
      <c r="Q86" s="293"/>
    </row>
    <row r="87" spans="1:17" x14ac:dyDescent="0.25">
      <c r="A87" s="292"/>
      <c r="B87" s="308" t="s">
        <v>86</v>
      </c>
      <c r="C87" s="308" t="s">
        <v>51</v>
      </c>
      <c r="D87" s="511">
        <v>0</v>
      </c>
      <c r="E87" s="524">
        <v>0</v>
      </c>
      <c r="F87" s="295"/>
      <c r="G87" s="309"/>
      <c r="H87" s="310"/>
      <c r="I87" s="304"/>
      <c r="J87" s="293"/>
      <c r="K87" s="304"/>
      <c r="L87" s="293"/>
      <c r="M87" s="304"/>
      <c r="N87" s="293"/>
      <c r="O87" s="293"/>
      <c r="P87" s="293"/>
      <c r="Q87" s="293"/>
    </row>
    <row r="88" spans="1:17" x14ac:dyDescent="0.25">
      <c r="A88" s="292"/>
      <c r="B88" s="308" t="s">
        <v>86</v>
      </c>
      <c r="C88" s="308" t="s">
        <v>11</v>
      </c>
      <c r="D88" s="511">
        <v>0</v>
      </c>
      <c r="E88" s="524">
        <v>0</v>
      </c>
      <c r="F88" s="295"/>
      <c r="G88" s="309"/>
      <c r="H88" s="310"/>
      <c r="I88" s="304"/>
      <c r="J88" s="293"/>
      <c r="K88" s="304"/>
      <c r="L88" s="293"/>
      <c r="M88" s="304"/>
      <c r="N88" s="293"/>
      <c r="O88" s="293"/>
      <c r="P88" s="293"/>
      <c r="Q88" s="293"/>
    </row>
    <row r="89" spans="1:17" x14ac:dyDescent="0.25">
      <c r="A89" s="307"/>
      <c r="B89" s="308" t="s">
        <v>86</v>
      </c>
      <c r="C89" s="308" t="s">
        <v>52</v>
      </c>
      <c r="D89" s="511">
        <v>0</v>
      </c>
      <c r="E89" s="524">
        <v>0</v>
      </c>
      <c r="F89" s="295"/>
      <c r="G89" s="309"/>
      <c r="H89" s="310"/>
      <c r="I89" s="304"/>
      <c r="J89" s="293"/>
      <c r="K89" s="304"/>
      <c r="L89" s="293"/>
      <c r="M89" s="304"/>
      <c r="N89" s="293"/>
      <c r="O89" s="293"/>
      <c r="P89" s="293"/>
      <c r="Q89" s="293"/>
    </row>
    <row r="90" spans="1:17" x14ac:dyDescent="0.25">
      <c r="A90" s="292"/>
      <c r="B90" s="308" t="s">
        <v>86</v>
      </c>
      <c r="C90" s="308" t="s">
        <v>53</v>
      </c>
      <c r="D90" s="511">
        <v>0</v>
      </c>
      <c r="E90" s="524">
        <v>0</v>
      </c>
      <c r="F90" s="295"/>
      <c r="G90" s="309"/>
      <c r="H90" s="310"/>
      <c r="I90" s="304"/>
      <c r="J90" s="293"/>
      <c r="K90" s="304"/>
      <c r="L90" s="293"/>
      <c r="M90" s="304"/>
      <c r="N90" s="293"/>
      <c r="O90" s="293"/>
      <c r="P90" s="293"/>
      <c r="Q90" s="293"/>
    </row>
    <row r="91" spans="1:17" x14ac:dyDescent="0.25">
      <c r="A91" s="292"/>
      <c r="B91" s="308" t="s">
        <v>86</v>
      </c>
      <c r="C91" s="308" t="s">
        <v>54</v>
      </c>
      <c r="D91" s="511">
        <v>0</v>
      </c>
      <c r="E91" s="303">
        <v>0</v>
      </c>
      <c r="F91" s="295"/>
      <c r="G91" s="309"/>
      <c r="H91" s="310"/>
      <c r="I91" s="304"/>
      <c r="J91" s="293"/>
      <c r="K91" s="304"/>
      <c r="L91" s="293"/>
      <c r="M91" s="304"/>
      <c r="N91" s="293"/>
      <c r="O91" s="293"/>
      <c r="P91" s="293"/>
      <c r="Q91" s="293"/>
    </row>
    <row r="92" spans="1:17" x14ac:dyDescent="0.25">
      <c r="A92" s="292"/>
      <c r="B92" s="308" t="s">
        <v>86</v>
      </c>
      <c r="C92" s="308" t="s">
        <v>220</v>
      </c>
      <c r="D92" s="511">
        <v>4.4400000000000004</v>
      </c>
      <c r="E92" s="524">
        <v>25</v>
      </c>
      <c r="F92" s="295">
        <v>26.82</v>
      </c>
      <c r="G92" s="309">
        <f>F92/D92</f>
        <v>6.0405405405405403</v>
      </c>
      <c r="H92" s="310">
        <f t="shared" si="10"/>
        <v>6.7859806114839688E-2</v>
      </c>
      <c r="I92" s="304">
        <v>20.2</v>
      </c>
      <c r="J92" s="293">
        <v>3.09</v>
      </c>
      <c r="K92" s="304">
        <v>10.9</v>
      </c>
      <c r="L92" s="293"/>
      <c r="M92" s="304"/>
      <c r="N92" s="293"/>
      <c r="O92" s="293"/>
      <c r="P92" s="293"/>
      <c r="Q92" s="293"/>
    </row>
    <row r="93" spans="1:17" x14ac:dyDescent="0.25">
      <c r="A93" s="292"/>
      <c r="B93" s="308" t="s">
        <v>89</v>
      </c>
      <c r="C93" s="308" t="s">
        <v>55</v>
      </c>
      <c r="D93" s="511">
        <v>6.15</v>
      </c>
      <c r="E93" s="526">
        <v>35</v>
      </c>
      <c r="F93" s="295">
        <v>52.36</v>
      </c>
      <c r="G93" s="309">
        <f>F93/D93</f>
        <v>8.513821138211382</v>
      </c>
      <c r="H93" s="310">
        <f t="shared" si="10"/>
        <v>0.33155080213903743</v>
      </c>
      <c r="I93" s="304">
        <v>21.7</v>
      </c>
      <c r="J93" s="293">
        <v>3.06</v>
      </c>
      <c r="K93" s="304">
        <v>7.5</v>
      </c>
      <c r="L93" s="293">
        <v>184.2</v>
      </c>
      <c r="M93" s="304"/>
      <c r="N93" s="293"/>
      <c r="O93" s="293"/>
      <c r="P93" s="293"/>
      <c r="Q93" s="293"/>
    </row>
    <row r="94" spans="1:17" x14ac:dyDescent="0.25">
      <c r="A94" s="292"/>
      <c r="B94" s="308" t="s">
        <v>133</v>
      </c>
      <c r="C94" s="308" t="s">
        <v>5</v>
      </c>
      <c r="D94" s="511" t="s">
        <v>108</v>
      </c>
      <c r="E94" s="303">
        <v>0</v>
      </c>
      <c r="F94" s="295"/>
      <c r="G94" s="309"/>
      <c r="H94" s="331"/>
      <c r="I94" s="304"/>
      <c r="J94" s="293"/>
      <c r="K94" s="304"/>
      <c r="L94" s="293"/>
      <c r="M94" s="304"/>
      <c r="N94" s="293"/>
      <c r="O94" s="293"/>
      <c r="P94" s="293"/>
      <c r="Q94" s="293"/>
    </row>
    <row r="95" spans="1:17" x14ac:dyDescent="0.25">
      <c r="A95" s="292"/>
      <c r="B95" s="314"/>
      <c r="C95" s="315" t="s">
        <v>114</v>
      </c>
      <c r="D95" s="337">
        <v>5.07</v>
      </c>
      <c r="E95" s="520">
        <f>SUM(E85)</f>
        <v>30</v>
      </c>
      <c r="F95" s="304">
        <f>SUM(F85)</f>
        <v>29.91</v>
      </c>
      <c r="G95" s="309"/>
      <c r="H95" s="310">
        <f>(ABS(E95-F95))/F95</f>
        <v>3.0090270812437262E-3</v>
      </c>
      <c r="I95" s="304"/>
      <c r="J95" s="293"/>
      <c r="K95" s="304"/>
      <c r="L95" s="293"/>
      <c r="M95" s="304"/>
      <c r="N95" s="293"/>
      <c r="O95" s="293"/>
      <c r="P95" s="293"/>
      <c r="Q95" s="293"/>
    </row>
    <row r="96" spans="1:17" x14ac:dyDescent="0.25">
      <c r="A96" s="292"/>
      <c r="B96" s="314"/>
      <c r="C96" s="292" t="s">
        <v>118</v>
      </c>
      <c r="D96" s="323">
        <f>SUM(D86:D93)</f>
        <v>10.59</v>
      </c>
      <c r="E96" s="520">
        <f>SUM(E92:E94)</f>
        <v>60</v>
      </c>
      <c r="F96" s="304">
        <f>SUM(F86:F94)</f>
        <v>79.180000000000007</v>
      </c>
      <c r="G96" s="309"/>
      <c r="H96" s="310">
        <f>(ABS(E96-F96))/F96</f>
        <v>0.24223288709270024</v>
      </c>
      <c r="I96" s="304"/>
      <c r="J96" s="293"/>
      <c r="K96" s="304"/>
      <c r="L96" s="293"/>
      <c r="M96" s="304"/>
      <c r="N96" s="293"/>
      <c r="O96" s="293"/>
      <c r="P96" s="293"/>
      <c r="Q96" s="293"/>
    </row>
    <row r="97" spans="1:17" ht="15.75" thickBot="1" x14ac:dyDescent="0.3">
      <c r="A97" s="292"/>
      <c r="B97" s="293"/>
      <c r="C97" s="328" t="s">
        <v>116</v>
      </c>
      <c r="D97" s="339" t="s">
        <v>108</v>
      </c>
      <c r="E97" s="520">
        <v>0</v>
      </c>
      <c r="F97" s="304">
        <v>0</v>
      </c>
      <c r="G97" s="309"/>
      <c r="H97" s="310"/>
      <c r="I97" s="304"/>
      <c r="J97" s="293"/>
      <c r="K97" s="304"/>
      <c r="L97" s="293"/>
      <c r="M97" s="304"/>
      <c r="N97" s="293"/>
      <c r="O97" s="293"/>
      <c r="P97" s="293"/>
      <c r="Q97" s="293"/>
    </row>
    <row r="98" spans="1:17" ht="15.75" thickTop="1" x14ac:dyDescent="0.25">
      <c r="A98" s="292"/>
      <c r="B98" s="293"/>
      <c r="C98" s="330" t="s">
        <v>117</v>
      </c>
      <c r="D98" s="340">
        <f>SUM(D95,D96)</f>
        <v>15.66</v>
      </c>
      <c r="E98" s="523">
        <f>SUM(E95:E97)</f>
        <v>90</v>
      </c>
      <c r="F98" s="359">
        <f>SUM(F95:F97)</f>
        <v>109.09</v>
      </c>
      <c r="G98" s="506"/>
      <c r="H98" s="507">
        <f>(ABS(E98-F98))/F98</f>
        <v>0.17499312494270788</v>
      </c>
      <c r="I98" s="359"/>
      <c r="J98" s="360"/>
      <c r="K98" s="359"/>
      <c r="L98" s="360"/>
      <c r="M98" s="359"/>
      <c r="N98" s="293"/>
      <c r="O98" s="293"/>
      <c r="P98" s="293"/>
      <c r="Q98" s="293"/>
    </row>
    <row r="99" spans="1:17" x14ac:dyDescent="0.25">
      <c r="A99" s="305" t="s">
        <v>25</v>
      </c>
      <c r="B99" s="324"/>
      <c r="C99" s="305"/>
      <c r="D99" s="305"/>
      <c r="E99" s="520"/>
      <c r="F99" s="295"/>
      <c r="G99" s="309"/>
      <c r="H99" s="331"/>
      <c r="I99" s="304"/>
      <c r="J99" s="293"/>
      <c r="K99" s="304"/>
      <c r="L99" s="293"/>
      <c r="M99" s="304"/>
      <c r="N99" s="293"/>
      <c r="O99" s="293"/>
      <c r="P99" s="293"/>
      <c r="Q99" s="293"/>
    </row>
    <row r="100" spans="1:17" x14ac:dyDescent="0.25">
      <c r="A100" s="342"/>
      <c r="B100" s="343" t="s">
        <v>3</v>
      </c>
      <c r="C100" s="343" t="s">
        <v>56</v>
      </c>
      <c r="D100" s="512">
        <v>1.49</v>
      </c>
      <c r="E100" s="524">
        <v>8</v>
      </c>
      <c r="F100" s="295">
        <v>7.67</v>
      </c>
      <c r="G100" s="309">
        <f>F100/D100</f>
        <v>5.147651006711409</v>
      </c>
      <c r="H100" s="310">
        <f>(ABS(E100-F100))/F100</f>
        <v>4.3024771838331172E-2</v>
      </c>
      <c r="I100" s="304">
        <v>22</v>
      </c>
      <c r="J100" s="293">
        <v>3.4</v>
      </c>
      <c r="K100" s="304">
        <v>7</v>
      </c>
      <c r="L100" s="293">
        <v>197.59</v>
      </c>
      <c r="M100" s="304"/>
      <c r="N100" s="293"/>
      <c r="O100" s="293"/>
      <c r="P100" s="293"/>
      <c r="Q100" s="293"/>
    </row>
    <row r="101" spans="1:17" x14ac:dyDescent="0.25">
      <c r="A101" s="307" t="s">
        <v>93</v>
      </c>
      <c r="B101" s="344"/>
      <c r="C101" s="307"/>
      <c r="D101" s="307"/>
      <c r="E101" s="520"/>
      <c r="F101" s="295"/>
      <c r="G101" s="309"/>
      <c r="H101" s="331"/>
      <c r="I101" s="304"/>
      <c r="J101" s="293"/>
      <c r="K101" s="304"/>
      <c r="L101" s="293"/>
      <c r="M101" s="304"/>
      <c r="N101" s="293"/>
      <c r="O101" s="293"/>
      <c r="P101" s="293"/>
      <c r="Q101" s="293"/>
    </row>
    <row r="102" spans="1:17" x14ac:dyDescent="0.25">
      <c r="A102" s="292"/>
      <c r="B102" s="308" t="s">
        <v>7</v>
      </c>
      <c r="C102" s="308" t="s">
        <v>99</v>
      </c>
      <c r="D102" s="517">
        <v>1</v>
      </c>
      <c r="E102" s="522">
        <v>1</v>
      </c>
      <c r="F102" s="295">
        <v>0</v>
      </c>
      <c r="G102" s="309">
        <f>F102/D102</f>
        <v>0</v>
      </c>
      <c r="H102" s="310"/>
      <c r="I102" s="304"/>
      <c r="J102" s="293"/>
      <c r="K102" s="304"/>
      <c r="L102" s="293"/>
      <c r="M102" s="304"/>
      <c r="N102" s="293"/>
      <c r="O102" s="293"/>
      <c r="P102" s="293"/>
      <c r="Q102" s="293"/>
    </row>
    <row r="103" spans="1:17" x14ac:dyDescent="0.25">
      <c r="A103" s="345" t="s">
        <v>103</v>
      </c>
      <c r="B103" s="324"/>
      <c r="C103" s="346"/>
      <c r="D103" s="347"/>
      <c r="E103" s="520"/>
      <c r="F103" s="295"/>
      <c r="G103" s="309"/>
      <c r="H103" s="331"/>
      <c r="I103" s="304"/>
      <c r="J103" s="293"/>
      <c r="K103" s="304"/>
      <c r="L103" s="293"/>
      <c r="M103" s="304"/>
      <c r="N103" s="293"/>
      <c r="O103" s="293"/>
      <c r="P103" s="293"/>
      <c r="Q103" s="293"/>
    </row>
    <row r="104" spans="1:17" x14ac:dyDescent="0.25">
      <c r="A104" s="348"/>
      <c r="B104" s="313" t="s">
        <v>7</v>
      </c>
      <c r="C104" s="349" t="s">
        <v>121</v>
      </c>
      <c r="D104" s="350">
        <v>3.98</v>
      </c>
      <c r="E104" s="522">
        <v>14</v>
      </c>
      <c r="F104" s="295">
        <v>19.36</v>
      </c>
      <c r="G104" s="309">
        <f>F104/D104</f>
        <v>4.8643216080402008</v>
      </c>
      <c r="H104" s="317">
        <f>(ABS(E104-F104))/F104</f>
        <v>0.27685950413223137</v>
      </c>
      <c r="I104" s="304">
        <v>23</v>
      </c>
      <c r="J104" s="293">
        <v>3.95</v>
      </c>
      <c r="K104" s="304">
        <v>4.3</v>
      </c>
      <c r="L104" s="293">
        <v>227.3</v>
      </c>
      <c r="M104" s="304"/>
      <c r="N104" s="293"/>
      <c r="O104" s="293"/>
      <c r="P104" s="293"/>
      <c r="Q104" s="293"/>
    </row>
    <row r="105" spans="1:17" x14ac:dyDescent="0.25">
      <c r="A105" s="345" t="s">
        <v>142</v>
      </c>
      <c r="B105" s="351"/>
      <c r="C105" s="351"/>
      <c r="D105" s="350"/>
      <c r="E105" s="522"/>
      <c r="F105" s="295"/>
      <c r="G105" s="309"/>
      <c r="H105" s="317"/>
      <c r="I105" s="304"/>
      <c r="J105" s="293"/>
      <c r="K105" s="304"/>
      <c r="L105" s="293"/>
      <c r="M105" s="304"/>
      <c r="N105" s="293"/>
      <c r="O105" s="293"/>
      <c r="P105" s="293"/>
      <c r="Q105" s="293"/>
    </row>
    <row r="106" spans="1:17" x14ac:dyDescent="0.25">
      <c r="A106" s="348"/>
      <c r="B106" s="313" t="s">
        <v>7</v>
      </c>
      <c r="C106" s="349" t="s">
        <v>99</v>
      </c>
      <c r="D106" s="350">
        <v>2</v>
      </c>
      <c r="E106" s="522">
        <v>0</v>
      </c>
      <c r="F106" s="295">
        <v>0</v>
      </c>
      <c r="G106" s="309">
        <f>F106/D106</f>
        <v>0</v>
      </c>
      <c r="H106" s="317"/>
      <c r="I106" s="304"/>
      <c r="J106" s="293"/>
      <c r="K106" s="304"/>
      <c r="L106" s="293"/>
      <c r="M106" s="304"/>
      <c r="N106" s="293"/>
      <c r="O106" s="293"/>
      <c r="P106" s="293"/>
      <c r="Q106" s="293"/>
    </row>
    <row r="107" spans="1:17" x14ac:dyDescent="0.25">
      <c r="A107" s="345" t="s">
        <v>184</v>
      </c>
      <c r="B107" s="351"/>
      <c r="C107" s="351"/>
      <c r="D107" s="352"/>
      <c r="E107" s="527"/>
      <c r="F107" s="353"/>
      <c r="G107" s="544"/>
      <c r="H107" s="545"/>
      <c r="I107" s="354"/>
      <c r="J107" s="324"/>
      <c r="K107" s="354"/>
      <c r="L107" s="324"/>
      <c r="M107" s="354"/>
      <c r="N107" s="293"/>
      <c r="O107" s="293"/>
      <c r="P107" s="293"/>
      <c r="Q107" s="293"/>
    </row>
    <row r="108" spans="1:17" x14ac:dyDescent="0.25">
      <c r="A108" s="348"/>
      <c r="B108" s="313" t="s">
        <v>221</v>
      </c>
      <c r="C108" s="349" t="s">
        <v>217</v>
      </c>
      <c r="D108" s="350">
        <v>4.95</v>
      </c>
      <c r="E108" s="522">
        <v>28</v>
      </c>
      <c r="F108" s="295">
        <v>7.46</v>
      </c>
      <c r="G108" s="370"/>
      <c r="H108" s="358">
        <f t="shared" ref="H108:H110" si="11">(ABS(E108-F108))/F108</f>
        <v>2.7533512064343162</v>
      </c>
      <c r="I108" s="304"/>
      <c r="J108" s="293"/>
      <c r="K108" s="304"/>
      <c r="L108" s="293"/>
      <c r="M108" s="304"/>
      <c r="N108" s="293" t="s">
        <v>222</v>
      </c>
      <c r="O108" s="293"/>
      <c r="P108" s="293"/>
      <c r="Q108" s="293"/>
    </row>
    <row r="109" spans="1:17" s="240" customFormat="1" x14ac:dyDescent="0.25">
      <c r="A109" s="345" t="s">
        <v>152</v>
      </c>
      <c r="B109" s="351"/>
      <c r="C109" s="351"/>
      <c r="D109" s="352"/>
      <c r="E109" s="527"/>
      <c r="F109" s="353"/>
      <c r="G109" s="309"/>
      <c r="H109" s="317"/>
      <c r="I109" s="354"/>
      <c r="J109" s="324"/>
      <c r="K109" s="354"/>
      <c r="L109" s="324"/>
      <c r="M109" s="354"/>
      <c r="N109" s="324"/>
      <c r="O109" s="324"/>
      <c r="P109" s="324"/>
      <c r="Q109" s="324"/>
    </row>
    <row r="110" spans="1:17" s="239" customFormat="1" x14ac:dyDescent="0.25">
      <c r="A110" s="342"/>
      <c r="B110" s="355" t="s">
        <v>153</v>
      </c>
      <c r="C110" s="355" t="s">
        <v>121</v>
      </c>
      <c r="D110" s="356">
        <v>1.68</v>
      </c>
      <c r="E110" s="528">
        <v>10</v>
      </c>
      <c r="F110" s="357">
        <v>10.73</v>
      </c>
      <c r="G110" s="532">
        <f>F110/D110</f>
        <v>6.3869047619047628</v>
      </c>
      <c r="H110" s="358">
        <f t="shared" si="11"/>
        <v>6.8033550792171521E-2</v>
      </c>
      <c r="I110" s="359">
        <v>25.5</v>
      </c>
      <c r="J110" s="360">
        <v>3.52</v>
      </c>
      <c r="K110" s="359">
        <v>7.2</v>
      </c>
      <c r="L110" s="360">
        <v>116.1</v>
      </c>
      <c r="M110" s="359"/>
      <c r="N110" s="360"/>
      <c r="O110" s="360"/>
      <c r="P110" s="360"/>
      <c r="Q110" s="360"/>
    </row>
    <row r="111" spans="1:17" x14ac:dyDescent="0.25">
      <c r="A111" s="348" t="s">
        <v>27</v>
      </c>
      <c r="B111" s="344"/>
      <c r="C111" s="307"/>
      <c r="D111" s="307"/>
      <c r="E111" s="520"/>
      <c r="F111" s="295"/>
      <c r="G111" s="309"/>
      <c r="H111" s="331"/>
      <c r="I111" s="304"/>
      <c r="J111" s="293"/>
      <c r="K111" s="304"/>
      <c r="L111" s="293"/>
      <c r="M111" s="304"/>
      <c r="N111" s="293"/>
      <c r="O111" s="293"/>
      <c r="P111" s="293"/>
      <c r="Q111" s="293"/>
    </row>
    <row r="112" spans="1:17" x14ac:dyDescent="0.25">
      <c r="A112" s="292"/>
      <c r="B112" s="308" t="s">
        <v>3</v>
      </c>
      <c r="C112" s="308" t="s">
        <v>57</v>
      </c>
      <c r="D112" s="511">
        <v>7.0000000000000007E-2</v>
      </c>
      <c r="E112" s="522">
        <v>0.5</v>
      </c>
      <c r="F112" s="295">
        <v>0.4</v>
      </c>
      <c r="G112" s="309">
        <f>F112/D112</f>
        <v>5.7142857142857144</v>
      </c>
      <c r="H112" s="310">
        <f t="shared" ref="H112:H117" si="12">(ABS(E112-F112))/F112</f>
        <v>0.24999999999999994</v>
      </c>
      <c r="I112" s="304"/>
      <c r="J112" s="293"/>
      <c r="K112" s="304"/>
      <c r="L112" s="293"/>
      <c r="M112" s="304"/>
      <c r="N112" s="293"/>
      <c r="O112" s="293"/>
      <c r="P112" s="293"/>
      <c r="Q112" s="293"/>
    </row>
    <row r="113" spans="1:17" x14ac:dyDescent="0.25">
      <c r="A113" s="307"/>
      <c r="B113" s="308"/>
      <c r="C113" s="308" t="s">
        <v>58</v>
      </c>
      <c r="D113" s="511">
        <v>2.36</v>
      </c>
      <c r="E113" s="526">
        <v>8.1</v>
      </c>
      <c r="F113" s="295">
        <v>12.94</v>
      </c>
      <c r="G113" s="309">
        <f>F113/D113</f>
        <v>5.4830508474576272</v>
      </c>
      <c r="H113" s="310">
        <f t="shared" si="12"/>
        <v>0.37403400309119011</v>
      </c>
      <c r="I113" s="304">
        <v>24.5</v>
      </c>
      <c r="J113" s="293">
        <v>3.46</v>
      </c>
      <c r="K113" s="304">
        <v>7.7</v>
      </c>
      <c r="L113" s="293"/>
      <c r="M113" s="304"/>
      <c r="N113" s="293"/>
      <c r="O113" s="293"/>
      <c r="P113" s="293"/>
      <c r="Q113" s="293"/>
    </row>
    <row r="114" spans="1:17" x14ac:dyDescent="0.25">
      <c r="A114" s="292"/>
      <c r="B114" s="308"/>
      <c r="C114" s="308" t="s">
        <v>59</v>
      </c>
      <c r="D114" s="511">
        <v>1.17</v>
      </c>
      <c r="E114" s="526">
        <v>5.2</v>
      </c>
      <c r="F114" s="295">
        <v>6.14</v>
      </c>
      <c r="G114" s="309">
        <f>F114/D114</f>
        <v>5.2478632478632479</v>
      </c>
      <c r="H114" s="310">
        <f t="shared" si="12"/>
        <v>0.15309446254071654</v>
      </c>
      <c r="I114" s="304"/>
      <c r="J114" s="293"/>
      <c r="K114" s="304"/>
      <c r="L114" s="293"/>
      <c r="M114" s="304"/>
      <c r="N114" s="293"/>
      <c r="O114" s="293"/>
      <c r="P114" s="293"/>
      <c r="Q114" s="293"/>
    </row>
    <row r="115" spans="1:17" x14ac:dyDescent="0.25">
      <c r="A115" s="292"/>
      <c r="B115" s="308"/>
      <c r="C115" s="308" t="s">
        <v>60</v>
      </c>
      <c r="D115" s="511">
        <v>0.95</v>
      </c>
      <c r="E115" s="303">
        <v>3.8</v>
      </c>
      <c r="F115" s="295">
        <v>4.49</v>
      </c>
      <c r="G115" s="309">
        <f>F115/D115</f>
        <v>4.7263157894736842</v>
      </c>
      <c r="H115" s="310">
        <f t="shared" si="12"/>
        <v>0.15367483296213816</v>
      </c>
      <c r="I115" s="304">
        <v>24.5</v>
      </c>
      <c r="J115" s="293">
        <v>3.56</v>
      </c>
      <c r="K115" s="304">
        <v>7.4</v>
      </c>
      <c r="L115" s="293"/>
      <c r="M115" s="304"/>
      <c r="N115" s="293"/>
      <c r="O115" s="293"/>
      <c r="P115" s="293"/>
      <c r="Q115" s="293"/>
    </row>
    <row r="116" spans="1:17" x14ac:dyDescent="0.25">
      <c r="A116" s="292"/>
      <c r="B116" s="336" t="s">
        <v>7</v>
      </c>
      <c r="C116" s="336" t="s">
        <v>121</v>
      </c>
      <c r="D116" s="513">
        <v>3.02</v>
      </c>
      <c r="E116" s="522">
        <v>10</v>
      </c>
      <c r="F116" s="295">
        <v>20.89</v>
      </c>
      <c r="G116" s="309">
        <f>F116/D116</f>
        <v>6.9172185430463582</v>
      </c>
      <c r="H116" s="310">
        <f t="shared" si="12"/>
        <v>0.52130205840114885</v>
      </c>
      <c r="I116" s="304">
        <v>24</v>
      </c>
      <c r="J116" s="293">
        <v>3.58</v>
      </c>
      <c r="K116" s="304">
        <v>7.1</v>
      </c>
      <c r="L116" s="293"/>
      <c r="M116" s="304"/>
      <c r="N116" s="293"/>
      <c r="O116" s="293"/>
      <c r="P116" s="293"/>
      <c r="Q116" s="293"/>
    </row>
    <row r="117" spans="1:17" x14ac:dyDescent="0.25">
      <c r="A117" s="292"/>
      <c r="B117" s="314"/>
      <c r="C117" s="315" t="s">
        <v>114</v>
      </c>
      <c r="D117" s="337">
        <f>SUM(D112:D115)</f>
        <v>4.55</v>
      </c>
      <c r="E117" s="520">
        <f>SUM(E112:E115)</f>
        <v>17.600000000000001</v>
      </c>
      <c r="F117" s="304">
        <f>SUM(F112:F115)</f>
        <v>23.97</v>
      </c>
      <c r="G117" s="309"/>
      <c r="H117" s="310">
        <f t="shared" si="12"/>
        <v>0.26574885273258231</v>
      </c>
      <c r="I117" s="304"/>
      <c r="J117" s="293"/>
      <c r="K117" s="304"/>
      <c r="L117" s="293"/>
      <c r="M117" s="304"/>
      <c r="N117" s="293"/>
      <c r="O117" s="293"/>
      <c r="P117" s="293"/>
      <c r="Q117" s="293"/>
    </row>
    <row r="118" spans="1:17" x14ac:dyDescent="0.25">
      <c r="A118" s="292"/>
      <c r="B118" s="314"/>
      <c r="C118" s="292" t="s">
        <v>119</v>
      </c>
      <c r="D118" s="323" t="s">
        <v>108</v>
      </c>
      <c r="E118" s="526">
        <v>0</v>
      </c>
      <c r="F118" s="304">
        <v>0</v>
      </c>
      <c r="G118" s="309"/>
      <c r="H118" s="310"/>
      <c r="I118" s="304"/>
      <c r="J118" s="293"/>
      <c r="K118" s="304"/>
      <c r="L118" s="293"/>
      <c r="M118" s="304"/>
      <c r="N118" s="293"/>
      <c r="O118" s="293"/>
      <c r="P118" s="293"/>
      <c r="Q118" s="293"/>
    </row>
    <row r="119" spans="1:17" ht="15.75" thickBot="1" x14ac:dyDescent="0.3">
      <c r="A119" s="292"/>
      <c r="B119" s="293"/>
      <c r="C119" s="328" t="s">
        <v>116</v>
      </c>
      <c r="D119" s="339">
        <v>3.02</v>
      </c>
      <c r="E119" s="520">
        <f>E116</f>
        <v>10</v>
      </c>
      <c r="F119" s="304">
        <f>F116</f>
        <v>20.89</v>
      </c>
      <c r="G119" s="309"/>
      <c r="H119" s="310">
        <f>(ABS(E119-F119))/F119</f>
        <v>0.52130205840114885</v>
      </c>
      <c r="I119" s="304"/>
      <c r="J119" s="293"/>
      <c r="K119" s="304"/>
      <c r="L119" s="293"/>
      <c r="M119" s="304"/>
      <c r="N119" s="293"/>
      <c r="O119" s="293"/>
      <c r="P119" s="293"/>
      <c r="Q119" s="293"/>
    </row>
    <row r="120" spans="1:17" ht="15.75" thickTop="1" x14ac:dyDescent="0.25">
      <c r="A120" s="292"/>
      <c r="B120" s="293"/>
      <c r="C120" s="330" t="s">
        <v>117</v>
      </c>
      <c r="D120" s="340">
        <f>SUM(D117,D119)</f>
        <v>7.57</v>
      </c>
      <c r="E120" s="523">
        <f>SUM(E117:E119)</f>
        <v>27.6</v>
      </c>
      <c r="F120" s="359">
        <f>SUM(F117:F119)</f>
        <v>44.86</v>
      </c>
      <c r="G120" s="506"/>
      <c r="H120" s="507">
        <f>(ABS(E120-F120))/F120</f>
        <v>0.38475256353098525</v>
      </c>
      <c r="I120" s="359"/>
      <c r="J120" s="360"/>
      <c r="K120" s="359"/>
      <c r="L120" s="360"/>
      <c r="M120" s="359"/>
      <c r="N120" s="293"/>
      <c r="O120" s="293"/>
      <c r="P120" s="293"/>
      <c r="Q120" s="293"/>
    </row>
    <row r="121" spans="1:17" x14ac:dyDescent="0.25">
      <c r="A121" s="305" t="s">
        <v>28</v>
      </c>
      <c r="B121" s="324"/>
      <c r="C121" s="305"/>
      <c r="D121" s="305"/>
      <c r="E121" s="520"/>
      <c r="F121" s="295"/>
      <c r="G121" s="309"/>
      <c r="H121" s="331"/>
      <c r="I121" s="304"/>
      <c r="J121" s="293"/>
      <c r="K121" s="304"/>
      <c r="L121" s="293"/>
      <c r="M121" s="304"/>
      <c r="N121" s="293"/>
      <c r="O121" s="293"/>
      <c r="P121" s="293"/>
      <c r="Q121" s="293"/>
    </row>
    <row r="122" spans="1:17" x14ac:dyDescent="0.25">
      <c r="A122" s="292"/>
      <c r="B122" s="308" t="s">
        <v>3</v>
      </c>
      <c r="C122" s="308" t="s">
        <v>53</v>
      </c>
      <c r="D122" s="511">
        <v>1.1000000000000001</v>
      </c>
      <c r="E122" s="520">
        <v>5</v>
      </c>
      <c r="F122" s="295">
        <v>4.46</v>
      </c>
      <c r="G122" s="309">
        <f>F122/D122</f>
        <v>4.0545454545454538</v>
      </c>
      <c r="H122" s="310">
        <f t="shared" ref="H122:H127" si="13">(ABS(E122-F122))/F122</f>
        <v>0.1210762331838565</v>
      </c>
      <c r="I122" s="304"/>
      <c r="J122" s="293"/>
      <c r="K122" s="304"/>
      <c r="L122" s="293"/>
      <c r="M122" s="304"/>
      <c r="N122" s="293"/>
      <c r="O122" s="293"/>
      <c r="P122" s="293"/>
      <c r="Q122" s="293"/>
    </row>
    <row r="123" spans="1:17" x14ac:dyDescent="0.25">
      <c r="A123" s="292"/>
      <c r="B123" s="308" t="s">
        <v>3</v>
      </c>
      <c r="C123" s="308" t="s">
        <v>61</v>
      </c>
      <c r="D123" s="511">
        <v>0.83</v>
      </c>
      <c r="E123" s="529">
        <v>5</v>
      </c>
      <c r="F123" s="295">
        <v>4.6500000000000004</v>
      </c>
      <c r="G123" s="309">
        <f>F123/D123</f>
        <v>5.6024096385542173</v>
      </c>
      <c r="H123" s="310">
        <f t="shared" si="13"/>
        <v>7.5268817204300995E-2</v>
      </c>
      <c r="I123" s="304">
        <v>26.9</v>
      </c>
      <c r="J123" s="293">
        <v>3.8</v>
      </c>
      <c r="K123" s="304">
        <v>7.5</v>
      </c>
      <c r="L123" s="293">
        <v>214.042</v>
      </c>
      <c r="M123" s="304"/>
      <c r="N123" s="293"/>
      <c r="O123" s="293"/>
      <c r="P123" s="293"/>
      <c r="Q123" s="293"/>
    </row>
    <row r="124" spans="1:17" x14ac:dyDescent="0.25">
      <c r="A124" s="292"/>
      <c r="B124" s="308" t="s">
        <v>86</v>
      </c>
      <c r="C124" s="308"/>
      <c r="D124" s="511">
        <v>0.05</v>
      </c>
      <c r="E124" s="522">
        <v>0.25</v>
      </c>
      <c r="F124" s="295">
        <v>0.14000000000000001</v>
      </c>
      <c r="G124" s="309">
        <f>F124/D124</f>
        <v>2.8000000000000003</v>
      </c>
      <c r="H124" s="310">
        <f t="shared" si="13"/>
        <v>0.78571428571428559</v>
      </c>
      <c r="I124" s="304"/>
      <c r="J124" s="293"/>
      <c r="K124" s="304"/>
      <c r="L124" s="293"/>
      <c r="M124" s="304"/>
      <c r="N124" s="293"/>
      <c r="O124" s="293"/>
      <c r="P124" s="293"/>
      <c r="Q124" s="293"/>
    </row>
    <row r="125" spans="1:17" x14ac:dyDescent="0.25">
      <c r="A125" s="292"/>
      <c r="B125" s="308" t="s">
        <v>6</v>
      </c>
      <c r="C125" s="308"/>
      <c r="D125" s="511">
        <v>13.45</v>
      </c>
      <c r="E125" s="530">
        <v>52</v>
      </c>
      <c r="F125" s="295">
        <v>54.8</v>
      </c>
      <c r="G125" s="309">
        <f>F125/D125</f>
        <v>4.074349442379182</v>
      </c>
      <c r="H125" s="310">
        <f t="shared" si="13"/>
        <v>5.1094890510948857E-2</v>
      </c>
      <c r="I125" s="304">
        <v>25.2</v>
      </c>
      <c r="J125" s="293">
        <v>3.76</v>
      </c>
      <c r="K125" s="304">
        <v>8</v>
      </c>
      <c r="L125" s="293"/>
      <c r="M125" s="304"/>
      <c r="N125" s="293"/>
      <c r="O125" s="293"/>
      <c r="P125" s="293"/>
      <c r="Q125" s="293"/>
    </row>
    <row r="126" spans="1:17" x14ac:dyDescent="0.25">
      <c r="A126" s="292"/>
      <c r="B126" s="314"/>
      <c r="C126" s="315" t="s">
        <v>114</v>
      </c>
      <c r="D126" s="337">
        <f>SUM(D122:D123,D125)</f>
        <v>15.379999999999999</v>
      </c>
      <c r="E126" s="529">
        <f>SUM(E122:E123,E125)</f>
        <v>62</v>
      </c>
      <c r="F126" s="361">
        <f>SUM(F122:F123,F125)</f>
        <v>63.91</v>
      </c>
      <c r="G126" s="309"/>
      <c r="H126" s="310">
        <f t="shared" si="13"/>
        <v>2.988577687372863E-2</v>
      </c>
      <c r="I126" s="304"/>
      <c r="J126" s="293"/>
      <c r="K126" s="304"/>
      <c r="L126" s="293"/>
      <c r="M126" s="304"/>
      <c r="N126" s="293"/>
      <c r="O126" s="293"/>
      <c r="P126" s="293"/>
      <c r="Q126" s="293"/>
    </row>
    <row r="127" spans="1:17" x14ac:dyDescent="0.25">
      <c r="A127" s="292"/>
      <c r="B127" s="314"/>
      <c r="C127" s="292" t="s">
        <v>118</v>
      </c>
      <c r="D127" s="323">
        <v>0.05</v>
      </c>
      <c r="E127" s="520">
        <f>E124</f>
        <v>0.25</v>
      </c>
      <c r="F127" s="304">
        <f>F124</f>
        <v>0.14000000000000001</v>
      </c>
      <c r="G127" s="309"/>
      <c r="H127" s="310">
        <f t="shared" si="13"/>
        <v>0.78571428571428559</v>
      </c>
      <c r="I127" s="304"/>
      <c r="J127" s="293"/>
      <c r="K127" s="304"/>
      <c r="L127" s="293"/>
      <c r="M127" s="304"/>
      <c r="N127" s="293"/>
      <c r="O127" s="293"/>
      <c r="P127" s="293"/>
      <c r="Q127" s="293"/>
    </row>
    <row r="128" spans="1:17" ht="15.75" thickBot="1" x14ac:dyDescent="0.3">
      <c r="A128" s="292"/>
      <c r="B128" s="293"/>
      <c r="C128" s="328" t="s">
        <v>116</v>
      </c>
      <c r="D128" s="339" t="s">
        <v>108</v>
      </c>
      <c r="E128" s="520">
        <v>0</v>
      </c>
      <c r="F128" s="304">
        <v>0</v>
      </c>
      <c r="G128" s="309"/>
      <c r="H128" s="310"/>
      <c r="I128" s="304"/>
      <c r="J128" s="293"/>
      <c r="K128" s="304"/>
      <c r="L128" s="293"/>
      <c r="M128" s="304"/>
      <c r="N128" s="293"/>
      <c r="O128" s="293"/>
      <c r="P128" s="293"/>
      <c r="Q128" s="293"/>
    </row>
    <row r="129" spans="1:17" ht="15.75" thickTop="1" x14ac:dyDescent="0.25">
      <c r="A129" s="292"/>
      <c r="B129" s="293"/>
      <c r="C129" s="330" t="s">
        <v>117</v>
      </c>
      <c r="D129" s="340">
        <f>SUM(D126:D127)</f>
        <v>15.43</v>
      </c>
      <c r="E129" s="543">
        <f>SUM(E126:E128)</f>
        <v>62.25</v>
      </c>
      <c r="F129" s="537">
        <f>SUM(F126:F128)</f>
        <v>64.05</v>
      </c>
      <c r="G129" s="506"/>
      <c r="H129" s="507">
        <f>(ABS(E129-F129))/F129</f>
        <v>2.8103044496487078E-2</v>
      </c>
      <c r="I129" s="359"/>
      <c r="J129" s="360"/>
      <c r="K129" s="359"/>
      <c r="L129" s="360"/>
      <c r="M129" s="359"/>
      <c r="N129" s="293"/>
      <c r="O129" s="293"/>
      <c r="P129" s="293"/>
      <c r="Q129" s="293"/>
    </row>
    <row r="130" spans="1:17" x14ac:dyDescent="0.25">
      <c r="A130" s="305" t="s">
        <v>62</v>
      </c>
      <c r="B130" s="324"/>
      <c r="C130" s="305"/>
      <c r="D130" s="305"/>
      <c r="E130" s="520"/>
      <c r="F130" s="295"/>
      <c r="G130" s="309"/>
      <c r="H130" s="331"/>
      <c r="I130" s="304"/>
      <c r="J130" s="293"/>
      <c r="K130" s="304"/>
      <c r="L130" s="293"/>
      <c r="M130" s="304"/>
      <c r="N130" s="293"/>
      <c r="O130" s="293"/>
      <c r="P130" s="293"/>
      <c r="Q130" s="293"/>
    </row>
    <row r="131" spans="1:17" x14ac:dyDescent="0.25">
      <c r="A131" s="292"/>
      <c r="B131" s="336" t="s">
        <v>7</v>
      </c>
      <c r="C131" s="336" t="s">
        <v>46</v>
      </c>
      <c r="D131" s="513">
        <v>11.2</v>
      </c>
      <c r="E131" s="524">
        <v>60</v>
      </c>
      <c r="F131" s="295">
        <v>60.47</v>
      </c>
      <c r="G131" s="309">
        <f>F131/D131</f>
        <v>5.3991071428571429</v>
      </c>
      <c r="H131" s="310">
        <f>(ABS(E131-F131))/F131</f>
        <v>7.7724491483380006E-3</v>
      </c>
      <c r="I131" s="304">
        <v>25</v>
      </c>
      <c r="J131" s="293">
        <v>3.19</v>
      </c>
      <c r="K131" s="304">
        <v>8.6</v>
      </c>
      <c r="L131" s="293">
        <v>276.39999999999998</v>
      </c>
      <c r="M131" s="304"/>
      <c r="N131" s="293"/>
      <c r="O131" s="293"/>
      <c r="P131" s="293"/>
      <c r="Q131" s="293"/>
    </row>
    <row r="132" spans="1:17" x14ac:dyDescent="0.25">
      <c r="A132" s="292"/>
      <c r="B132" s="336" t="s">
        <v>7</v>
      </c>
      <c r="C132" s="308" t="s">
        <v>99</v>
      </c>
      <c r="D132" s="513">
        <v>7</v>
      </c>
      <c r="E132" s="524">
        <v>35</v>
      </c>
      <c r="F132" s="295">
        <v>29.6</v>
      </c>
      <c r="G132" s="309">
        <f>F132/D132</f>
        <v>4.2285714285714286</v>
      </c>
      <c r="H132" s="310">
        <f>(ABS(E132-F132))/F132</f>
        <v>0.18243243243243237</v>
      </c>
      <c r="I132" s="304">
        <v>24.5</v>
      </c>
      <c r="J132" s="293">
        <v>3.27</v>
      </c>
      <c r="K132" s="304">
        <v>8.3000000000000007</v>
      </c>
      <c r="L132" s="293">
        <v>302.3</v>
      </c>
      <c r="M132" s="304"/>
      <c r="N132" s="293"/>
      <c r="O132" s="293"/>
      <c r="P132" s="293"/>
      <c r="Q132" s="293"/>
    </row>
    <row r="133" spans="1:17" x14ac:dyDescent="0.25">
      <c r="A133" s="292"/>
      <c r="B133" s="314"/>
      <c r="C133" s="315" t="s">
        <v>114</v>
      </c>
      <c r="D133" s="362" t="s">
        <v>108</v>
      </c>
      <c r="E133" s="520">
        <v>0</v>
      </c>
      <c r="F133" s="304">
        <v>0</v>
      </c>
      <c r="G133" s="309"/>
      <c r="H133" s="310"/>
      <c r="I133" s="304"/>
      <c r="J133" s="293"/>
      <c r="K133" s="304"/>
      <c r="L133" s="293"/>
      <c r="M133" s="304"/>
      <c r="N133" s="293"/>
      <c r="O133" s="293"/>
      <c r="P133" s="293"/>
      <c r="Q133" s="293"/>
    </row>
    <row r="134" spans="1:17" x14ac:dyDescent="0.25">
      <c r="A134" s="292"/>
      <c r="B134" s="314"/>
      <c r="C134" s="292" t="s">
        <v>119</v>
      </c>
      <c r="D134" s="363" t="s">
        <v>108</v>
      </c>
      <c r="E134" s="520">
        <v>0</v>
      </c>
      <c r="F134" s="304">
        <v>0</v>
      </c>
      <c r="G134" s="309"/>
      <c r="H134" s="310"/>
      <c r="I134" s="304"/>
      <c r="J134" s="293"/>
      <c r="K134" s="304"/>
      <c r="L134" s="293"/>
      <c r="M134" s="304"/>
      <c r="N134" s="293"/>
      <c r="O134" s="293"/>
      <c r="P134" s="293"/>
      <c r="Q134" s="293"/>
    </row>
    <row r="135" spans="1:17" ht="15.75" thickBot="1" x14ac:dyDescent="0.3">
      <c r="A135" s="292"/>
      <c r="B135" s="293"/>
      <c r="C135" s="328" t="s">
        <v>116</v>
      </c>
      <c r="D135" s="364">
        <f>SUM(D131:D132)</f>
        <v>18.2</v>
      </c>
      <c r="E135" s="520">
        <f>SUM(E131:E132)</f>
        <v>95</v>
      </c>
      <c r="F135" s="304">
        <f>SUM(F131:F132)</f>
        <v>90.07</v>
      </c>
      <c r="G135" s="309"/>
      <c r="H135" s="310">
        <f>(ABS(E135-F135))/F135</f>
        <v>5.4735205950927138E-2</v>
      </c>
      <c r="I135" s="304"/>
      <c r="J135" s="293"/>
      <c r="K135" s="304"/>
      <c r="L135" s="293"/>
      <c r="M135" s="304"/>
      <c r="N135" s="293"/>
      <c r="O135" s="293"/>
      <c r="P135" s="293"/>
      <c r="Q135" s="293"/>
    </row>
    <row r="136" spans="1:17" ht="15.75" thickTop="1" x14ac:dyDescent="0.25">
      <c r="A136" s="292"/>
      <c r="B136" s="293"/>
      <c r="C136" s="330" t="s">
        <v>117</v>
      </c>
      <c r="D136" s="327">
        <v>18.2</v>
      </c>
      <c r="E136" s="536">
        <f>SUM(E133:E135)</f>
        <v>95</v>
      </c>
      <c r="F136" s="359">
        <f>SUM(F133:F135)</f>
        <v>90.07</v>
      </c>
      <c r="G136" s="506"/>
      <c r="H136" s="507">
        <f>(ABS(E136-F136))/F136</f>
        <v>5.4735205950927138E-2</v>
      </c>
      <c r="I136" s="359"/>
      <c r="J136" s="360"/>
      <c r="K136" s="359"/>
      <c r="L136" s="360"/>
      <c r="M136" s="359"/>
      <c r="N136" s="293"/>
      <c r="O136" s="293"/>
      <c r="P136" s="293"/>
      <c r="Q136" s="293"/>
    </row>
    <row r="137" spans="1:17" x14ac:dyDescent="0.25">
      <c r="A137" s="345" t="s">
        <v>30</v>
      </c>
      <c r="B137" s="324"/>
      <c r="C137" s="305"/>
      <c r="D137" s="305"/>
      <c r="E137" s="520"/>
      <c r="F137" s="295"/>
      <c r="G137" s="309"/>
      <c r="H137" s="331"/>
      <c r="I137" s="304"/>
      <c r="J137" s="293"/>
      <c r="K137" s="304"/>
      <c r="L137" s="293"/>
      <c r="M137" s="304"/>
      <c r="N137" s="293"/>
      <c r="O137" s="293"/>
      <c r="P137" s="293"/>
      <c r="Q137" s="293"/>
    </row>
    <row r="138" spans="1:17" x14ac:dyDescent="0.25">
      <c r="A138" s="292"/>
      <c r="B138" s="308" t="s">
        <v>3</v>
      </c>
      <c r="C138" s="308" t="s">
        <v>57</v>
      </c>
      <c r="D138" s="511">
        <v>0.66</v>
      </c>
      <c r="E138" s="526">
        <v>2.5</v>
      </c>
      <c r="F138" s="295">
        <v>4.17</v>
      </c>
      <c r="G138" s="309">
        <f t="shared" ref="G138:G144" si="14">F138/D138</f>
        <v>6.3181818181818175</v>
      </c>
      <c r="H138" s="310">
        <f t="shared" ref="H138:H145" si="15">(ABS(E138-F138))/F138</f>
        <v>0.40047961630695444</v>
      </c>
      <c r="I138" s="304">
        <v>27</v>
      </c>
      <c r="J138" s="293">
        <v>3.55</v>
      </c>
      <c r="K138" s="304">
        <v>212</v>
      </c>
      <c r="L138" s="293">
        <v>8.3000000000000007</v>
      </c>
      <c r="M138" s="304"/>
      <c r="N138" s="293"/>
      <c r="O138" s="293"/>
      <c r="P138" s="293"/>
      <c r="Q138" s="293"/>
    </row>
    <row r="139" spans="1:17" x14ac:dyDescent="0.25">
      <c r="A139" s="307"/>
      <c r="B139" s="308" t="s">
        <v>3</v>
      </c>
      <c r="C139" s="308" t="s">
        <v>51</v>
      </c>
      <c r="D139" s="511">
        <v>2.79</v>
      </c>
      <c r="E139" s="524">
        <v>10</v>
      </c>
      <c r="F139" s="295">
        <v>14.56</v>
      </c>
      <c r="G139" s="309">
        <f t="shared" si="14"/>
        <v>5.2186379928315416</v>
      </c>
      <c r="H139" s="310">
        <f t="shared" si="15"/>
        <v>0.31318681318681318</v>
      </c>
      <c r="I139" s="304">
        <v>27</v>
      </c>
      <c r="J139" s="293">
        <v>3.54</v>
      </c>
      <c r="K139" s="304">
        <v>6.7</v>
      </c>
      <c r="L139" s="293">
        <v>181</v>
      </c>
      <c r="M139" s="304"/>
      <c r="N139" s="293"/>
      <c r="O139" s="293"/>
      <c r="P139" s="293"/>
      <c r="Q139" s="293"/>
    </row>
    <row r="140" spans="1:17" x14ac:dyDescent="0.25">
      <c r="A140" s="292"/>
      <c r="B140" s="308" t="s">
        <v>3</v>
      </c>
      <c r="C140" s="308" t="s">
        <v>63</v>
      </c>
      <c r="D140" s="511">
        <v>2.7</v>
      </c>
      <c r="E140" s="303">
        <v>8</v>
      </c>
      <c r="F140" s="295">
        <v>14.32</v>
      </c>
      <c r="G140" s="309">
        <f t="shared" si="14"/>
        <v>5.3037037037037038</v>
      </c>
      <c r="H140" s="310">
        <f t="shared" si="15"/>
        <v>0.44134078212290506</v>
      </c>
      <c r="I140" s="304">
        <v>24</v>
      </c>
      <c r="J140" s="293">
        <v>3.53</v>
      </c>
      <c r="K140" s="304">
        <v>6.8</v>
      </c>
      <c r="L140" s="293">
        <v>200.2</v>
      </c>
      <c r="M140" s="304"/>
      <c r="N140" s="293"/>
      <c r="O140" s="293"/>
      <c r="P140" s="293"/>
      <c r="Q140" s="293"/>
    </row>
    <row r="141" spans="1:17" x14ac:dyDescent="0.25">
      <c r="A141" s="292"/>
      <c r="B141" s="308" t="s">
        <v>3</v>
      </c>
      <c r="C141" s="308" t="s">
        <v>64</v>
      </c>
      <c r="D141" s="511">
        <v>0.85</v>
      </c>
      <c r="E141" s="303">
        <v>1.5</v>
      </c>
      <c r="F141" s="295">
        <v>3.32</v>
      </c>
      <c r="G141" s="309">
        <f t="shared" si="14"/>
        <v>3.9058823529411764</v>
      </c>
      <c r="H141" s="310">
        <f t="shared" si="15"/>
        <v>0.54819277108433728</v>
      </c>
      <c r="I141" s="304"/>
      <c r="J141" s="293"/>
      <c r="K141" s="304"/>
      <c r="L141" s="293"/>
      <c r="M141" s="304"/>
      <c r="N141" s="293"/>
      <c r="O141" s="293"/>
      <c r="P141" s="293"/>
      <c r="Q141" s="293"/>
    </row>
    <row r="142" spans="1:17" x14ac:dyDescent="0.25">
      <c r="A142" s="292"/>
      <c r="B142" s="308" t="s">
        <v>3</v>
      </c>
      <c r="C142" s="308" t="s">
        <v>45</v>
      </c>
      <c r="D142" s="511">
        <v>0.78</v>
      </c>
      <c r="E142" s="526">
        <v>2</v>
      </c>
      <c r="F142" s="295">
        <v>4.08</v>
      </c>
      <c r="G142" s="309">
        <f t="shared" si="14"/>
        <v>5.2307692307692308</v>
      </c>
      <c r="H142" s="310">
        <f t="shared" si="15"/>
        <v>0.50980392156862742</v>
      </c>
      <c r="I142" s="304"/>
      <c r="J142" s="293"/>
      <c r="K142" s="304"/>
      <c r="L142" s="293"/>
      <c r="M142" s="304"/>
      <c r="N142" s="293"/>
      <c r="O142" s="293"/>
      <c r="P142" s="293"/>
      <c r="Q142" s="293"/>
    </row>
    <row r="143" spans="1:17" x14ac:dyDescent="0.25">
      <c r="A143" s="307"/>
      <c r="B143" s="308" t="s">
        <v>3</v>
      </c>
      <c r="C143" s="308" t="s">
        <v>65</v>
      </c>
      <c r="D143" s="511">
        <v>4.92</v>
      </c>
      <c r="E143" s="303">
        <v>20</v>
      </c>
      <c r="F143" s="295">
        <v>24.82</v>
      </c>
      <c r="G143" s="309">
        <f t="shared" si="14"/>
        <v>5.0447154471544717</v>
      </c>
      <c r="H143" s="310">
        <f t="shared" si="15"/>
        <v>0.19419822723609992</v>
      </c>
      <c r="I143" s="304">
        <v>26.5</v>
      </c>
      <c r="J143" s="293">
        <v>3.62</v>
      </c>
      <c r="K143" s="304">
        <v>6.4</v>
      </c>
      <c r="L143" s="293">
        <v>184.4</v>
      </c>
      <c r="M143" s="304"/>
      <c r="N143" s="293"/>
      <c r="O143" s="293"/>
      <c r="P143" s="293"/>
      <c r="Q143" s="293"/>
    </row>
    <row r="144" spans="1:17" x14ac:dyDescent="0.25">
      <c r="A144" s="307"/>
      <c r="B144" s="336" t="s">
        <v>7</v>
      </c>
      <c r="C144" s="336" t="s">
        <v>87</v>
      </c>
      <c r="D144" s="513">
        <v>6.41</v>
      </c>
      <c r="E144" s="522">
        <v>0</v>
      </c>
      <c r="F144" s="295">
        <v>0</v>
      </c>
      <c r="G144" s="309">
        <f t="shared" si="14"/>
        <v>0</v>
      </c>
      <c r="H144" s="317"/>
      <c r="I144" s="304"/>
      <c r="J144" s="293"/>
      <c r="K144" s="304"/>
      <c r="L144" s="293"/>
      <c r="M144" s="304"/>
      <c r="N144" s="293"/>
      <c r="O144" s="293"/>
      <c r="P144" s="293"/>
      <c r="Q144" s="293"/>
    </row>
    <row r="145" spans="1:17" x14ac:dyDescent="0.25">
      <c r="A145" s="292"/>
      <c r="B145" s="314"/>
      <c r="C145" s="315" t="s">
        <v>114</v>
      </c>
      <c r="D145" s="337">
        <f>SUM(D138:D143)</f>
        <v>12.7</v>
      </c>
      <c r="E145" s="520">
        <f>SUM(E138:E143)</f>
        <v>44</v>
      </c>
      <c r="F145" s="304">
        <f>SUM(F138:F143)</f>
        <v>65.27</v>
      </c>
      <c r="G145" s="309"/>
      <c r="H145" s="310">
        <f t="shared" si="15"/>
        <v>0.32587712578519989</v>
      </c>
      <c r="I145" s="304"/>
      <c r="J145" s="293"/>
      <c r="K145" s="304"/>
      <c r="L145" s="293"/>
      <c r="M145" s="304"/>
      <c r="N145" s="293"/>
      <c r="O145" s="293"/>
      <c r="P145" s="293"/>
      <c r="Q145" s="293"/>
    </row>
    <row r="146" spans="1:17" x14ac:dyDescent="0.25">
      <c r="A146" s="292"/>
      <c r="B146" s="314"/>
      <c r="C146" s="292" t="s">
        <v>120</v>
      </c>
      <c r="D146" s="323" t="s">
        <v>108</v>
      </c>
      <c r="E146" s="520">
        <v>0</v>
      </c>
      <c r="F146" s="304">
        <v>0</v>
      </c>
      <c r="G146" s="309"/>
      <c r="H146" s="310"/>
      <c r="I146" s="304"/>
      <c r="J146" s="293"/>
      <c r="K146" s="304"/>
      <c r="L146" s="293"/>
      <c r="M146" s="304"/>
      <c r="N146" s="293"/>
      <c r="O146" s="293"/>
      <c r="P146" s="293"/>
      <c r="Q146" s="293"/>
    </row>
    <row r="147" spans="1:17" ht="15.75" thickBot="1" x14ac:dyDescent="0.3">
      <c r="A147" s="292"/>
      <c r="B147" s="293"/>
      <c r="C147" s="328" t="s">
        <v>116</v>
      </c>
      <c r="D147" s="339">
        <v>6.41</v>
      </c>
      <c r="E147" s="520">
        <f>SUM(E144)</f>
        <v>0</v>
      </c>
      <c r="F147" s="304">
        <f>SUM(F144)</f>
        <v>0</v>
      </c>
      <c r="G147" s="309"/>
      <c r="H147" s="310"/>
      <c r="I147" s="304"/>
      <c r="J147" s="293"/>
      <c r="K147" s="304"/>
      <c r="L147" s="293"/>
      <c r="M147" s="304"/>
      <c r="N147" s="293"/>
      <c r="O147" s="293"/>
      <c r="P147" s="293"/>
      <c r="Q147" s="293"/>
    </row>
    <row r="148" spans="1:17" ht="15.75" thickTop="1" x14ac:dyDescent="0.25">
      <c r="A148" s="292"/>
      <c r="B148" s="293"/>
      <c r="C148" s="330" t="s">
        <v>117</v>
      </c>
      <c r="D148" s="340">
        <f>SUM(D145,D147)</f>
        <v>19.11</v>
      </c>
      <c r="E148" s="536">
        <f>SUM(E145:E147)</f>
        <v>44</v>
      </c>
      <c r="F148" s="359">
        <f>SUM(F145:F147)</f>
        <v>65.27</v>
      </c>
      <c r="G148" s="506"/>
      <c r="H148" s="507">
        <f>(ABS(E148-F148))/F148</f>
        <v>0.32587712578519989</v>
      </c>
      <c r="I148" s="359"/>
      <c r="J148" s="360"/>
      <c r="K148" s="359"/>
      <c r="L148" s="360"/>
      <c r="M148" s="359"/>
      <c r="N148" s="293"/>
      <c r="O148" s="293"/>
      <c r="P148" s="293"/>
      <c r="Q148" s="293"/>
    </row>
    <row r="149" spans="1:17" x14ac:dyDescent="0.25">
      <c r="A149" s="305" t="s">
        <v>33</v>
      </c>
      <c r="B149" s="324"/>
      <c r="C149" s="324"/>
      <c r="D149" s="516"/>
      <c r="E149" s="520"/>
      <c r="F149" s="295"/>
      <c r="G149" s="309"/>
      <c r="H149" s="331"/>
      <c r="I149" s="304"/>
      <c r="J149" s="293"/>
      <c r="K149" s="304"/>
      <c r="L149" s="293"/>
      <c r="M149" s="304"/>
      <c r="N149" s="293"/>
      <c r="O149" s="293"/>
      <c r="P149" s="293"/>
      <c r="Q149" s="293"/>
    </row>
    <row r="150" spans="1:17" x14ac:dyDescent="0.25">
      <c r="A150" s="292"/>
      <c r="B150" s="308" t="s">
        <v>3</v>
      </c>
      <c r="C150" s="308" t="s">
        <v>52</v>
      </c>
      <c r="D150" s="511">
        <v>1.79</v>
      </c>
      <c r="E150" s="520">
        <v>7.5</v>
      </c>
      <c r="F150" s="295">
        <v>7.22</v>
      </c>
      <c r="G150" s="309">
        <f t="shared" ref="G150:G175" si="16">F150/D150</f>
        <v>4.0335195530726251</v>
      </c>
      <c r="H150" s="310">
        <f t="shared" ref="H150:H179" si="17">(ABS(E150-F150))/F150</f>
        <v>3.8781163434903086E-2</v>
      </c>
      <c r="I150" s="304">
        <v>23.3</v>
      </c>
      <c r="J150" s="293">
        <v>3.75</v>
      </c>
      <c r="K150" s="304">
        <v>7.5</v>
      </c>
      <c r="L150" s="293">
        <v>242.77</v>
      </c>
      <c r="M150" s="304"/>
      <c r="N150" s="293"/>
      <c r="O150" s="293"/>
      <c r="P150" s="293"/>
      <c r="Q150" s="293"/>
    </row>
    <row r="151" spans="1:17" x14ac:dyDescent="0.25">
      <c r="A151" s="292"/>
      <c r="B151" s="308" t="s">
        <v>3</v>
      </c>
      <c r="C151" s="308" t="s">
        <v>32</v>
      </c>
      <c r="D151" s="511">
        <v>2.4700000000000002</v>
      </c>
      <c r="E151" s="526">
        <v>10</v>
      </c>
      <c r="F151" s="295">
        <v>8.76</v>
      </c>
      <c r="G151" s="309">
        <f t="shared" si="16"/>
        <v>3.546558704453441</v>
      </c>
      <c r="H151" s="310">
        <f t="shared" si="17"/>
        <v>0.14155251141552513</v>
      </c>
      <c r="I151" s="304">
        <v>24.8</v>
      </c>
      <c r="J151" s="293">
        <v>3.64</v>
      </c>
      <c r="K151" s="304">
        <v>8.8000000000000007</v>
      </c>
      <c r="L151" s="293">
        <v>263.24</v>
      </c>
      <c r="M151" s="304"/>
      <c r="N151" s="293"/>
      <c r="O151" s="293"/>
      <c r="P151" s="293"/>
      <c r="Q151" s="293"/>
    </row>
    <row r="152" spans="1:17" x14ac:dyDescent="0.25">
      <c r="A152" s="292"/>
      <c r="B152" s="308" t="s">
        <v>3</v>
      </c>
      <c r="C152" s="308" t="s">
        <v>54</v>
      </c>
      <c r="D152" s="511">
        <v>0.92</v>
      </c>
      <c r="E152" s="520">
        <v>6</v>
      </c>
      <c r="F152" s="295">
        <v>6.11</v>
      </c>
      <c r="G152" s="309">
        <f t="shared" si="16"/>
        <v>6.6413043478260869</v>
      </c>
      <c r="H152" s="310">
        <f t="shared" si="17"/>
        <v>1.8003273322422311E-2</v>
      </c>
      <c r="I152" s="304">
        <v>24.6</v>
      </c>
      <c r="J152" s="293">
        <v>3.58</v>
      </c>
      <c r="K152" s="304">
        <v>9.1</v>
      </c>
      <c r="L152" s="293">
        <v>245.59</v>
      </c>
      <c r="M152" s="304"/>
      <c r="N152" s="293"/>
      <c r="O152" s="293"/>
      <c r="P152" s="293"/>
      <c r="Q152" s="293"/>
    </row>
    <row r="153" spans="1:17" x14ac:dyDescent="0.25">
      <c r="A153" s="292"/>
      <c r="B153" s="308" t="s">
        <v>3</v>
      </c>
      <c r="C153" s="308" t="s">
        <v>66</v>
      </c>
      <c r="D153" s="511">
        <v>0.55000000000000004</v>
      </c>
      <c r="E153" s="520">
        <v>2</v>
      </c>
      <c r="F153" s="295">
        <v>1.19</v>
      </c>
      <c r="G153" s="309">
        <f t="shared" si="16"/>
        <v>2.1636363636363636</v>
      </c>
      <c r="H153" s="310">
        <f t="shared" si="17"/>
        <v>0.68067226890756305</v>
      </c>
      <c r="I153" s="304">
        <v>24.4</v>
      </c>
      <c r="J153" s="293">
        <v>3.61</v>
      </c>
      <c r="K153" s="304">
        <v>7.7</v>
      </c>
      <c r="L153" s="293">
        <v>237.77</v>
      </c>
      <c r="M153" s="304"/>
      <c r="N153" s="293"/>
      <c r="O153" s="293"/>
      <c r="P153" s="293"/>
      <c r="Q153" s="293"/>
    </row>
    <row r="154" spans="1:17" x14ac:dyDescent="0.25">
      <c r="A154" s="307"/>
      <c r="B154" s="308" t="s">
        <v>3</v>
      </c>
      <c r="C154" s="308" t="s">
        <v>67</v>
      </c>
      <c r="D154" s="511">
        <v>0.96</v>
      </c>
      <c r="E154" s="520">
        <v>4</v>
      </c>
      <c r="F154" s="295">
        <v>2</v>
      </c>
      <c r="G154" s="309">
        <f t="shared" si="16"/>
        <v>2.0833333333333335</v>
      </c>
      <c r="H154" s="310">
        <f t="shared" si="17"/>
        <v>1</v>
      </c>
      <c r="I154" s="304"/>
      <c r="J154" s="293"/>
      <c r="K154" s="304"/>
      <c r="L154" s="293"/>
      <c r="M154" s="304"/>
      <c r="N154" s="293"/>
      <c r="O154" s="293"/>
      <c r="P154" s="293"/>
      <c r="Q154" s="293"/>
    </row>
    <row r="155" spans="1:17" x14ac:dyDescent="0.25">
      <c r="A155" s="292"/>
      <c r="B155" s="308" t="s">
        <v>3</v>
      </c>
      <c r="C155" s="308" t="s">
        <v>68</v>
      </c>
      <c r="D155" s="511">
        <v>0.56999999999999995</v>
      </c>
      <c r="E155" s="526">
        <v>2</v>
      </c>
      <c r="F155" s="295">
        <v>1</v>
      </c>
      <c r="G155" s="309">
        <f t="shared" si="16"/>
        <v>1.7543859649122808</v>
      </c>
      <c r="H155" s="310">
        <f t="shared" si="17"/>
        <v>1</v>
      </c>
      <c r="I155" s="304"/>
      <c r="J155" s="293"/>
      <c r="K155" s="304"/>
      <c r="L155" s="293"/>
      <c r="M155" s="304"/>
      <c r="N155" s="293"/>
      <c r="O155" s="293"/>
      <c r="P155" s="293"/>
      <c r="Q155" s="293"/>
    </row>
    <row r="156" spans="1:17" x14ac:dyDescent="0.25">
      <c r="A156" s="292"/>
      <c r="B156" s="308" t="s">
        <v>3</v>
      </c>
      <c r="C156" s="308" t="s">
        <v>69</v>
      </c>
      <c r="D156" s="511">
        <v>0.9</v>
      </c>
      <c r="E156" s="520">
        <v>4</v>
      </c>
      <c r="F156" s="295">
        <v>3.42</v>
      </c>
      <c r="G156" s="309">
        <f t="shared" si="16"/>
        <v>3.8</v>
      </c>
      <c r="H156" s="310">
        <f t="shared" si="17"/>
        <v>0.16959064327485382</v>
      </c>
      <c r="I156" s="304">
        <v>25.5</v>
      </c>
      <c r="J156" s="293">
        <v>3.79</v>
      </c>
      <c r="K156" s="304">
        <v>7.7</v>
      </c>
      <c r="L156" s="293">
        <v>260.39999999999998</v>
      </c>
      <c r="M156" s="304"/>
      <c r="N156" s="293"/>
      <c r="O156" s="293"/>
      <c r="P156" s="293"/>
      <c r="Q156" s="293"/>
    </row>
    <row r="157" spans="1:17" x14ac:dyDescent="0.25">
      <c r="A157" s="292"/>
      <c r="B157" s="308" t="s">
        <v>3</v>
      </c>
      <c r="C157" s="308" t="s">
        <v>70</v>
      </c>
      <c r="D157" s="511">
        <v>2.68</v>
      </c>
      <c r="E157" s="520">
        <v>14</v>
      </c>
      <c r="F157" s="295">
        <v>8.94</v>
      </c>
      <c r="G157" s="309">
        <f t="shared" si="16"/>
        <v>3.3358208955223878</v>
      </c>
      <c r="H157" s="310">
        <f t="shared" si="17"/>
        <v>0.56599552572706946</v>
      </c>
      <c r="I157" s="304">
        <v>26.2</v>
      </c>
      <c r="J157" s="293">
        <v>3.65</v>
      </c>
      <c r="K157" s="304">
        <v>7.2</v>
      </c>
      <c r="L157" s="293">
        <v>226.55</v>
      </c>
      <c r="M157" s="304"/>
      <c r="N157" s="293"/>
      <c r="O157" s="293"/>
      <c r="P157" s="293"/>
      <c r="Q157" s="293"/>
    </row>
    <row r="158" spans="1:17" x14ac:dyDescent="0.25">
      <c r="A158" s="307"/>
      <c r="B158" s="308" t="s">
        <v>3</v>
      </c>
      <c r="C158" s="308" t="s">
        <v>71</v>
      </c>
      <c r="D158" s="511">
        <v>0.53</v>
      </c>
      <c r="E158" s="520">
        <v>4</v>
      </c>
      <c r="F158" s="295">
        <v>2.15</v>
      </c>
      <c r="G158" s="309">
        <f t="shared" si="16"/>
        <v>4.0566037735849054</v>
      </c>
      <c r="H158" s="310">
        <f t="shared" si="17"/>
        <v>0.86046511627906985</v>
      </c>
      <c r="I158" s="304">
        <v>25.6</v>
      </c>
      <c r="J158" s="293">
        <v>3.87</v>
      </c>
      <c r="K158" s="304">
        <v>7.1</v>
      </c>
      <c r="L158" s="293">
        <v>238.9</v>
      </c>
      <c r="M158" s="304"/>
      <c r="N158" s="293"/>
      <c r="O158" s="293"/>
      <c r="P158" s="293"/>
      <c r="Q158" s="293"/>
    </row>
    <row r="159" spans="1:17" x14ac:dyDescent="0.25">
      <c r="A159" s="292"/>
      <c r="B159" s="308" t="s">
        <v>3</v>
      </c>
      <c r="C159" s="308" t="s">
        <v>72</v>
      </c>
      <c r="D159" s="511">
        <v>1.25</v>
      </c>
      <c r="E159" s="520">
        <v>4</v>
      </c>
      <c r="F159" s="295">
        <v>5</v>
      </c>
      <c r="G159" s="309">
        <f t="shared" si="16"/>
        <v>4</v>
      </c>
      <c r="H159" s="310">
        <f t="shared" si="17"/>
        <v>0.2</v>
      </c>
      <c r="I159" s="304"/>
      <c r="J159" s="293"/>
      <c r="K159" s="304"/>
      <c r="L159" s="293"/>
      <c r="M159" s="304"/>
      <c r="N159" s="293"/>
      <c r="O159" s="293"/>
      <c r="P159" s="293"/>
      <c r="Q159" s="293"/>
    </row>
    <row r="160" spans="1:17" x14ac:dyDescent="0.25">
      <c r="A160" s="292"/>
      <c r="B160" s="308" t="s">
        <v>3</v>
      </c>
      <c r="C160" s="308" t="s">
        <v>73</v>
      </c>
      <c r="D160" s="511">
        <v>1.63</v>
      </c>
      <c r="E160" s="526">
        <v>6</v>
      </c>
      <c r="F160" s="295">
        <v>7</v>
      </c>
      <c r="G160" s="309">
        <f t="shared" si="16"/>
        <v>4.294478527607362</v>
      </c>
      <c r="H160" s="310">
        <f t="shared" si="17"/>
        <v>0.14285714285714285</v>
      </c>
      <c r="I160" s="304"/>
      <c r="J160" s="293"/>
      <c r="K160" s="304"/>
      <c r="L160" s="293"/>
      <c r="M160" s="304"/>
      <c r="N160" s="293"/>
      <c r="O160" s="293"/>
      <c r="P160" s="293"/>
      <c r="Q160" s="293"/>
    </row>
    <row r="161" spans="1:17" x14ac:dyDescent="0.25">
      <c r="A161" s="292"/>
      <c r="B161" s="308" t="s">
        <v>3</v>
      </c>
      <c r="C161" s="308" t="s">
        <v>74</v>
      </c>
      <c r="D161" s="511">
        <v>1.72</v>
      </c>
      <c r="E161" s="526">
        <v>7</v>
      </c>
      <c r="F161" s="295">
        <v>6.34</v>
      </c>
      <c r="G161" s="309">
        <f t="shared" si="16"/>
        <v>3.6860465116279069</v>
      </c>
      <c r="H161" s="310">
        <f t="shared" si="17"/>
        <v>0.10410094637223977</v>
      </c>
      <c r="I161" s="304">
        <v>22.5</v>
      </c>
      <c r="J161" s="293">
        <v>3.66</v>
      </c>
      <c r="K161" s="304">
        <v>5</v>
      </c>
      <c r="L161" s="293"/>
      <c r="M161" s="304"/>
      <c r="N161" s="293"/>
      <c r="O161" s="293"/>
      <c r="P161" s="293"/>
      <c r="Q161" s="293"/>
    </row>
    <row r="162" spans="1:17" x14ac:dyDescent="0.25">
      <c r="A162" s="307"/>
      <c r="B162" s="308" t="s">
        <v>3</v>
      </c>
      <c r="C162" s="308" t="s">
        <v>75</v>
      </c>
      <c r="D162" s="511">
        <v>1.57</v>
      </c>
      <c r="E162" s="520">
        <v>6</v>
      </c>
      <c r="F162" s="295">
        <v>4.95</v>
      </c>
      <c r="G162" s="309">
        <f t="shared" si="16"/>
        <v>3.1528662420382165</v>
      </c>
      <c r="H162" s="310">
        <f t="shared" si="17"/>
        <v>0.21212121212121207</v>
      </c>
      <c r="I162" s="304">
        <v>24.3</v>
      </c>
      <c r="J162" s="293">
        <v>3.65</v>
      </c>
      <c r="K162" s="304">
        <v>8.1999999999999993</v>
      </c>
      <c r="L162" s="293">
        <v>282.52999999999997</v>
      </c>
      <c r="M162" s="304"/>
      <c r="N162" s="293"/>
      <c r="O162" s="293"/>
      <c r="P162" s="293"/>
      <c r="Q162" s="293"/>
    </row>
    <row r="163" spans="1:17" x14ac:dyDescent="0.25">
      <c r="A163" s="292"/>
      <c r="B163" s="308" t="s">
        <v>3</v>
      </c>
      <c r="C163" s="308" t="s">
        <v>76</v>
      </c>
      <c r="D163" s="511">
        <v>1.01</v>
      </c>
      <c r="E163" s="303">
        <v>5</v>
      </c>
      <c r="F163" s="295">
        <v>4.88</v>
      </c>
      <c r="G163" s="309">
        <f t="shared" si="16"/>
        <v>4.8316831683168315</v>
      </c>
      <c r="H163" s="310">
        <f t="shared" si="17"/>
        <v>2.4590163934426253E-2</v>
      </c>
      <c r="I163" s="304">
        <v>25.5</v>
      </c>
      <c r="J163" s="293">
        <v>3.78</v>
      </c>
      <c r="K163" s="304">
        <v>9</v>
      </c>
      <c r="L163" s="293">
        <v>267.7</v>
      </c>
      <c r="M163" s="304"/>
      <c r="N163" s="293"/>
      <c r="O163" s="293"/>
      <c r="P163" s="293"/>
      <c r="Q163" s="293"/>
    </row>
    <row r="164" spans="1:17" x14ac:dyDescent="0.25">
      <c r="A164" s="292"/>
      <c r="B164" s="308" t="s">
        <v>3</v>
      </c>
      <c r="C164" s="308" t="s">
        <v>77</v>
      </c>
      <c r="D164" s="511">
        <v>1.5</v>
      </c>
      <c r="E164" s="526">
        <v>5</v>
      </c>
      <c r="F164" s="295">
        <v>5.83</v>
      </c>
      <c r="G164" s="309">
        <f t="shared" si="16"/>
        <v>3.8866666666666667</v>
      </c>
      <c r="H164" s="310">
        <f t="shared" si="17"/>
        <v>0.14236706689536879</v>
      </c>
      <c r="I164" s="304"/>
      <c r="J164" s="293"/>
      <c r="K164" s="304"/>
      <c r="L164" s="293"/>
      <c r="M164" s="304"/>
      <c r="N164" s="293"/>
      <c r="O164" s="293"/>
      <c r="P164" s="293"/>
      <c r="Q164" s="293"/>
    </row>
    <row r="165" spans="1:17" x14ac:dyDescent="0.25">
      <c r="A165" s="292"/>
      <c r="B165" s="308" t="s">
        <v>86</v>
      </c>
      <c r="C165" s="308" t="s">
        <v>49</v>
      </c>
      <c r="D165" s="511">
        <v>2.71</v>
      </c>
      <c r="E165" s="303">
        <v>10</v>
      </c>
      <c r="F165" s="295">
        <v>8.01</v>
      </c>
      <c r="G165" s="309">
        <f t="shared" si="16"/>
        <v>2.9557195571955721</v>
      </c>
      <c r="H165" s="310">
        <f t="shared" si="17"/>
        <v>0.24843945068664172</v>
      </c>
      <c r="I165" s="304">
        <v>24.5</v>
      </c>
      <c r="J165" s="293">
        <v>3.47</v>
      </c>
      <c r="K165" s="304">
        <v>8.6999999999999993</v>
      </c>
      <c r="L165" s="293">
        <v>263.8</v>
      </c>
      <c r="M165" s="304"/>
      <c r="N165" s="293"/>
      <c r="O165" s="293"/>
      <c r="P165" s="293"/>
      <c r="Q165" s="293"/>
    </row>
    <row r="166" spans="1:17" x14ac:dyDescent="0.25">
      <c r="A166" s="307"/>
      <c r="B166" s="308" t="s">
        <v>86</v>
      </c>
      <c r="C166" s="308" t="s">
        <v>44</v>
      </c>
      <c r="D166" s="511">
        <v>1.04</v>
      </c>
      <c r="E166" s="303">
        <v>3</v>
      </c>
      <c r="F166" s="295">
        <v>4.43</v>
      </c>
      <c r="G166" s="309">
        <f t="shared" si="16"/>
        <v>4.2596153846153841</v>
      </c>
      <c r="H166" s="310">
        <f t="shared" si="17"/>
        <v>0.32279909706546273</v>
      </c>
      <c r="I166" s="304">
        <v>24.2</v>
      </c>
      <c r="J166" s="293">
        <v>3.27</v>
      </c>
      <c r="K166" s="304">
        <v>9.1</v>
      </c>
      <c r="L166" s="293"/>
      <c r="M166" s="304"/>
      <c r="N166" s="293"/>
      <c r="O166" s="293"/>
      <c r="P166" s="293"/>
      <c r="Q166" s="293"/>
    </row>
    <row r="167" spans="1:17" x14ac:dyDescent="0.25">
      <c r="A167" s="292"/>
      <c r="B167" s="308" t="s">
        <v>86</v>
      </c>
      <c r="C167" s="308" t="s">
        <v>12</v>
      </c>
      <c r="D167" s="511">
        <v>1.31</v>
      </c>
      <c r="E167" s="303">
        <v>7</v>
      </c>
      <c r="F167" s="295">
        <v>5.37</v>
      </c>
      <c r="G167" s="309">
        <f t="shared" si="16"/>
        <v>4.0992366412213741</v>
      </c>
      <c r="H167" s="310">
        <f t="shared" si="17"/>
        <v>0.30353817504655489</v>
      </c>
      <c r="I167" s="304">
        <v>24.8</v>
      </c>
      <c r="J167" s="293">
        <v>3.53</v>
      </c>
      <c r="K167" s="304">
        <v>8.1999999999999993</v>
      </c>
      <c r="L167" s="293">
        <v>272.89999999999998</v>
      </c>
      <c r="M167" s="304"/>
      <c r="N167" s="293"/>
      <c r="O167" s="293"/>
      <c r="P167" s="293"/>
      <c r="Q167" s="293"/>
    </row>
    <row r="168" spans="1:17" x14ac:dyDescent="0.25">
      <c r="A168" s="292"/>
      <c r="B168" s="308" t="s">
        <v>86</v>
      </c>
      <c r="C168" s="308" t="s">
        <v>36</v>
      </c>
      <c r="D168" s="511">
        <v>1.22</v>
      </c>
      <c r="E168" s="526">
        <v>3</v>
      </c>
      <c r="F168" s="295">
        <v>5</v>
      </c>
      <c r="G168" s="309">
        <f t="shared" si="16"/>
        <v>4.0983606557377046</v>
      </c>
      <c r="H168" s="310">
        <f t="shared" si="17"/>
        <v>0.4</v>
      </c>
      <c r="I168" s="304"/>
      <c r="J168" s="293"/>
      <c r="K168" s="304"/>
      <c r="L168" s="293"/>
      <c r="M168" s="304"/>
      <c r="N168" s="293"/>
      <c r="O168" s="293"/>
      <c r="P168" s="293"/>
      <c r="Q168" s="293"/>
    </row>
    <row r="169" spans="1:17" x14ac:dyDescent="0.25">
      <c r="A169" s="292"/>
      <c r="B169" s="308" t="s">
        <v>86</v>
      </c>
      <c r="C169" s="308" t="s">
        <v>63</v>
      </c>
      <c r="D169" s="511">
        <v>0.45</v>
      </c>
      <c r="E169" s="303">
        <v>2</v>
      </c>
      <c r="F169" s="295">
        <v>1.85</v>
      </c>
      <c r="G169" s="309">
        <f t="shared" si="16"/>
        <v>4.1111111111111116</v>
      </c>
      <c r="H169" s="317">
        <f t="shared" si="17"/>
        <v>8.108108108108103E-2</v>
      </c>
      <c r="I169" s="304"/>
      <c r="J169" s="293"/>
      <c r="K169" s="304"/>
      <c r="L169" s="293"/>
      <c r="M169" s="304"/>
      <c r="N169" s="293"/>
      <c r="O169" s="293"/>
      <c r="P169" s="293"/>
      <c r="Q169" s="293"/>
    </row>
    <row r="170" spans="1:17" x14ac:dyDescent="0.25">
      <c r="A170" s="307"/>
      <c r="B170" s="308" t="s">
        <v>86</v>
      </c>
      <c r="C170" s="308" t="s">
        <v>64</v>
      </c>
      <c r="D170" s="511">
        <v>0.32</v>
      </c>
      <c r="E170" s="303">
        <v>2</v>
      </c>
      <c r="F170" s="295">
        <v>1.32</v>
      </c>
      <c r="G170" s="309">
        <f t="shared" si="16"/>
        <v>4.125</v>
      </c>
      <c r="H170" s="310">
        <f t="shared" si="17"/>
        <v>0.51515151515151503</v>
      </c>
      <c r="I170" s="304"/>
      <c r="J170" s="293"/>
      <c r="K170" s="304"/>
      <c r="L170" s="293"/>
      <c r="M170" s="304"/>
      <c r="N170" s="293"/>
      <c r="O170" s="293"/>
      <c r="P170" s="293"/>
      <c r="Q170" s="293"/>
    </row>
    <row r="171" spans="1:17" x14ac:dyDescent="0.25">
      <c r="A171" s="307"/>
      <c r="B171" s="308" t="s">
        <v>199</v>
      </c>
      <c r="C171" s="308" t="s">
        <v>206</v>
      </c>
      <c r="D171" s="511">
        <v>5.5</v>
      </c>
      <c r="E171" s="303">
        <v>5</v>
      </c>
      <c r="F171" s="295">
        <v>6.56</v>
      </c>
      <c r="G171" s="309">
        <f t="shared" si="16"/>
        <v>1.1927272727272726</v>
      </c>
      <c r="H171" s="310">
        <f t="shared" si="17"/>
        <v>0.23780487804878045</v>
      </c>
      <c r="I171" s="304">
        <v>24.1</v>
      </c>
      <c r="J171" s="293">
        <v>3.66</v>
      </c>
      <c r="K171" s="304">
        <v>5.4</v>
      </c>
      <c r="L171" s="293">
        <v>315.39999999999998</v>
      </c>
      <c r="M171" s="304"/>
      <c r="N171" s="293"/>
      <c r="O171" s="293"/>
      <c r="P171" s="293"/>
      <c r="Q171" s="293"/>
    </row>
    <row r="172" spans="1:17" x14ac:dyDescent="0.25">
      <c r="A172" s="307"/>
      <c r="B172" s="308" t="s">
        <v>199</v>
      </c>
      <c r="C172" s="308" t="s">
        <v>207</v>
      </c>
      <c r="D172" s="511">
        <v>5.5</v>
      </c>
      <c r="E172" s="303">
        <v>5</v>
      </c>
      <c r="F172" s="295">
        <v>6.97</v>
      </c>
      <c r="G172" s="309">
        <f t="shared" si="16"/>
        <v>1.2672727272727273</v>
      </c>
      <c r="H172" s="310">
        <f t="shared" si="17"/>
        <v>0.28263988522238159</v>
      </c>
      <c r="I172" s="304"/>
      <c r="J172" s="293"/>
      <c r="K172" s="304"/>
      <c r="L172" s="293"/>
      <c r="M172" s="304"/>
      <c r="N172" s="293"/>
      <c r="O172" s="293"/>
      <c r="P172" s="293"/>
      <c r="Q172" s="293"/>
    </row>
    <row r="173" spans="1:17" x14ac:dyDescent="0.25">
      <c r="A173" s="292"/>
      <c r="B173" s="336" t="s">
        <v>7</v>
      </c>
      <c r="C173" s="336" t="s">
        <v>46</v>
      </c>
      <c r="D173" s="513">
        <v>5.0999999999999996</v>
      </c>
      <c r="E173" s="303">
        <v>28.8</v>
      </c>
      <c r="F173" s="295">
        <v>15.84</v>
      </c>
      <c r="G173" s="309">
        <f t="shared" si="16"/>
        <v>3.1058823529411765</v>
      </c>
      <c r="H173" s="310">
        <f t="shared" si="17"/>
        <v>0.81818181818181823</v>
      </c>
      <c r="I173" s="304">
        <v>23.2</v>
      </c>
      <c r="J173" s="293">
        <v>3.46</v>
      </c>
      <c r="K173" s="304">
        <v>8.6999999999999993</v>
      </c>
      <c r="L173" s="293">
        <v>336.9</v>
      </c>
      <c r="M173" s="304"/>
      <c r="N173" s="293" t="s">
        <v>159</v>
      </c>
      <c r="O173" s="326">
        <v>1418.4</v>
      </c>
      <c r="P173" s="293" t="s">
        <v>160</v>
      </c>
      <c r="Q173" s="293"/>
    </row>
    <row r="174" spans="1:17" x14ac:dyDescent="0.25">
      <c r="A174" s="292"/>
      <c r="B174" s="336" t="s">
        <v>7</v>
      </c>
      <c r="C174" s="336" t="s">
        <v>42</v>
      </c>
      <c r="D174" s="513">
        <v>4</v>
      </c>
      <c r="E174" s="522">
        <v>12</v>
      </c>
      <c r="F174" s="295">
        <v>10.07</v>
      </c>
      <c r="G174" s="309">
        <f t="shared" si="16"/>
        <v>2.5175000000000001</v>
      </c>
      <c r="H174" s="310">
        <f t="shared" si="17"/>
        <v>0.19165839126117176</v>
      </c>
      <c r="I174" s="304">
        <v>24.9</v>
      </c>
      <c r="J174" s="293">
        <v>3.48</v>
      </c>
      <c r="K174" s="304">
        <v>8.3000000000000007</v>
      </c>
      <c r="L174" s="293">
        <v>327.39999999999998</v>
      </c>
      <c r="M174" s="304"/>
      <c r="N174" s="293"/>
      <c r="O174" s="293"/>
      <c r="P174" s="293"/>
      <c r="Q174" s="293"/>
    </row>
    <row r="175" spans="1:17" x14ac:dyDescent="0.25">
      <c r="A175" s="292"/>
      <c r="B175" s="336" t="s">
        <v>7</v>
      </c>
      <c r="C175" s="336" t="s">
        <v>47</v>
      </c>
      <c r="D175" s="513">
        <v>4.5</v>
      </c>
      <c r="E175" s="522">
        <v>16</v>
      </c>
      <c r="F175" s="295">
        <v>20.6</v>
      </c>
      <c r="G175" s="309">
        <f t="shared" si="16"/>
        <v>4.5777777777777784</v>
      </c>
      <c r="H175" s="310">
        <f t="shared" si="17"/>
        <v>0.22330097087378648</v>
      </c>
      <c r="I175" s="304">
        <v>23.6</v>
      </c>
      <c r="J175" s="293">
        <v>3.48</v>
      </c>
      <c r="K175" s="304">
        <v>8.1999999999999993</v>
      </c>
      <c r="L175" s="293">
        <v>287.8</v>
      </c>
      <c r="M175" s="304"/>
      <c r="N175" s="293"/>
      <c r="O175" s="293"/>
      <c r="P175" s="293"/>
      <c r="Q175" s="293"/>
    </row>
    <row r="176" spans="1:17" x14ac:dyDescent="0.25">
      <c r="A176" s="292"/>
      <c r="B176" s="314"/>
      <c r="C176" s="315" t="s">
        <v>114</v>
      </c>
      <c r="D176" s="337">
        <f>SUM(D150:D164)</f>
        <v>20.05</v>
      </c>
      <c r="E176" s="520">
        <f>SUM(E150:E164)</f>
        <v>86.5</v>
      </c>
      <c r="F176" s="304">
        <f>SUM(F150:F164)</f>
        <v>74.789999999999992</v>
      </c>
      <c r="G176" s="309"/>
      <c r="H176" s="310">
        <f t="shared" si="17"/>
        <v>0.15657173418906284</v>
      </c>
      <c r="I176" s="304"/>
      <c r="J176" s="293"/>
      <c r="K176" s="304"/>
      <c r="L176" s="293"/>
      <c r="M176" s="304"/>
      <c r="N176" s="293"/>
      <c r="O176" s="293"/>
      <c r="P176" s="293"/>
      <c r="Q176" s="293"/>
    </row>
    <row r="177" spans="1:17" x14ac:dyDescent="0.25">
      <c r="A177" s="292"/>
      <c r="B177" s="314"/>
      <c r="C177" s="292" t="s">
        <v>118</v>
      </c>
      <c r="D177" s="323">
        <f>SUM(D165:D172)</f>
        <v>18.05</v>
      </c>
      <c r="E177" s="520">
        <f>SUM(E165:E170)</f>
        <v>27</v>
      </c>
      <c r="F177" s="304">
        <f>SUM(F165:F172)</f>
        <v>39.51</v>
      </c>
      <c r="G177" s="309"/>
      <c r="H177" s="310">
        <f t="shared" si="17"/>
        <v>0.31662870159453299</v>
      </c>
      <c r="I177" s="304"/>
      <c r="J177" s="293"/>
      <c r="K177" s="304"/>
      <c r="L177" s="293"/>
      <c r="M177" s="304"/>
      <c r="N177" s="293"/>
      <c r="O177" s="293"/>
      <c r="P177" s="293"/>
      <c r="Q177" s="293"/>
    </row>
    <row r="178" spans="1:17" ht="15.75" thickBot="1" x14ac:dyDescent="0.3">
      <c r="A178" s="292"/>
      <c r="B178" s="293"/>
      <c r="C178" s="328" t="s">
        <v>116</v>
      </c>
      <c r="D178" s="339">
        <f>SUM(D173:D175)</f>
        <v>13.6</v>
      </c>
      <c r="E178" s="520">
        <f>SUM(E173:E175)</f>
        <v>56.8</v>
      </c>
      <c r="F178" s="304">
        <f>SUM(F173:F175)</f>
        <v>46.510000000000005</v>
      </c>
      <c r="G178" s="309"/>
      <c r="H178" s="310">
        <f t="shared" si="17"/>
        <v>0.22124274349602216</v>
      </c>
      <c r="I178" s="304"/>
      <c r="J178" s="293"/>
      <c r="K178" s="304"/>
      <c r="L178" s="293"/>
      <c r="M178" s="304"/>
      <c r="N178" s="293"/>
      <c r="O178" s="293"/>
      <c r="P178" s="293"/>
      <c r="Q178" s="293"/>
    </row>
    <row r="179" spans="1:17" ht="15.75" thickTop="1" x14ac:dyDescent="0.25">
      <c r="A179" s="348"/>
      <c r="B179" s="344"/>
      <c r="C179" s="330" t="s">
        <v>117</v>
      </c>
      <c r="D179" s="340">
        <f>SUM(D176:D178)</f>
        <v>51.7</v>
      </c>
      <c r="E179" s="523">
        <f>SUM(E176:E178)</f>
        <v>170.3</v>
      </c>
      <c r="F179" s="359">
        <f>SUM(F176:F178)</f>
        <v>160.81</v>
      </c>
      <c r="G179" s="506"/>
      <c r="H179" s="507">
        <f t="shared" si="17"/>
        <v>5.9013742926434978E-2</v>
      </c>
      <c r="I179" s="359"/>
      <c r="J179" s="360"/>
      <c r="K179" s="359"/>
      <c r="L179" s="360"/>
      <c r="M179" s="359"/>
      <c r="N179" s="293"/>
      <c r="O179" s="293"/>
      <c r="P179" s="293"/>
      <c r="Q179" s="293"/>
    </row>
    <row r="180" spans="1:17" x14ac:dyDescent="0.25">
      <c r="A180" s="305" t="s">
        <v>34</v>
      </c>
      <c r="B180" s="324"/>
      <c r="C180" s="305"/>
      <c r="D180" s="305"/>
      <c r="E180" s="520"/>
      <c r="F180" s="295"/>
      <c r="G180" s="309"/>
      <c r="H180" s="331"/>
      <c r="I180" s="304"/>
      <c r="J180" s="293"/>
      <c r="K180" s="304"/>
      <c r="L180" s="293"/>
      <c r="M180" s="304"/>
      <c r="N180" s="293"/>
      <c r="O180" s="293"/>
      <c r="P180" s="293"/>
      <c r="Q180" s="293"/>
    </row>
    <row r="181" spans="1:17" x14ac:dyDescent="0.25">
      <c r="A181" s="292"/>
      <c r="B181" s="308" t="s">
        <v>3</v>
      </c>
      <c r="C181" s="308" t="s">
        <v>50</v>
      </c>
      <c r="D181" s="511">
        <v>2.69</v>
      </c>
      <c r="E181" s="524">
        <v>8</v>
      </c>
      <c r="F181" s="295">
        <v>7.65</v>
      </c>
      <c r="G181" s="309">
        <f>F181/D181</f>
        <v>2.8438661710037176</v>
      </c>
      <c r="H181" s="310">
        <f>(ABS(E181-F181))/F181</f>
        <v>4.5751633986928053E-2</v>
      </c>
      <c r="I181" s="304">
        <v>27</v>
      </c>
      <c r="J181" s="293">
        <v>3.63</v>
      </c>
      <c r="K181" s="304">
        <v>6.7</v>
      </c>
      <c r="L181" s="293">
        <v>261.5</v>
      </c>
      <c r="M181" s="304"/>
      <c r="N181" s="293"/>
      <c r="O181" s="293"/>
      <c r="P181" s="293"/>
      <c r="Q181" s="293"/>
    </row>
    <row r="182" spans="1:17" x14ac:dyDescent="0.25">
      <c r="A182" s="292"/>
      <c r="B182" s="308" t="s">
        <v>6</v>
      </c>
      <c r="C182" s="308" t="s">
        <v>38</v>
      </c>
      <c r="D182" s="511">
        <v>1.6</v>
      </c>
      <c r="E182" s="526">
        <v>2</v>
      </c>
      <c r="F182" s="295">
        <v>1.9</v>
      </c>
      <c r="G182" s="309">
        <f>F182/D182</f>
        <v>1.1874999999999998</v>
      </c>
      <c r="H182" s="310">
        <f>(ABS(E182-F182))/F182</f>
        <v>5.2631578947368474E-2</v>
      </c>
      <c r="I182" s="304">
        <v>26.1</v>
      </c>
      <c r="J182" s="293">
        <v>3.29</v>
      </c>
      <c r="K182" s="304">
        <v>7.2</v>
      </c>
      <c r="L182" s="293">
        <v>123.7</v>
      </c>
      <c r="M182" s="304"/>
      <c r="N182" s="293"/>
      <c r="O182" s="293"/>
      <c r="P182" s="293"/>
      <c r="Q182" s="293"/>
    </row>
    <row r="183" spans="1:17" x14ac:dyDescent="0.25">
      <c r="A183" s="292"/>
      <c r="B183" s="336" t="s">
        <v>7</v>
      </c>
      <c r="C183" s="336" t="s">
        <v>121</v>
      </c>
      <c r="D183" s="511">
        <v>2.85</v>
      </c>
      <c r="E183" s="522">
        <v>10</v>
      </c>
      <c r="F183" s="295">
        <v>10.039999999999999</v>
      </c>
      <c r="G183" s="309">
        <f>F183/D183</f>
        <v>3.5228070175438591</v>
      </c>
      <c r="H183" s="310">
        <f>(ABS(E183-F183))/F183</f>
        <v>3.9840637450198361E-3</v>
      </c>
      <c r="I183" s="304">
        <v>24.5</v>
      </c>
      <c r="J183" s="293">
        <v>3.82</v>
      </c>
      <c r="K183" s="304">
        <v>4.7</v>
      </c>
      <c r="L183" s="293">
        <v>158.19999999999999</v>
      </c>
      <c r="M183" s="304"/>
      <c r="N183" s="293"/>
      <c r="O183" s="293"/>
      <c r="P183" s="293"/>
      <c r="Q183" s="293"/>
    </row>
    <row r="184" spans="1:17" x14ac:dyDescent="0.25">
      <c r="A184" s="292"/>
      <c r="B184" s="314"/>
      <c r="C184" s="315" t="s">
        <v>114</v>
      </c>
      <c r="D184" s="333">
        <f>SUM(D181:D182)</f>
        <v>4.29</v>
      </c>
      <c r="E184" s="520">
        <f>SUM(E181:E182)</f>
        <v>10</v>
      </c>
      <c r="F184" s="304">
        <f>SUM(F181:F182)</f>
        <v>9.5500000000000007</v>
      </c>
      <c r="G184" s="309"/>
      <c r="H184" s="310">
        <f>(ABS(E184-F184))/F184</f>
        <v>4.7120418848167464E-2</v>
      </c>
      <c r="I184" s="304"/>
      <c r="J184" s="293"/>
      <c r="K184" s="304"/>
      <c r="L184" s="293"/>
      <c r="M184" s="304"/>
      <c r="N184" s="293"/>
      <c r="O184" s="293"/>
      <c r="P184" s="293"/>
      <c r="Q184" s="293"/>
    </row>
    <row r="185" spans="1:17" x14ac:dyDescent="0.25">
      <c r="A185" s="292"/>
      <c r="B185" s="314"/>
      <c r="C185" s="292" t="s">
        <v>115</v>
      </c>
      <c r="D185" s="334" t="s">
        <v>108</v>
      </c>
      <c r="E185" s="520">
        <v>0</v>
      </c>
      <c r="F185" s="304">
        <v>0</v>
      </c>
      <c r="G185" s="309"/>
      <c r="H185" s="310"/>
      <c r="I185" s="304"/>
      <c r="J185" s="293"/>
      <c r="K185" s="304"/>
      <c r="L185" s="293"/>
      <c r="M185" s="304"/>
      <c r="N185" s="293"/>
      <c r="O185" s="293"/>
      <c r="P185" s="293"/>
      <c r="Q185" s="293"/>
    </row>
    <row r="186" spans="1:17" ht="15.75" thickBot="1" x14ac:dyDescent="0.3">
      <c r="A186" s="292"/>
      <c r="B186" s="293"/>
      <c r="C186" s="328" t="s">
        <v>116</v>
      </c>
      <c r="D186" s="335">
        <v>8.5500000000000007</v>
      </c>
      <c r="E186" s="520">
        <f>E183</f>
        <v>10</v>
      </c>
      <c r="F186" s="304">
        <f>F183</f>
        <v>10.039999999999999</v>
      </c>
      <c r="G186" s="309"/>
      <c r="H186" s="310">
        <f>(ABS(E186-F186))/F186</f>
        <v>3.9840637450198361E-3</v>
      </c>
      <c r="I186" s="304"/>
      <c r="J186" s="293"/>
      <c r="K186" s="304"/>
      <c r="L186" s="293"/>
      <c r="M186" s="304"/>
      <c r="N186" s="293"/>
      <c r="O186" s="293"/>
      <c r="P186" s="293"/>
      <c r="Q186" s="293"/>
    </row>
    <row r="187" spans="1:17" ht="15.75" thickTop="1" x14ac:dyDescent="0.25">
      <c r="A187" s="292"/>
      <c r="B187" s="293"/>
      <c r="C187" s="330" t="s">
        <v>9</v>
      </c>
      <c r="D187" s="334">
        <f>SUM(D184,D186)</f>
        <v>12.84</v>
      </c>
      <c r="E187" s="535">
        <f>SUM(E184:E186)</f>
        <v>20</v>
      </c>
      <c r="F187" s="304">
        <f>SUM(F184:F186)</f>
        <v>19.59</v>
      </c>
      <c r="G187" s="309"/>
      <c r="H187" s="310">
        <f>(ABS(E187-F187))/F187</f>
        <v>2.0929045431342528E-2</v>
      </c>
      <c r="I187" s="304"/>
      <c r="J187" s="293"/>
      <c r="K187" s="304"/>
      <c r="L187" s="293"/>
      <c r="M187" s="304"/>
      <c r="N187" s="293"/>
      <c r="O187" s="293"/>
      <c r="P187" s="293"/>
      <c r="Q187" s="293"/>
    </row>
    <row r="188" spans="1:17" x14ac:dyDescent="0.25">
      <c r="G188" s="273"/>
      <c r="H188" s="384"/>
      <c r="I188" s="260"/>
      <c r="J188" s="239"/>
      <c r="K188" s="260"/>
      <c r="L188" s="239"/>
      <c r="M188" s="260"/>
    </row>
    <row r="189" spans="1:17" s="69" customFormat="1" ht="15.75" customHeight="1" x14ac:dyDescent="0.25">
      <c r="A189" s="20"/>
      <c r="B189" s="15"/>
      <c r="C189" s="365" t="s">
        <v>123</v>
      </c>
      <c r="D189" s="366"/>
      <c r="E189" s="531">
        <f>SUM(E26:E27,E35:E36,E43:E44,E58:E59,E69:E70,E63,E95:E96,E100,E117,E126:E127,E145,E176:E177,E184)</f>
        <v>790.35</v>
      </c>
      <c r="F189" s="367">
        <f>SUM(F26:F27,F35:F36,F43:F44,F58:F59,F69:F70,F63,F95:F96,F100,F108,F117,F126:F127,F145,F176:F177,F184)</f>
        <v>904.0899999999998</v>
      </c>
      <c r="G189" s="309"/>
      <c r="H189" s="310">
        <f>(ABS(E189-F189))/F189</f>
        <v>0.12580605913128096</v>
      </c>
      <c r="I189" s="116"/>
      <c r="K189" s="116"/>
      <c r="M189" s="116"/>
    </row>
    <row r="190" spans="1:17" s="69" customFormat="1" ht="15.75" customHeight="1" x14ac:dyDescent="0.25">
      <c r="A190" s="22"/>
      <c r="C190" s="368" t="s">
        <v>122</v>
      </c>
      <c r="D190" s="369"/>
      <c r="E190" s="532">
        <f>SUM(E28,E37,E60,E71,E81,E102,E104,E119,E135,E147,E178,E186,E110)</f>
        <v>482.3</v>
      </c>
      <c r="F190" s="371">
        <f>SUM(F28,F37,F60,F71,F81,F102,F104,F119,F135,F147,F178,F186,F106,F110)</f>
        <v>476.53</v>
      </c>
      <c r="G190" s="309"/>
      <c r="H190" s="310">
        <f>(ABS(E190-F190))/F190</f>
        <v>1.210836673451837E-2</v>
      </c>
      <c r="I190" s="116"/>
      <c r="K190" s="116"/>
      <c r="M190" s="116"/>
    </row>
    <row r="191" spans="1:17" s="69" customFormat="1" ht="15.75" customHeight="1" thickBot="1" x14ac:dyDescent="0.3">
      <c r="A191" s="23"/>
      <c r="B191" s="10"/>
      <c r="C191" s="372" t="s">
        <v>97</v>
      </c>
      <c r="D191" s="373"/>
      <c r="E191" s="533">
        <f>SUM(E189:E190)</f>
        <v>1272.6500000000001</v>
      </c>
      <c r="F191" s="374">
        <f>SUM(F189:F190)</f>
        <v>1380.62</v>
      </c>
      <c r="G191" s="334"/>
      <c r="H191" s="310">
        <f>(ABS(E191-F191))/F191</f>
        <v>7.8203995306456386E-2</v>
      </c>
      <c r="I191" s="116"/>
      <c r="K191" s="116"/>
      <c r="M191" s="116"/>
    </row>
    <row r="192" spans="1:17" ht="15.75" thickTop="1" x14ac:dyDescent="0.25">
      <c r="C192" s="293"/>
      <c r="D192" s="293"/>
      <c r="E192" s="520"/>
      <c r="F192" s="295"/>
      <c r="G192" s="375"/>
      <c r="H192" s="331"/>
    </row>
    <row r="193" spans="3:8" x14ac:dyDescent="0.25">
      <c r="C193" s="293"/>
      <c r="D193" s="292" t="s">
        <v>163</v>
      </c>
      <c r="E193" s="534">
        <f>SUM(E187,E179,E148,E136,E129,E120,E110)</f>
        <v>429.15000000000003</v>
      </c>
      <c r="F193" s="376"/>
      <c r="G193" s="377"/>
      <c r="H193" s="310"/>
    </row>
    <row r="194" spans="3:8" x14ac:dyDescent="0.25">
      <c r="C194" s="293"/>
      <c r="D194" s="292" t="s">
        <v>162</v>
      </c>
      <c r="E194" s="535">
        <f>SUM(E29,E38,E46,E61,E63,E72,E83,E98,E100,E102,E104,E106)</f>
        <v>843.5</v>
      </c>
      <c r="F194" s="378"/>
      <c r="G194" s="379"/>
      <c r="H194" s="310"/>
    </row>
  </sheetData>
  <mergeCells count="1">
    <mergeCell ref="B2:C2"/>
  </mergeCells>
  <conditionalFormatting sqref="H4:H194">
    <cfRule type="containsText" dxfId="12" priority="6" operator="containsText" text="BLANK">
      <formula>NOT(ISERROR(SEARCH("BLANK",H4)))</formula>
    </cfRule>
    <cfRule type="cellIs" dxfId="11" priority="7" operator="equal">
      <formula>0.1</formula>
    </cfRule>
    <cfRule type="cellIs" dxfId="10" priority="11" operator="between">
      <formula>0.11</formula>
      <formula>0.39</formula>
    </cfRule>
    <cfRule type="cellIs" dxfId="9" priority="12" operator="lessThan">
      <formula>0.1</formula>
    </cfRule>
    <cfRule type="cellIs" dxfId="8" priority="13" operator="greaterThan">
      <formula>0.4</formula>
    </cfRule>
  </conditionalFormatting>
  <conditionalFormatting sqref="H3:H194">
    <cfRule type="cellIs" dxfId="7" priority="10" operator="greaterThan">
      <formula>0.4</formula>
    </cfRule>
  </conditionalFormatting>
  <conditionalFormatting sqref="H3:H194">
    <cfRule type="cellIs" dxfId="6" priority="9" operator="equal">
      <formula>0.4</formula>
    </cfRule>
  </conditionalFormatting>
  <conditionalFormatting sqref="H3">
    <cfRule type="containsText" dxfId="5" priority="8" operator="containsText" text="blank">
      <formula>NOT(ISERROR(SEARCH("blank",H3)))</formula>
    </cfRule>
  </conditionalFormatting>
  <conditionalFormatting sqref="H25">
    <cfRule type="cellIs" dxfId="4" priority="1" operator="between">
      <formula>0.11</formula>
      <formula>0.01</formula>
    </cfRule>
    <cfRule type="cellIs" dxfId="3" priority="2" operator="equal">
      <formula>0.11</formula>
    </cfRule>
    <cfRule type="cellIs" dxfId="2" priority="3" operator="equal">
      <formula>0.11</formula>
    </cfRule>
    <cfRule type="cellIs" dxfId="1" priority="4" operator="equal">
      <formula>0.11</formula>
    </cfRule>
    <cfRule type="cellIs" dxfId="0" priority="5" operator="between">
      <formula>0.11</formula>
      <formula>0.39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14-15-16T-Report</vt:lpstr>
      <vt:lpstr>T per Acre</vt:lpstr>
      <vt:lpstr>2016 Harvest</vt:lpstr>
      <vt:lpstr>Print-Brix,pH,TA,Y,GDD</vt:lpstr>
      <vt:lpstr>'2016 Harvest'!Print_Area</vt:lpstr>
      <vt:lpstr>'T per Acre'!Print_Area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Kailee Frasch</cp:lastModifiedBy>
  <cp:lastPrinted>2016-11-18T22:40:14Z</cp:lastPrinted>
  <dcterms:created xsi:type="dcterms:W3CDTF">2012-10-29T21:39:35Z</dcterms:created>
  <dcterms:modified xsi:type="dcterms:W3CDTF">2019-05-21T18:41:24Z</dcterms:modified>
</cp:coreProperties>
</file>