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frasch\Desktop\"/>
    </mc:Choice>
  </mc:AlternateContent>
  <xr:revisionPtr revIDLastSave="0" documentId="8_{2F012D33-CA5B-43FC-ADE5-6DFAE5A76DB9}" xr6:coauthVersionLast="43" xr6:coauthVersionMax="43" xr10:uidLastSave="{00000000-0000-0000-0000-000000000000}"/>
  <bookViews>
    <workbookView xWindow="-120" yWindow="-120" windowWidth="29040" windowHeight="15840" tabRatio="528" firstSheet="3" activeTab="5" xr2:uid="{00000000-000D-0000-FFFF-FFFF00000000}"/>
  </bookViews>
  <sheets>
    <sheet name="13-14-15 Tons" sheetId="4" r:id="rId1"/>
    <sheet name="2014 T per Acre" sheetId="3" r:id="rId2"/>
    <sheet name="2016 Harvest" sheetId="5" r:id="rId3"/>
    <sheet name="Printable Format" sheetId="6" r:id="rId4"/>
    <sheet name="2017 estimate" sheetId="7" r:id="rId5"/>
    <sheet name="2017 Actual" sheetId="8" r:id="rId6"/>
    <sheet name="Growers_2017" sheetId="9" r:id="rId7"/>
    <sheet name="2018_ACTUAL_All" sheetId="11" r:id="rId8"/>
    <sheet name="2018_QG" sheetId="14" r:id="rId9"/>
    <sheet name="2018_Growers" sheetId="13" r:id="rId10"/>
  </sheets>
  <definedNames>
    <definedName name="_xlnm.Print_Area" localSheetId="2">'2016 Harvest'!$A$1:$V$202</definedName>
    <definedName name="_xlnm.Print_Area" localSheetId="5">'2017 Actual'!$A$2:$L$131</definedName>
    <definedName name="_xlnm.Print_Area" localSheetId="4">'2017 estimate'!$A$1:$W$198</definedName>
    <definedName name="Z_F76F088D_E257_4637_81FB_2D037F8BCE3A_.wvu.Cols" localSheetId="0" hidden="1">'13-14-15 Tons'!$E:$H</definedName>
  </definedNames>
  <calcPr calcId="181029"/>
  <customWorkbookViews>
    <customWorkbookView name="2015 Estimate" guid="{F76F088D-E257-4637-81FB-2D037F8BCE3A}" maximized="1" windowWidth="1600" windowHeight="627" tabRatio="528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0" i="14" l="1"/>
  <c r="K64" i="14"/>
  <c r="K45" i="14"/>
  <c r="K41" i="14"/>
  <c r="M41" i="14" s="1"/>
  <c r="K27" i="14"/>
  <c r="K22" i="14"/>
  <c r="M22" i="14" s="1"/>
  <c r="K102" i="14"/>
  <c r="M102" i="14" s="1"/>
  <c r="J102" i="14"/>
  <c r="I102" i="14"/>
  <c r="F102" i="14"/>
  <c r="G102" i="14" s="1"/>
  <c r="E102" i="14"/>
  <c r="M101" i="14"/>
  <c r="L101" i="14"/>
  <c r="G101" i="14"/>
  <c r="M100" i="14"/>
  <c r="L100" i="14"/>
  <c r="G100" i="14"/>
  <c r="J98" i="14"/>
  <c r="I98" i="14"/>
  <c r="F98" i="14"/>
  <c r="G98" i="14" s="1"/>
  <c r="E98" i="14"/>
  <c r="M97" i="14"/>
  <c r="L97" i="14"/>
  <c r="G97" i="14"/>
  <c r="M96" i="14"/>
  <c r="L96" i="14"/>
  <c r="G96" i="14"/>
  <c r="K95" i="14"/>
  <c r="L95" i="14" s="1"/>
  <c r="G95" i="14"/>
  <c r="M94" i="14"/>
  <c r="L94" i="14"/>
  <c r="G94" i="14"/>
  <c r="M93" i="14"/>
  <c r="L93" i="14"/>
  <c r="G93" i="14"/>
  <c r="M92" i="14"/>
  <c r="L92" i="14"/>
  <c r="G92" i="14"/>
  <c r="M91" i="14"/>
  <c r="L91" i="14"/>
  <c r="G91" i="14"/>
  <c r="K90" i="14"/>
  <c r="M90" i="14" s="1"/>
  <c r="G90" i="14"/>
  <c r="K89" i="14"/>
  <c r="M89" i="14" s="1"/>
  <c r="G89" i="14"/>
  <c r="M88" i="14"/>
  <c r="L88" i="14"/>
  <c r="G88" i="14"/>
  <c r="M87" i="14"/>
  <c r="L87" i="14"/>
  <c r="G87" i="14"/>
  <c r="M86" i="14"/>
  <c r="L86" i="14"/>
  <c r="G86" i="14"/>
  <c r="M85" i="14"/>
  <c r="L85" i="14"/>
  <c r="G85" i="14"/>
  <c r="M84" i="14"/>
  <c r="L84" i="14"/>
  <c r="G84" i="14"/>
  <c r="M83" i="14"/>
  <c r="L83" i="14"/>
  <c r="G83" i="14"/>
  <c r="M82" i="14"/>
  <c r="L82" i="14"/>
  <c r="G82" i="14"/>
  <c r="M81" i="14"/>
  <c r="L81" i="14"/>
  <c r="G81" i="14"/>
  <c r="K80" i="14"/>
  <c r="M80" i="14" s="1"/>
  <c r="G80" i="14"/>
  <c r="M79" i="14"/>
  <c r="L79" i="14"/>
  <c r="G79" i="14"/>
  <c r="M78" i="14"/>
  <c r="L78" i="14"/>
  <c r="G78" i="14"/>
  <c r="J76" i="14"/>
  <c r="I76" i="14"/>
  <c r="F76" i="14"/>
  <c r="G76" i="14" s="1"/>
  <c r="E76" i="14"/>
  <c r="K75" i="14"/>
  <c r="L75" i="14" s="1"/>
  <c r="G75" i="14"/>
  <c r="K74" i="14"/>
  <c r="G74" i="14"/>
  <c r="M73" i="14"/>
  <c r="L73" i="14"/>
  <c r="G73" i="14"/>
  <c r="M72" i="14"/>
  <c r="L72" i="14"/>
  <c r="G72" i="14"/>
  <c r="J70" i="14"/>
  <c r="F70" i="14"/>
  <c r="G70" i="14" s="1"/>
  <c r="E70" i="14"/>
  <c r="K69" i="14"/>
  <c r="L69" i="14" s="1"/>
  <c r="G69" i="14"/>
  <c r="I68" i="14"/>
  <c r="I70" i="14" s="1"/>
  <c r="G68" i="14"/>
  <c r="M67" i="14"/>
  <c r="L67" i="14"/>
  <c r="G67" i="14"/>
  <c r="M66" i="14"/>
  <c r="L66" i="14"/>
  <c r="G66" i="14"/>
  <c r="M64" i="14"/>
  <c r="J64" i="14"/>
  <c r="I64" i="14"/>
  <c r="F64" i="14"/>
  <c r="G64" i="14" s="1"/>
  <c r="E64" i="14"/>
  <c r="M63" i="14"/>
  <c r="L63" i="14"/>
  <c r="G63" i="14"/>
  <c r="M62" i="14"/>
  <c r="L62" i="14"/>
  <c r="G62" i="14"/>
  <c r="M61" i="14"/>
  <c r="L61" i="14"/>
  <c r="G61" i="14"/>
  <c r="M60" i="14"/>
  <c r="O60" i="14" s="1"/>
  <c r="L60" i="14"/>
  <c r="G60" i="14"/>
  <c r="K58" i="14"/>
  <c r="M58" i="14" s="1"/>
  <c r="I58" i="14"/>
  <c r="G58" i="14"/>
  <c r="M56" i="14"/>
  <c r="I56" i="14"/>
  <c r="L56" i="14" s="1"/>
  <c r="G56" i="14"/>
  <c r="M55" i="14"/>
  <c r="J54" i="14"/>
  <c r="F54" i="14"/>
  <c r="G54" i="14" s="1"/>
  <c r="E54" i="14"/>
  <c r="G53" i="14"/>
  <c r="K52" i="14"/>
  <c r="M52" i="14" s="1"/>
  <c r="I52" i="14"/>
  <c r="G52" i="14"/>
  <c r="M51" i="14"/>
  <c r="L51" i="14"/>
  <c r="G51" i="14"/>
  <c r="K50" i="14"/>
  <c r="M50" i="14" s="1"/>
  <c r="G50" i="14"/>
  <c r="M49" i="14"/>
  <c r="L49" i="14"/>
  <c r="G49" i="14"/>
  <c r="K48" i="14"/>
  <c r="M48" i="14" s="1"/>
  <c r="I48" i="14"/>
  <c r="G48" i="14"/>
  <c r="M47" i="14"/>
  <c r="L47" i="14"/>
  <c r="G47" i="14"/>
  <c r="J45" i="14"/>
  <c r="I45" i="14"/>
  <c r="F45" i="14"/>
  <c r="G45" i="14" s="1"/>
  <c r="E45" i="14"/>
  <c r="M44" i="14"/>
  <c r="L44" i="14"/>
  <c r="G44" i="14"/>
  <c r="M43" i="14"/>
  <c r="L43" i="14"/>
  <c r="G43" i="14"/>
  <c r="J41" i="14"/>
  <c r="F41" i="14"/>
  <c r="G41" i="14" s="1"/>
  <c r="E41" i="14"/>
  <c r="M40" i="14"/>
  <c r="L40" i="14"/>
  <c r="G40" i="14"/>
  <c r="M39" i="14"/>
  <c r="L39" i="14"/>
  <c r="G39" i="14"/>
  <c r="M38" i="14"/>
  <c r="L38" i="14"/>
  <c r="G38" i="14"/>
  <c r="J36" i="14"/>
  <c r="I36" i="14"/>
  <c r="F36" i="14"/>
  <c r="G36" i="14" s="1"/>
  <c r="E36" i="14"/>
  <c r="K35" i="14"/>
  <c r="L35" i="14" s="1"/>
  <c r="G35" i="14"/>
  <c r="M34" i="14"/>
  <c r="L34" i="14"/>
  <c r="G34" i="14"/>
  <c r="J33" i="14"/>
  <c r="F33" i="14"/>
  <c r="G33" i="14" s="1"/>
  <c r="E33" i="14"/>
  <c r="K32" i="14"/>
  <c r="G32" i="14"/>
  <c r="M31" i="14"/>
  <c r="L31" i="14"/>
  <c r="G31" i="14"/>
  <c r="M30" i="14"/>
  <c r="L30" i="14"/>
  <c r="G30" i="14"/>
  <c r="K29" i="14"/>
  <c r="G29" i="14"/>
  <c r="M27" i="14"/>
  <c r="I27" i="14"/>
  <c r="F27" i="14"/>
  <c r="G27" i="14" s="1"/>
  <c r="E27" i="14"/>
  <c r="M26" i="14"/>
  <c r="L26" i="14"/>
  <c r="G26" i="14"/>
  <c r="M25" i="14"/>
  <c r="L25" i="14"/>
  <c r="G25" i="14"/>
  <c r="M24" i="14"/>
  <c r="L24" i="14"/>
  <c r="G24" i="14"/>
  <c r="J22" i="14"/>
  <c r="F22" i="14"/>
  <c r="G22" i="14" s="1"/>
  <c r="E22" i="14"/>
  <c r="M21" i="14"/>
  <c r="L21" i="14"/>
  <c r="G21" i="14"/>
  <c r="M20" i="14"/>
  <c r="L20" i="14"/>
  <c r="G20" i="14"/>
  <c r="M19" i="14"/>
  <c r="I19" i="14"/>
  <c r="I22" i="14" s="1"/>
  <c r="G19" i="14"/>
  <c r="M18" i="14"/>
  <c r="L18" i="14"/>
  <c r="G18" i="14"/>
  <c r="F16" i="14"/>
  <c r="E16" i="14"/>
  <c r="M15" i="14"/>
  <c r="L15" i="14"/>
  <c r="K14" i="14"/>
  <c r="G14" i="14"/>
  <c r="M13" i="14"/>
  <c r="L13" i="14"/>
  <c r="G13" i="14"/>
  <c r="K12" i="14"/>
  <c r="M12" i="14" s="1"/>
  <c r="G12" i="14"/>
  <c r="K10" i="14"/>
  <c r="M10" i="14" s="1"/>
  <c r="I10" i="14"/>
  <c r="G10" i="14"/>
  <c r="K9" i="14"/>
  <c r="M9" i="14" s="1"/>
  <c r="I9" i="14"/>
  <c r="G9" i="14"/>
  <c r="K8" i="14"/>
  <c r="M8" i="14" s="1"/>
  <c r="I8" i="14"/>
  <c r="G8" i="14"/>
  <c r="M7" i="14"/>
  <c r="L7" i="14"/>
  <c r="G7" i="14"/>
  <c r="M6" i="14"/>
  <c r="L6" i="14"/>
  <c r="G6" i="14"/>
  <c r="K5" i="14"/>
  <c r="G5" i="14"/>
  <c r="M4" i="14"/>
  <c r="L4" i="14"/>
  <c r="G4" i="14"/>
  <c r="H40" i="13"/>
  <c r="H33" i="13"/>
  <c r="H23" i="13"/>
  <c r="H7" i="13"/>
  <c r="G4" i="11"/>
  <c r="G5" i="11"/>
  <c r="G6" i="11"/>
  <c r="G7" i="11"/>
  <c r="G8" i="11"/>
  <c r="G9" i="11"/>
  <c r="G10" i="11"/>
  <c r="G12" i="11"/>
  <c r="G13" i="11"/>
  <c r="G14" i="11"/>
  <c r="G16" i="11"/>
  <c r="G17" i="11"/>
  <c r="G18" i="11"/>
  <c r="F19" i="11"/>
  <c r="G21" i="11"/>
  <c r="G22" i="11"/>
  <c r="G23" i="11"/>
  <c r="G24" i="11"/>
  <c r="F25" i="11"/>
  <c r="G25" i="11" s="1"/>
  <c r="G27" i="11"/>
  <c r="G28" i="11"/>
  <c r="G29" i="11"/>
  <c r="F30" i="11"/>
  <c r="G30" i="11" s="1"/>
  <c r="G32" i="11"/>
  <c r="G33" i="11"/>
  <c r="G34" i="11"/>
  <c r="G35" i="11"/>
  <c r="G36" i="11"/>
  <c r="G37" i="11"/>
  <c r="G38" i="11"/>
  <c r="G39" i="11"/>
  <c r="F40" i="11"/>
  <c r="G40" i="11" s="1"/>
  <c r="G41" i="11"/>
  <c r="G42" i="11"/>
  <c r="F43" i="11"/>
  <c r="G43" i="11" s="1"/>
  <c r="G45" i="11"/>
  <c r="G46" i="11"/>
  <c r="G47" i="11"/>
  <c r="G48" i="11"/>
  <c r="F49" i="11"/>
  <c r="G49" i="11" s="1"/>
  <c r="G51" i="11"/>
  <c r="G52" i="11"/>
  <c r="G54" i="11"/>
  <c r="G55" i="11"/>
  <c r="G56" i="11"/>
  <c r="G57" i="11"/>
  <c r="G58" i="11"/>
  <c r="F59" i="11"/>
  <c r="G59" i="11"/>
  <c r="G61" i="11"/>
  <c r="G62" i="11"/>
  <c r="G63" i="11"/>
  <c r="G64" i="11"/>
  <c r="G65" i="11"/>
  <c r="G66" i="11"/>
  <c r="G67" i="11"/>
  <c r="F68" i="11"/>
  <c r="G68" i="11" s="1"/>
  <c r="G70" i="11"/>
  <c r="G72" i="11"/>
  <c r="G73" i="11"/>
  <c r="F74" i="11"/>
  <c r="G74" i="11" s="1"/>
  <c r="G76" i="11"/>
  <c r="G78" i="11"/>
  <c r="G80" i="11"/>
  <c r="G81" i="11"/>
  <c r="G82" i="11"/>
  <c r="G83" i="11"/>
  <c r="G84" i="11"/>
  <c r="F85" i="11"/>
  <c r="G85" i="11" s="1"/>
  <c r="G87" i="11"/>
  <c r="G88" i="11"/>
  <c r="G89" i="11"/>
  <c r="G90" i="11"/>
  <c r="F91" i="11"/>
  <c r="G91" i="11"/>
  <c r="G93" i="11"/>
  <c r="G94" i="11"/>
  <c r="F95" i="11"/>
  <c r="G95" i="11"/>
  <c r="G97" i="11"/>
  <c r="G98" i="11"/>
  <c r="G99" i="11"/>
  <c r="G100" i="11"/>
  <c r="G101" i="11"/>
  <c r="F102" i="11"/>
  <c r="G102" i="11" s="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F127" i="11"/>
  <c r="G127" i="11"/>
  <c r="G129" i="11"/>
  <c r="G130" i="11"/>
  <c r="G131" i="11"/>
  <c r="F132" i="11"/>
  <c r="G132" i="11" s="1"/>
  <c r="G4" i="13"/>
  <c r="G5" i="13"/>
  <c r="G6" i="13"/>
  <c r="F7" i="13"/>
  <c r="G9" i="13"/>
  <c r="G10" i="13"/>
  <c r="G11" i="13"/>
  <c r="G12" i="13"/>
  <c r="F13" i="13"/>
  <c r="G13" i="13" s="1"/>
  <c r="G15" i="13"/>
  <c r="G18" i="13"/>
  <c r="G19" i="13"/>
  <c r="G20" i="13"/>
  <c r="G21" i="13"/>
  <c r="G22" i="13"/>
  <c r="F23" i="13"/>
  <c r="G23" i="13" s="1"/>
  <c r="G25" i="13"/>
  <c r="G27" i="13"/>
  <c r="G29" i="13"/>
  <c r="G31" i="13"/>
  <c r="G32" i="13"/>
  <c r="F33" i="13"/>
  <c r="G33" i="13" s="1"/>
  <c r="G35" i="13"/>
  <c r="G37" i="13"/>
  <c r="G38" i="13"/>
  <c r="G39" i="13"/>
  <c r="F40" i="13"/>
  <c r="G40" i="13" s="1"/>
  <c r="J7" i="13"/>
  <c r="I40" i="13"/>
  <c r="E40" i="13"/>
  <c r="L39" i="13"/>
  <c r="K39" i="13"/>
  <c r="L38" i="13"/>
  <c r="K38" i="13"/>
  <c r="L37" i="13"/>
  <c r="K37" i="13"/>
  <c r="L35" i="13"/>
  <c r="K35" i="13"/>
  <c r="I33" i="13"/>
  <c r="E33" i="13"/>
  <c r="L32" i="13"/>
  <c r="K32" i="13"/>
  <c r="J31" i="13"/>
  <c r="L31" i="13" s="1"/>
  <c r="L29" i="13"/>
  <c r="K29" i="13"/>
  <c r="L27" i="13"/>
  <c r="K27" i="13"/>
  <c r="L25" i="13"/>
  <c r="K25" i="13"/>
  <c r="J23" i="13"/>
  <c r="L23" i="13" s="1"/>
  <c r="I23" i="13"/>
  <c r="E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5" i="13"/>
  <c r="H15" i="13"/>
  <c r="K15" i="13" s="1"/>
  <c r="I13" i="13"/>
  <c r="I42" i="13" s="1"/>
  <c r="I43" i="13" s="1"/>
  <c r="E13" i="13"/>
  <c r="L12" i="13"/>
  <c r="K12" i="13"/>
  <c r="L11" i="13"/>
  <c r="H11" i="13"/>
  <c r="K11" i="13" s="1"/>
  <c r="L10" i="13"/>
  <c r="K10" i="13"/>
  <c r="E7" i="13"/>
  <c r="L5" i="13"/>
  <c r="K5" i="13"/>
  <c r="L4" i="13"/>
  <c r="K4" i="13"/>
  <c r="K99" i="11"/>
  <c r="K35" i="11"/>
  <c r="K121" i="11"/>
  <c r="K64" i="11"/>
  <c r="K66" i="11"/>
  <c r="K62" i="11"/>
  <c r="K76" i="11"/>
  <c r="K90" i="11"/>
  <c r="K106" i="11"/>
  <c r="K8" i="11"/>
  <c r="K9" i="11"/>
  <c r="K116" i="11"/>
  <c r="K5" i="11"/>
  <c r="K32" i="11"/>
  <c r="K100" i="11"/>
  <c r="K115" i="11"/>
  <c r="K10" i="11"/>
  <c r="G19" i="11" l="1"/>
  <c r="K11" i="11"/>
  <c r="K33" i="14"/>
  <c r="M33" i="14" s="1"/>
  <c r="K54" i="14"/>
  <c r="K36" i="14"/>
  <c r="I54" i="14"/>
  <c r="O19" i="14"/>
  <c r="O51" i="14"/>
  <c r="O90" i="14"/>
  <c r="M95" i="14"/>
  <c r="O95" i="14" s="1"/>
  <c r="L45" i="14"/>
  <c r="L19" i="14"/>
  <c r="I41" i="14"/>
  <c r="K76" i="14"/>
  <c r="M75" i="14"/>
  <c r="M74" i="14"/>
  <c r="L41" i="14"/>
  <c r="M45" i="14"/>
  <c r="O63" i="14"/>
  <c r="F105" i="14"/>
  <c r="F106" i="14" s="1"/>
  <c r="L27" i="14"/>
  <c r="M29" i="14"/>
  <c r="M35" i="14"/>
  <c r="M54" i="14"/>
  <c r="L52" i="14"/>
  <c r="O67" i="14"/>
  <c r="M69" i="14"/>
  <c r="L74" i="14"/>
  <c r="I33" i="14"/>
  <c r="G16" i="14"/>
  <c r="M5" i="14"/>
  <c r="O5" i="14" s="1"/>
  <c r="L5" i="14"/>
  <c r="M14" i="14"/>
  <c r="L14" i="14"/>
  <c r="I11" i="14"/>
  <c r="I16" i="14" s="1"/>
  <c r="I105" i="14" s="1"/>
  <c r="K11" i="14"/>
  <c r="K16" i="14" s="1"/>
  <c r="K105" i="14" s="1"/>
  <c r="M32" i="14"/>
  <c r="L32" i="14"/>
  <c r="L22" i="14"/>
  <c r="L12" i="14"/>
  <c r="L50" i="14"/>
  <c r="L58" i="14"/>
  <c r="L64" i="14"/>
  <c r="L80" i="14"/>
  <c r="L89" i="14"/>
  <c r="L90" i="14"/>
  <c r="K98" i="14"/>
  <c r="L102" i="14"/>
  <c r="L29" i="14"/>
  <c r="L48" i="14"/>
  <c r="H13" i="13"/>
  <c r="H42" i="13" s="1"/>
  <c r="H43" i="13" s="1"/>
  <c r="G7" i="13"/>
  <c r="F135" i="11"/>
  <c r="F136" i="11" s="1"/>
  <c r="J40" i="13"/>
  <c r="K40" i="13" s="1"/>
  <c r="J33" i="13"/>
  <c r="L33" i="13" s="1"/>
  <c r="J13" i="13"/>
  <c r="J42" i="13" s="1"/>
  <c r="K23" i="13"/>
  <c r="K31" i="13"/>
  <c r="K93" i="11"/>
  <c r="K42" i="13" l="1"/>
  <c r="L43" i="13"/>
  <c r="J43" i="13"/>
  <c r="K43" i="13" s="1"/>
  <c r="L104" i="14"/>
  <c r="L33" i="14"/>
  <c r="I106" i="14"/>
  <c r="O75" i="14"/>
  <c r="L54" i="14"/>
  <c r="M76" i="14"/>
  <c r="L76" i="14"/>
  <c r="L98" i="14"/>
  <c r="M98" i="14"/>
  <c r="M11" i="14"/>
  <c r="O11" i="14" s="1"/>
  <c r="L11" i="14"/>
  <c r="L70" i="14"/>
  <c r="M70" i="14"/>
  <c r="L36" i="14"/>
  <c r="M36" i="14"/>
  <c r="L40" i="13"/>
  <c r="K33" i="13"/>
  <c r="K13" i="13"/>
  <c r="L13" i="13"/>
  <c r="L7" i="13"/>
  <c r="K7" i="13"/>
  <c r="I66" i="11"/>
  <c r="M16" i="14" l="1"/>
  <c r="M106" i="14" s="1"/>
  <c r="L16" i="14"/>
  <c r="M78" i="11"/>
  <c r="M84" i="11"/>
  <c r="K106" i="14" l="1"/>
  <c r="L106" i="14" s="1"/>
  <c r="L105" i="14"/>
  <c r="V144" i="5"/>
  <c r="V151" i="5"/>
  <c r="W5" i="5"/>
  <c r="W16" i="5"/>
  <c r="M80" i="11"/>
  <c r="O80" i="11" s="1"/>
  <c r="L80" i="11"/>
  <c r="W116" i="5"/>
  <c r="W171" i="5"/>
  <c r="M22" i="11"/>
  <c r="M23" i="11"/>
  <c r="M24" i="11"/>
  <c r="M27" i="11"/>
  <c r="M28" i="11"/>
  <c r="M29" i="11"/>
  <c r="M32" i="11"/>
  <c r="M33" i="11"/>
  <c r="M34" i="11"/>
  <c r="M35" i="11"/>
  <c r="M37" i="11"/>
  <c r="M38" i="11"/>
  <c r="M39" i="11"/>
  <c r="M41" i="11"/>
  <c r="M45" i="11"/>
  <c r="M46" i="11"/>
  <c r="M47" i="11"/>
  <c r="M48" i="11"/>
  <c r="M51" i="11"/>
  <c r="M52" i="11"/>
  <c r="M53" i="11"/>
  <c r="M54" i="11"/>
  <c r="M55" i="11"/>
  <c r="M56" i="11"/>
  <c r="M57" i="11"/>
  <c r="M58" i="11"/>
  <c r="M61" i="11"/>
  <c r="M62" i="11"/>
  <c r="M63" i="11"/>
  <c r="M64" i="11"/>
  <c r="M65" i="11"/>
  <c r="M66" i="11"/>
  <c r="M69" i="11"/>
  <c r="M70" i="11"/>
  <c r="M72" i="11"/>
  <c r="M76" i="11"/>
  <c r="M81" i="11"/>
  <c r="M82" i="11"/>
  <c r="M83" i="11"/>
  <c r="M87" i="11"/>
  <c r="M88" i="11"/>
  <c r="M90" i="11"/>
  <c r="M93" i="11"/>
  <c r="M94" i="11"/>
  <c r="M97" i="11"/>
  <c r="M98" i="11"/>
  <c r="M99" i="11"/>
  <c r="M100" i="11"/>
  <c r="M101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9" i="11"/>
  <c r="M130" i="11"/>
  <c r="M5" i="11"/>
  <c r="M6" i="11"/>
  <c r="M7" i="11"/>
  <c r="M8" i="11"/>
  <c r="M9" i="11"/>
  <c r="M10" i="11"/>
  <c r="M13" i="11"/>
  <c r="M15" i="11"/>
  <c r="M16" i="11"/>
  <c r="M17" i="11"/>
  <c r="M21" i="11"/>
  <c r="M4" i="11"/>
  <c r="L84" i="11"/>
  <c r="L82" i="11"/>
  <c r="L83" i="11"/>
  <c r="L81" i="11"/>
  <c r="O83" i="11" l="1"/>
  <c r="O88" i="11"/>
  <c r="O121" i="11"/>
  <c r="O100" i="11"/>
  <c r="O65" i="11"/>
  <c r="O5" i="11"/>
  <c r="O22" i="11"/>
  <c r="O116" i="11"/>
  <c r="L63" i="11"/>
  <c r="L64" i="11"/>
  <c r="L65" i="11"/>
  <c r="L66" i="11"/>
  <c r="L61" i="11"/>
  <c r="L41" i="11"/>
  <c r="K42" i="11"/>
  <c r="M42" i="11" s="1"/>
  <c r="L98" i="11"/>
  <c r="L99" i="11"/>
  <c r="L42" i="11" l="1"/>
  <c r="L55" i="11"/>
  <c r="L27" i="11"/>
  <c r="L16" i="11"/>
  <c r="L17" i="11"/>
  <c r="L94" i="11"/>
  <c r="L97" i="11"/>
  <c r="L100" i="11"/>
  <c r="L124" i="11"/>
  <c r="L125" i="11"/>
  <c r="L126" i="11"/>
  <c r="L115" i="11"/>
  <c r="L116" i="11"/>
  <c r="L117" i="11"/>
  <c r="L118" i="11"/>
  <c r="L119" i="11"/>
  <c r="L109" i="11"/>
  <c r="L54" i="11"/>
  <c r="I76" i="11"/>
  <c r="K12" i="11"/>
  <c r="M12" i="11" l="1"/>
  <c r="L12" i="11"/>
  <c r="L56" i="11"/>
  <c r="L34" i="11"/>
  <c r="L35" i="11"/>
  <c r="L37" i="11"/>
  <c r="L14" i="11"/>
  <c r="L15" i="11"/>
  <c r="L114" i="11"/>
  <c r="K14" i="11"/>
  <c r="M14" i="11" s="1"/>
  <c r="K19" i="11" l="1"/>
  <c r="L21" i="11"/>
  <c r="L24" i="11" l="1"/>
  <c r="L23" i="11"/>
  <c r="K132" i="11" l="1"/>
  <c r="M132" i="11" s="1"/>
  <c r="K127" i="11"/>
  <c r="K102" i="11"/>
  <c r="K95" i="11"/>
  <c r="K91" i="11"/>
  <c r="K85" i="11"/>
  <c r="K68" i="11"/>
  <c r="M68" i="11" s="1"/>
  <c r="K59" i="11"/>
  <c r="K49" i="11"/>
  <c r="M49" i="11" s="1"/>
  <c r="K43" i="11"/>
  <c r="K40" i="11"/>
  <c r="K30" i="11"/>
  <c r="K25" i="11"/>
  <c r="I127" i="11"/>
  <c r="L78" i="11"/>
  <c r="L76" i="11"/>
  <c r="J132" i="11"/>
  <c r="J127" i="11"/>
  <c r="J102" i="11"/>
  <c r="J95" i="11"/>
  <c r="J91" i="11"/>
  <c r="J85" i="11"/>
  <c r="J74" i="11"/>
  <c r="K74" i="11"/>
  <c r="M74" i="11" s="1"/>
  <c r="J68" i="11"/>
  <c r="J59" i="11"/>
  <c r="J49" i="11"/>
  <c r="J43" i="11"/>
  <c r="J40" i="11"/>
  <c r="J25" i="11"/>
  <c r="L5" i="11"/>
  <c r="L122" i="11"/>
  <c r="L123" i="11"/>
  <c r="L129" i="11"/>
  <c r="L130" i="11"/>
  <c r="L107" i="11"/>
  <c r="L108" i="11"/>
  <c r="L110" i="11"/>
  <c r="L111" i="11"/>
  <c r="L112" i="11"/>
  <c r="L113" i="11"/>
  <c r="L101" i="11"/>
  <c r="L57" i="11"/>
  <c r="L28" i="11"/>
  <c r="L29" i="11"/>
  <c r="L32" i="11"/>
  <c r="L33" i="11"/>
  <c r="L39" i="11"/>
  <c r="M43" i="11" l="1"/>
  <c r="M40" i="11"/>
  <c r="M102" i="11"/>
  <c r="M91" i="11"/>
  <c r="M25" i="11"/>
  <c r="M30" i="11"/>
  <c r="L127" i="11"/>
  <c r="M127" i="11"/>
  <c r="M59" i="11"/>
  <c r="M95" i="11"/>
  <c r="M85" i="11"/>
  <c r="L45" i="11" l="1"/>
  <c r="L46" i="11"/>
  <c r="L47" i="11"/>
  <c r="L13" i="11"/>
  <c r="L51" i="11"/>
  <c r="L4" i="11"/>
  <c r="L7" i="11"/>
  <c r="M11" i="11" l="1"/>
  <c r="O11" i="11" s="1"/>
  <c r="L6" i="11"/>
  <c r="L52" i="11"/>
  <c r="L53" i="11"/>
  <c r="L58" i="11"/>
  <c r="L72" i="11"/>
  <c r="L87" i="11"/>
  <c r="L88" i="11"/>
  <c r="L90" i="11"/>
  <c r="L93" i="11"/>
  <c r="L104" i="11"/>
  <c r="L105" i="11"/>
  <c r="L106" i="11"/>
  <c r="L120" i="11"/>
  <c r="L121" i="11"/>
  <c r="M19" i="11" l="1"/>
  <c r="M136" i="11" s="1"/>
  <c r="K135" i="11"/>
  <c r="K136" i="11" s="1"/>
  <c r="I62" i="11" l="1"/>
  <c r="L62" i="11" s="1"/>
  <c r="I10" i="11" l="1"/>
  <c r="I9" i="11"/>
  <c r="I8" i="11"/>
  <c r="I11" i="11" l="1"/>
  <c r="L11" i="11" s="1"/>
  <c r="I95" i="11"/>
  <c r="L95" i="11" s="1"/>
  <c r="I74" i="11"/>
  <c r="L74" i="11" s="1"/>
  <c r="I22" i="11"/>
  <c r="L22" i="11" s="1"/>
  <c r="I38" i="11"/>
  <c r="L38" i="11" s="1"/>
  <c r="I43" i="11"/>
  <c r="L43" i="11" s="1"/>
  <c r="I48" i="11"/>
  <c r="L48" i="11" s="1"/>
  <c r="I70" i="11"/>
  <c r="L70" i="11" s="1"/>
  <c r="I89" i="11"/>
  <c r="I91" i="11" s="1"/>
  <c r="L91" i="11" s="1"/>
  <c r="I102" i="11"/>
  <c r="L102" i="11" s="1"/>
  <c r="I132" i="11"/>
  <c r="L132" i="11" s="1"/>
  <c r="E132" i="11"/>
  <c r="E127" i="11"/>
  <c r="E102" i="11"/>
  <c r="E95" i="11"/>
  <c r="E91" i="11"/>
  <c r="E85" i="11"/>
  <c r="E74" i="11"/>
  <c r="E68" i="11"/>
  <c r="E59" i="11"/>
  <c r="E49" i="11"/>
  <c r="E43" i="11"/>
  <c r="E40" i="11"/>
  <c r="E30" i="11"/>
  <c r="E25" i="11"/>
  <c r="E19" i="11"/>
  <c r="L134" i="11" l="1"/>
  <c r="I19" i="11"/>
  <c r="L19" i="11" s="1"/>
  <c r="I49" i="11"/>
  <c r="L49" i="11" s="1"/>
  <c r="I25" i="11"/>
  <c r="L25" i="11" s="1"/>
  <c r="I59" i="11"/>
  <c r="L59" i="11" s="1"/>
  <c r="I30" i="11"/>
  <c r="L30" i="11" s="1"/>
  <c r="I85" i="11"/>
  <c r="L85" i="11" s="1"/>
  <c r="I68" i="11"/>
  <c r="I40" i="11"/>
  <c r="L40" i="11" s="1"/>
  <c r="I31" i="8"/>
  <c r="I32" i="8"/>
  <c r="I33" i="8"/>
  <c r="I34" i="8"/>
  <c r="I35" i="8"/>
  <c r="I36" i="8"/>
  <c r="I37" i="8"/>
  <c r="I39" i="8"/>
  <c r="I40" i="8"/>
  <c r="I43" i="8"/>
  <c r="I44" i="8"/>
  <c r="I45" i="8"/>
  <c r="I46" i="8"/>
  <c r="I49" i="8"/>
  <c r="I50" i="8"/>
  <c r="I51" i="8"/>
  <c r="I52" i="8"/>
  <c r="I53" i="8"/>
  <c r="I54" i="8"/>
  <c r="I55" i="8"/>
  <c r="I58" i="8"/>
  <c r="I59" i="8"/>
  <c r="I60" i="8"/>
  <c r="I61" i="8"/>
  <c r="I62" i="8"/>
  <c r="I63" i="8"/>
  <c r="I64" i="8"/>
  <c r="I67" i="8"/>
  <c r="I69" i="8"/>
  <c r="I70" i="8"/>
  <c r="I73" i="8"/>
  <c r="I75" i="8"/>
  <c r="I77" i="8"/>
  <c r="I78" i="8"/>
  <c r="I79" i="8"/>
  <c r="I80" i="8"/>
  <c r="I81" i="8"/>
  <c r="I82" i="8"/>
  <c r="I85" i="8"/>
  <c r="I86" i="8"/>
  <c r="I87" i="8"/>
  <c r="I88" i="8"/>
  <c r="I91" i="8"/>
  <c r="I92" i="8"/>
  <c r="I95" i="8"/>
  <c r="I96" i="8"/>
  <c r="I97" i="8"/>
  <c r="I98" i="8"/>
  <c r="I99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7" i="8"/>
  <c r="I128" i="8"/>
  <c r="I129" i="8"/>
  <c r="I22" i="8"/>
  <c r="I25" i="8"/>
  <c r="I26" i="8"/>
  <c r="I27" i="8"/>
  <c r="I30" i="8"/>
  <c r="I20" i="8"/>
  <c r="I21" i="8"/>
  <c r="I19" i="8"/>
  <c r="I135" i="11" l="1"/>
  <c r="L135" i="11" s="1"/>
  <c r="L68" i="11"/>
  <c r="F46" i="9"/>
  <c r="G46" i="9" s="1"/>
  <c r="E46" i="9"/>
  <c r="G45" i="9"/>
  <c r="F43" i="9"/>
  <c r="G43" i="9" s="1"/>
  <c r="E43" i="9"/>
  <c r="G42" i="9"/>
  <c r="G41" i="9"/>
  <c r="G40" i="9"/>
  <c r="F38" i="9"/>
  <c r="G38" i="9" s="1"/>
  <c r="E38" i="9"/>
  <c r="G37" i="9"/>
  <c r="F35" i="9"/>
  <c r="G35" i="9" s="1"/>
  <c r="E35" i="9"/>
  <c r="G34" i="9"/>
  <c r="G33" i="9"/>
  <c r="F31" i="9"/>
  <c r="G31" i="9" s="1"/>
  <c r="E31" i="9"/>
  <c r="G30" i="9"/>
  <c r="G28" i="9"/>
  <c r="F26" i="9"/>
  <c r="G26" i="9" s="1"/>
  <c r="E26" i="9"/>
  <c r="G25" i="9"/>
  <c r="G24" i="9"/>
  <c r="F22" i="9"/>
  <c r="G22" i="9" s="1"/>
  <c r="E22" i="9"/>
  <c r="G21" i="9"/>
  <c r="G20" i="9"/>
  <c r="G18" i="9"/>
  <c r="G17" i="9"/>
  <c r="F15" i="9"/>
  <c r="G15" i="9" s="1"/>
  <c r="E15" i="9"/>
  <c r="G14" i="9"/>
  <c r="F12" i="9"/>
  <c r="G12" i="9" s="1"/>
  <c r="E12" i="9"/>
  <c r="G10" i="9"/>
  <c r="G9" i="9"/>
  <c r="G8" i="9"/>
  <c r="F6" i="9"/>
  <c r="E6" i="9"/>
  <c r="G5" i="9"/>
  <c r="G4" i="9"/>
  <c r="G3" i="9"/>
  <c r="I136" i="11" l="1"/>
  <c r="L136" i="11" s="1"/>
  <c r="G6" i="9"/>
  <c r="G49" i="9" s="1"/>
  <c r="N28" i="7" l="1"/>
  <c r="F17" i="8"/>
  <c r="G17" i="8"/>
  <c r="H17" i="8"/>
  <c r="H130" i="8" l="1"/>
  <c r="H125" i="8"/>
  <c r="I125" i="8" s="1"/>
  <c r="H93" i="8"/>
  <c r="I93" i="8" s="1"/>
  <c r="H100" i="8"/>
  <c r="I100" i="8" s="1"/>
  <c r="H89" i="8"/>
  <c r="I89" i="8" s="1"/>
  <c r="H83" i="8"/>
  <c r="I83" i="8" s="1"/>
  <c r="H71" i="8"/>
  <c r="I71" i="8" s="1"/>
  <c r="H65" i="8"/>
  <c r="I65" i="8" s="1"/>
  <c r="H56" i="8"/>
  <c r="I56" i="8" s="1"/>
  <c r="H47" i="8"/>
  <c r="I47" i="8" s="1"/>
  <c r="H41" i="8"/>
  <c r="I41" i="8" s="1"/>
  <c r="H38" i="8"/>
  <c r="I38" i="8" s="1"/>
  <c r="H28" i="8"/>
  <c r="I28" i="8" s="1"/>
  <c r="H23" i="8"/>
  <c r="I23" i="8" s="1"/>
  <c r="I4" i="8"/>
  <c r="I5" i="8"/>
  <c r="I6" i="8"/>
  <c r="I7" i="8"/>
  <c r="I8" i="8"/>
  <c r="I9" i="8"/>
  <c r="I10" i="8"/>
  <c r="I11" i="8"/>
  <c r="I12" i="8"/>
  <c r="I13" i="8"/>
  <c r="I130" i="8" l="1"/>
  <c r="H134" i="8"/>
  <c r="I16" i="8"/>
  <c r="I15" i="8"/>
  <c r="I14" i="8"/>
  <c r="I17" i="8" l="1"/>
  <c r="I134" i="8"/>
  <c r="E130" i="8"/>
  <c r="E125" i="8"/>
  <c r="E100" i="8"/>
  <c r="E93" i="8"/>
  <c r="E89" i="8"/>
  <c r="E83" i="8"/>
  <c r="E71" i="8"/>
  <c r="E65" i="8"/>
  <c r="E56" i="8"/>
  <c r="E47" i="8"/>
  <c r="E41" i="8"/>
  <c r="E38" i="8"/>
  <c r="E28" i="8"/>
  <c r="E23" i="8"/>
  <c r="E17" i="8"/>
  <c r="E134" i="8" l="1"/>
  <c r="G131" i="8"/>
  <c r="G125" i="8"/>
  <c r="G100" i="8"/>
  <c r="G93" i="8"/>
  <c r="G83" i="8"/>
  <c r="G71" i="8"/>
  <c r="G67" i="8"/>
  <c r="G65" i="8"/>
  <c r="G56" i="8"/>
  <c r="G47" i="8"/>
  <c r="G41" i="8"/>
  <c r="G38" i="8"/>
  <c r="G28" i="8"/>
  <c r="G23" i="8"/>
  <c r="O9" i="8" l="1"/>
  <c r="G89" i="8" l="1"/>
  <c r="O46" i="8" l="1"/>
  <c r="O5" i="8" l="1"/>
  <c r="O6" i="8"/>
  <c r="O7" i="8"/>
  <c r="O8" i="8"/>
  <c r="O11" i="8"/>
  <c r="O12" i="8"/>
  <c r="O13" i="8"/>
  <c r="O14" i="8"/>
  <c r="O15" i="8"/>
  <c r="O16" i="8"/>
  <c r="O19" i="8"/>
  <c r="O20" i="8"/>
  <c r="O21" i="8"/>
  <c r="O22" i="8"/>
  <c r="O25" i="8"/>
  <c r="O26" i="8"/>
  <c r="O27" i="8"/>
  <c r="O30" i="8"/>
  <c r="O31" i="8"/>
  <c r="O32" i="8"/>
  <c r="O33" i="8"/>
  <c r="O34" i="8"/>
  <c r="O35" i="8"/>
  <c r="O36" i="8"/>
  <c r="O37" i="8"/>
  <c r="O40" i="8"/>
  <c r="O43" i="8"/>
  <c r="O44" i="8"/>
  <c r="O45" i="8"/>
  <c r="O49" i="8"/>
  <c r="O50" i="8"/>
  <c r="O51" i="8"/>
  <c r="O52" i="8"/>
  <c r="O53" i="8"/>
  <c r="O54" i="8"/>
  <c r="O55" i="8"/>
  <c r="O58" i="8"/>
  <c r="O59" i="8"/>
  <c r="O60" i="8"/>
  <c r="O61" i="8"/>
  <c r="O62" i="8"/>
  <c r="O63" i="8"/>
  <c r="O67" i="8"/>
  <c r="O69" i="8"/>
  <c r="O70" i="8"/>
  <c r="O73" i="8"/>
  <c r="O75" i="8"/>
  <c r="O77" i="8"/>
  <c r="O78" i="8"/>
  <c r="O79" i="8"/>
  <c r="O80" i="8"/>
  <c r="O81" i="8"/>
  <c r="O82" i="8"/>
  <c r="O85" i="8"/>
  <c r="O86" i="8"/>
  <c r="O87" i="8"/>
  <c r="O88" i="8"/>
  <c r="O91" i="8"/>
  <c r="O92" i="8"/>
  <c r="O95" i="8"/>
  <c r="O96" i="8"/>
  <c r="O97" i="8"/>
  <c r="O98" i="8"/>
  <c r="O99" i="8"/>
  <c r="O102" i="8"/>
  <c r="O103" i="8"/>
  <c r="O104" i="8"/>
  <c r="O105" i="8"/>
  <c r="O106" i="8"/>
  <c r="O107" i="8"/>
  <c r="O108" i="8"/>
  <c r="O111" i="8"/>
  <c r="O112" i="8"/>
  <c r="O113" i="8"/>
  <c r="O115" i="8"/>
  <c r="O116" i="8"/>
  <c r="O117" i="8"/>
  <c r="O118" i="8"/>
  <c r="O120" i="8"/>
  <c r="O121" i="8"/>
  <c r="O122" i="8"/>
  <c r="O123" i="8"/>
  <c r="O124" i="8"/>
  <c r="O127" i="8"/>
  <c r="O128" i="8"/>
  <c r="O129" i="8"/>
  <c r="O4" i="8"/>
  <c r="F38" i="8" l="1"/>
  <c r="O38" i="8" s="1"/>
  <c r="F41" i="8"/>
  <c r="O41" i="8" s="1"/>
  <c r="F71" i="8"/>
  <c r="O71" i="8" s="1"/>
  <c r="F131" i="8"/>
  <c r="O131" i="8" s="1"/>
  <c r="F125" i="8"/>
  <c r="O125" i="8" s="1"/>
  <c r="F100" i="8"/>
  <c r="O100" i="8" s="1"/>
  <c r="F93" i="8"/>
  <c r="O93" i="8" s="1"/>
  <c r="F89" i="8"/>
  <c r="O89" i="8" s="1"/>
  <c r="F83" i="8"/>
  <c r="O83" i="8" s="1"/>
  <c r="F65" i="8"/>
  <c r="O65" i="8" s="1"/>
  <c r="F56" i="8"/>
  <c r="O56" i="8" s="1"/>
  <c r="F47" i="8"/>
  <c r="O47" i="8" s="1"/>
  <c r="F28" i="8"/>
  <c r="O28" i="8" s="1"/>
  <c r="F23" i="8"/>
  <c r="O23" i="8" s="1"/>
  <c r="O17" i="8"/>
  <c r="F134" i="8" l="1"/>
  <c r="O134" i="8" s="1"/>
  <c r="W195" i="7"/>
  <c r="W186" i="7"/>
  <c r="W150" i="7"/>
  <c r="W137" i="7"/>
  <c r="W130" i="7"/>
  <c r="W121" i="7"/>
  <c r="W99" i="7"/>
  <c r="W84" i="7"/>
  <c r="W74" i="7"/>
  <c r="W62" i="7"/>
  <c r="W47" i="7"/>
  <c r="W39" i="7"/>
  <c r="W28" i="7"/>
  <c r="N198" i="7"/>
  <c r="V195" i="7"/>
  <c r="M195" i="7"/>
  <c r="I193" i="7"/>
  <c r="H193" i="7"/>
  <c r="G193" i="7"/>
  <c r="G192" i="7"/>
  <c r="I191" i="7"/>
  <c r="I194" i="7" s="1"/>
  <c r="H191" i="7"/>
  <c r="H194" i="7" s="1"/>
  <c r="F191" i="7"/>
  <c r="F194" i="7" s="1"/>
  <c r="G194" i="7" s="1"/>
  <c r="E191" i="7"/>
  <c r="D191" i="7"/>
  <c r="D194" i="7" s="1"/>
  <c r="L190" i="7"/>
  <c r="K190" i="7"/>
  <c r="J190" i="7"/>
  <c r="G190" i="7"/>
  <c r="L189" i="7"/>
  <c r="K189" i="7"/>
  <c r="J189" i="7"/>
  <c r="G189" i="7"/>
  <c r="L188" i="7"/>
  <c r="K188" i="7"/>
  <c r="J188" i="7"/>
  <c r="G188" i="7"/>
  <c r="V186" i="7"/>
  <c r="M186" i="7"/>
  <c r="I185" i="7"/>
  <c r="H185" i="7"/>
  <c r="F185" i="7"/>
  <c r="E185" i="7"/>
  <c r="D185" i="7"/>
  <c r="I184" i="7"/>
  <c r="H184" i="7"/>
  <c r="F184" i="7"/>
  <c r="E184" i="7"/>
  <c r="D184" i="7"/>
  <c r="I183" i="7"/>
  <c r="H183" i="7"/>
  <c r="F183" i="7"/>
  <c r="E183" i="7"/>
  <c r="G183" i="7" s="1"/>
  <c r="D183" i="7"/>
  <c r="L182" i="7"/>
  <c r="K182" i="7"/>
  <c r="J182" i="7"/>
  <c r="G182" i="7"/>
  <c r="L181" i="7"/>
  <c r="K181" i="7"/>
  <c r="J181" i="7"/>
  <c r="G181" i="7"/>
  <c r="L180" i="7"/>
  <c r="K180" i="7"/>
  <c r="J180" i="7"/>
  <c r="G180" i="7"/>
  <c r="L176" i="7"/>
  <c r="K176" i="7"/>
  <c r="J176" i="7"/>
  <c r="G176" i="7"/>
  <c r="L175" i="7"/>
  <c r="K175" i="7"/>
  <c r="J175" i="7"/>
  <c r="G175" i="7"/>
  <c r="L174" i="7"/>
  <c r="K174" i="7"/>
  <c r="J174" i="7"/>
  <c r="G174" i="7"/>
  <c r="L173" i="7"/>
  <c r="K173" i="7"/>
  <c r="J173" i="7"/>
  <c r="G173" i="7"/>
  <c r="L172" i="7"/>
  <c r="K172" i="7"/>
  <c r="J172" i="7"/>
  <c r="G172" i="7"/>
  <c r="L171" i="7"/>
  <c r="K171" i="7"/>
  <c r="J171" i="7"/>
  <c r="G171" i="7"/>
  <c r="L168" i="7"/>
  <c r="K168" i="7"/>
  <c r="J168" i="7"/>
  <c r="G168" i="7"/>
  <c r="L165" i="7"/>
  <c r="K165" i="7"/>
  <c r="J165" i="7"/>
  <c r="G165" i="7"/>
  <c r="L164" i="7"/>
  <c r="K164" i="7"/>
  <c r="J164" i="7"/>
  <c r="G164" i="7"/>
  <c r="L163" i="7"/>
  <c r="K163" i="7"/>
  <c r="J163" i="7"/>
  <c r="G163" i="7"/>
  <c r="L162" i="7"/>
  <c r="K162" i="7"/>
  <c r="J162" i="7"/>
  <c r="G162" i="7"/>
  <c r="L161" i="7"/>
  <c r="K161" i="7"/>
  <c r="J161" i="7"/>
  <c r="G161" i="7"/>
  <c r="L160" i="7"/>
  <c r="K160" i="7"/>
  <c r="J160" i="7"/>
  <c r="G160" i="7"/>
  <c r="L159" i="7"/>
  <c r="K159" i="7"/>
  <c r="J159" i="7"/>
  <c r="G159" i="7"/>
  <c r="L158" i="7"/>
  <c r="K158" i="7"/>
  <c r="J158" i="7"/>
  <c r="G158" i="7"/>
  <c r="L157" i="7"/>
  <c r="K157" i="7"/>
  <c r="J157" i="7"/>
  <c r="G157" i="7"/>
  <c r="L156" i="7"/>
  <c r="K156" i="7"/>
  <c r="J156" i="7"/>
  <c r="G156" i="7"/>
  <c r="L155" i="7"/>
  <c r="K155" i="7"/>
  <c r="J155" i="7"/>
  <c r="G155" i="7"/>
  <c r="L154" i="7"/>
  <c r="K154" i="7"/>
  <c r="J154" i="7"/>
  <c r="G154" i="7"/>
  <c r="L153" i="7"/>
  <c r="K153" i="7"/>
  <c r="J153" i="7"/>
  <c r="G153" i="7"/>
  <c r="L152" i="7"/>
  <c r="K152" i="7"/>
  <c r="J152" i="7"/>
  <c r="G152" i="7"/>
  <c r="V150" i="7"/>
  <c r="M150" i="7"/>
  <c r="I149" i="7"/>
  <c r="H149" i="7"/>
  <c r="K149" i="7" s="1"/>
  <c r="G149" i="7"/>
  <c r="G148" i="7"/>
  <c r="I147" i="7"/>
  <c r="I150" i="7" s="1"/>
  <c r="H147" i="7"/>
  <c r="F147" i="7"/>
  <c r="F150" i="7" s="1"/>
  <c r="G150" i="7" s="1"/>
  <c r="E147" i="7"/>
  <c r="D147" i="7"/>
  <c r="D150" i="7" s="1"/>
  <c r="L146" i="7"/>
  <c r="K146" i="7"/>
  <c r="J146" i="7"/>
  <c r="G146" i="7"/>
  <c r="L144" i="7"/>
  <c r="K144" i="7"/>
  <c r="J144" i="7"/>
  <c r="G144" i="7"/>
  <c r="L143" i="7"/>
  <c r="K143" i="7"/>
  <c r="J143" i="7"/>
  <c r="G143" i="7"/>
  <c r="L142" i="7"/>
  <c r="K142" i="7"/>
  <c r="J142" i="7"/>
  <c r="G142" i="7"/>
  <c r="L141" i="7"/>
  <c r="K141" i="7"/>
  <c r="J141" i="7"/>
  <c r="G141" i="7"/>
  <c r="L140" i="7"/>
  <c r="K140" i="7"/>
  <c r="J140" i="7"/>
  <c r="G140" i="7"/>
  <c r="L139" i="7"/>
  <c r="K139" i="7"/>
  <c r="J139" i="7"/>
  <c r="G139" i="7"/>
  <c r="V137" i="7"/>
  <c r="M137" i="7"/>
  <c r="G137" i="7"/>
  <c r="I136" i="7"/>
  <c r="I137" i="7" s="1"/>
  <c r="H136" i="7"/>
  <c r="H137" i="7" s="1"/>
  <c r="F136" i="7"/>
  <c r="G136" i="7" s="1"/>
  <c r="D136" i="7"/>
  <c r="K135" i="7"/>
  <c r="G135" i="7"/>
  <c r="K134" i="7"/>
  <c r="G134" i="7"/>
  <c r="L133" i="7"/>
  <c r="K133" i="7"/>
  <c r="J133" i="7"/>
  <c r="G133" i="7"/>
  <c r="L132" i="7"/>
  <c r="K132" i="7"/>
  <c r="J132" i="7"/>
  <c r="G132" i="7"/>
  <c r="V130" i="7"/>
  <c r="M130" i="7"/>
  <c r="G129" i="7"/>
  <c r="I128" i="7"/>
  <c r="H128" i="7"/>
  <c r="G128" i="7"/>
  <c r="I127" i="7"/>
  <c r="K127" i="7" s="1"/>
  <c r="H127" i="7"/>
  <c r="F127" i="7"/>
  <c r="E127" i="7"/>
  <c r="E130" i="7" s="1"/>
  <c r="D127" i="7"/>
  <c r="D130" i="7" s="1"/>
  <c r="L126" i="7"/>
  <c r="K126" i="7"/>
  <c r="J126" i="7"/>
  <c r="G126" i="7"/>
  <c r="L125" i="7"/>
  <c r="K125" i="7"/>
  <c r="J125" i="7"/>
  <c r="G125" i="7"/>
  <c r="L124" i="7"/>
  <c r="K124" i="7"/>
  <c r="J124" i="7"/>
  <c r="G124" i="7"/>
  <c r="L123" i="7"/>
  <c r="K123" i="7"/>
  <c r="J123" i="7"/>
  <c r="G123" i="7"/>
  <c r="V121" i="7"/>
  <c r="M121" i="7"/>
  <c r="I120" i="7"/>
  <c r="H120" i="7"/>
  <c r="G120" i="7"/>
  <c r="G119" i="7"/>
  <c r="I118" i="7"/>
  <c r="H118" i="7"/>
  <c r="H121" i="7" s="1"/>
  <c r="F118" i="7"/>
  <c r="F121" i="7" s="1"/>
  <c r="G121" i="7" s="1"/>
  <c r="E118" i="7"/>
  <c r="D118" i="7"/>
  <c r="D121" i="7" s="1"/>
  <c r="L117" i="7"/>
  <c r="K117" i="7"/>
  <c r="J117" i="7"/>
  <c r="G117" i="7"/>
  <c r="L116" i="7"/>
  <c r="K116" i="7"/>
  <c r="J116" i="7"/>
  <c r="G116" i="7"/>
  <c r="L115" i="7"/>
  <c r="K115" i="7"/>
  <c r="J115" i="7"/>
  <c r="G115" i="7"/>
  <c r="L114" i="7"/>
  <c r="K114" i="7"/>
  <c r="J114" i="7"/>
  <c r="G114" i="7"/>
  <c r="L113" i="7"/>
  <c r="K113" i="7"/>
  <c r="J113" i="7"/>
  <c r="G113" i="7"/>
  <c r="L111" i="7"/>
  <c r="K111" i="7"/>
  <c r="J111" i="7"/>
  <c r="L110" i="7"/>
  <c r="K110" i="7"/>
  <c r="L107" i="7"/>
  <c r="K107" i="7"/>
  <c r="J107" i="7"/>
  <c r="L106" i="7"/>
  <c r="K106" i="7"/>
  <c r="L105" i="7"/>
  <c r="K105" i="7"/>
  <c r="J105" i="7"/>
  <c r="G105" i="7"/>
  <c r="L103" i="7"/>
  <c r="K103" i="7"/>
  <c r="J103" i="7"/>
  <c r="G103" i="7"/>
  <c r="L101" i="7"/>
  <c r="K101" i="7"/>
  <c r="J101" i="7"/>
  <c r="G101" i="7"/>
  <c r="V99" i="7"/>
  <c r="M99" i="7"/>
  <c r="I97" i="7"/>
  <c r="I99" i="7" s="1"/>
  <c r="H97" i="7"/>
  <c r="F97" i="7"/>
  <c r="F99" i="7" s="1"/>
  <c r="E97" i="7"/>
  <c r="G97" i="7" s="1"/>
  <c r="D97" i="7"/>
  <c r="D99" i="7" s="1"/>
  <c r="I96" i="7"/>
  <c r="H96" i="7"/>
  <c r="G96" i="7"/>
  <c r="G95" i="7"/>
  <c r="L94" i="7"/>
  <c r="K94" i="7"/>
  <c r="J94" i="7"/>
  <c r="G94" i="7"/>
  <c r="L93" i="7"/>
  <c r="J93" i="7"/>
  <c r="L92" i="7"/>
  <c r="K92" i="7"/>
  <c r="G92" i="7"/>
  <c r="L91" i="7"/>
  <c r="K91" i="7"/>
  <c r="G91" i="7"/>
  <c r="L90" i="7"/>
  <c r="K90" i="7"/>
  <c r="G90" i="7"/>
  <c r="L89" i="7"/>
  <c r="K89" i="7"/>
  <c r="G89" i="7"/>
  <c r="L88" i="7"/>
  <c r="K88" i="7"/>
  <c r="G88" i="7"/>
  <c r="L87" i="7"/>
  <c r="K87" i="7"/>
  <c r="G87" i="7"/>
  <c r="L86" i="7"/>
  <c r="K86" i="7"/>
  <c r="J86" i="7"/>
  <c r="G86" i="7"/>
  <c r="V84" i="7"/>
  <c r="M84" i="7"/>
  <c r="G84" i="7"/>
  <c r="I83" i="7"/>
  <c r="I84" i="7" s="1"/>
  <c r="H83" i="7"/>
  <c r="H84" i="7" s="1"/>
  <c r="F83" i="7"/>
  <c r="E83" i="7"/>
  <c r="D83" i="7"/>
  <c r="L82" i="7"/>
  <c r="K82" i="7"/>
  <c r="J82" i="7"/>
  <c r="G82" i="7"/>
  <c r="L81" i="7"/>
  <c r="K81" i="7"/>
  <c r="J81" i="7"/>
  <c r="G81" i="7"/>
  <c r="L80" i="7"/>
  <c r="K80" i="7"/>
  <c r="J80" i="7"/>
  <c r="G80" i="7"/>
  <c r="L79" i="7"/>
  <c r="K79" i="7"/>
  <c r="J79" i="7"/>
  <c r="G79" i="7"/>
  <c r="L78" i="7"/>
  <c r="K78" i="7"/>
  <c r="J78" i="7"/>
  <c r="G78" i="7"/>
  <c r="V74" i="7"/>
  <c r="M74" i="7"/>
  <c r="F74" i="7"/>
  <c r="E74" i="7"/>
  <c r="D74" i="7"/>
  <c r="I73" i="7"/>
  <c r="H73" i="7"/>
  <c r="G73" i="7"/>
  <c r="I72" i="7"/>
  <c r="H72" i="7"/>
  <c r="L72" i="7" s="1"/>
  <c r="G72" i="7"/>
  <c r="I71" i="7"/>
  <c r="H71" i="7"/>
  <c r="H74" i="7" s="1"/>
  <c r="G71" i="7"/>
  <c r="L70" i="7"/>
  <c r="K70" i="7"/>
  <c r="J70" i="7"/>
  <c r="G70" i="7"/>
  <c r="L68" i="7"/>
  <c r="K68" i="7"/>
  <c r="J68" i="7"/>
  <c r="G68" i="7"/>
  <c r="L67" i="7"/>
  <c r="K67" i="7"/>
  <c r="J67" i="7"/>
  <c r="G67" i="7"/>
  <c r="V65" i="7"/>
  <c r="L65" i="7"/>
  <c r="K65" i="7"/>
  <c r="J65" i="7"/>
  <c r="G65" i="7"/>
  <c r="V62" i="7"/>
  <c r="M62" i="7"/>
  <c r="I61" i="7"/>
  <c r="H61" i="7"/>
  <c r="K61" i="7" s="1"/>
  <c r="G61" i="7"/>
  <c r="F61" i="7"/>
  <c r="D61" i="7"/>
  <c r="I60" i="7"/>
  <c r="H60" i="7"/>
  <c r="L60" i="7" s="1"/>
  <c r="F60" i="7"/>
  <c r="E60" i="7"/>
  <c r="D60" i="7"/>
  <c r="I59" i="7"/>
  <c r="H59" i="7"/>
  <c r="F59" i="7"/>
  <c r="E59" i="7"/>
  <c r="E62" i="7" s="1"/>
  <c r="D59" i="7"/>
  <c r="L58" i="7"/>
  <c r="K58" i="7"/>
  <c r="J58" i="7"/>
  <c r="G58" i="7"/>
  <c r="L57" i="7"/>
  <c r="J57" i="7"/>
  <c r="G57" i="7"/>
  <c r="L56" i="7"/>
  <c r="K56" i="7"/>
  <c r="J56" i="7"/>
  <c r="G56" i="7"/>
  <c r="L55" i="7"/>
  <c r="K55" i="7"/>
  <c r="J55" i="7"/>
  <c r="G55" i="7"/>
  <c r="L54" i="7"/>
  <c r="K54" i="7"/>
  <c r="J54" i="7"/>
  <c r="G54" i="7"/>
  <c r="J53" i="7"/>
  <c r="G53" i="7"/>
  <c r="L52" i="7"/>
  <c r="K52" i="7"/>
  <c r="J52" i="7"/>
  <c r="G52" i="7"/>
  <c r="L51" i="7"/>
  <c r="K51" i="7"/>
  <c r="J51" i="7"/>
  <c r="G51" i="7"/>
  <c r="L50" i="7"/>
  <c r="K50" i="7"/>
  <c r="J50" i="7"/>
  <c r="G50" i="7"/>
  <c r="L49" i="7"/>
  <c r="K49" i="7"/>
  <c r="J49" i="7"/>
  <c r="G49" i="7"/>
  <c r="V47" i="7"/>
  <c r="M47" i="7"/>
  <c r="I47" i="7"/>
  <c r="G46" i="7"/>
  <c r="I45" i="7"/>
  <c r="H45" i="7"/>
  <c r="K45" i="7" s="1"/>
  <c r="G45" i="7"/>
  <c r="I44" i="7"/>
  <c r="H44" i="7"/>
  <c r="F44" i="7"/>
  <c r="F47" i="7" s="1"/>
  <c r="E44" i="7"/>
  <c r="E47" i="7" s="1"/>
  <c r="D44" i="7"/>
  <c r="D47" i="7" s="1"/>
  <c r="L43" i="7"/>
  <c r="K43" i="7"/>
  <c r="J43" i="7"/>
  <c r="G43" i="7"/>
  <c r="L42" i="7"/>
  <c r="K42" i="7"/>
  <c r="J42" i="7"/>
  <c r="G42" i="7"/>
  <c r="L41" i="7"/>
  <c r="K41" i="7"/>
  <c r="J41" i="7"/>
  <c r="G41" i="7"/>
  <c r="V39" i="7"/>
  <c r="M39" i="7"/>
  <c r="L38" i="7"/>
  <c r="K38" i="7"/>
  <c r="G38" i="7"/>
  <c r="I37" i="7"/>
  <c r="H37" i="7"/>
  <c r="F37" i="7"/>
  <c r="E37" i="7"/>
  <c r="G37" i="7" s="1"/>
  <c r="D37" i="7"/>
  <c r="I36" i="7"/>
  <c r="H36" i="7"/>
  <c r="F36" i="7"/>
  <c r="F39" i="7" s="1"/>
  <c r="E36" i="7"/>
  <c r="G36" i="7" s="1"/>
  <c r="D36" i="7"/>
  <c r="L35" i="7"/>
  <c r="K35" i="7"/>
  <c r="J35" i="7"/>
  <c r="G35" i="7"/>
  <c r="L32" i="7"/>
  <c r="K32" i="7"/>
  <c r="J32" i="7"/>
  <c r="G32" i="7"/>
  <c r="L31" i="7"/>
  <c r="K31" i="7"/>
  <c r="J31" i="7"/>
  <c r="G31" i="7"/>
  <c r="L30" i="7"/>
  <c r="K30" i="7"/>
  <c r="J30" i="7"/>
  <c r="G30" i="7"/>
  <c r="V28" i="7"/>
  <c r="M28" i="7"/>
  <c r="D28" i="7"/>
  <c r="I27" i="7"/>
  <c r="H27" i="7"/>
  <c r="F27" i="7"/>
  <c r="I26" i="7"/>
  <c r="H26" i="7"/>
  <c r="G26" i="7"/>
  <c r="I25" i="7"/>
  <c r="H25" i="7"/>
  <c r="F25" i="7"/>
  <c r="E25" i="7"/>
  <c r="D25" i="7"/>
  <c r="L24" i="7"/>
  <c r="K24" i="7"/>
  <c r="J24" i="7"/>
  <c r="L23" i="7"/>
  <c r="K23" i="7"/>
  <c r="J23" i="7"/>
  <c r="G23" i="7"/>
  <c r="L22" i="7"/>
  <c r="K22" i="7"/>
  <c r="J22" i="7"/>
  <c r="G22" i="7"/>
  <c r="L21" i="7"/>
  <c r="K21" i="7"/>
  <c r="J21" i="7"/>
  <c r="G21" i="7"/>
  <c r="L20" i="7"/>
  <c r="K20" i="7"/>
  <c r="J20" i="7"/>
  <c r="G20" i="7"/>
  <c r="L18" i="7"/>
  <c r="K18" i="7"/>
  <c r="J18" i="7"/>
  <c r="L17" i="7"/>
  <c r="K17" i="7"/>
  <c r="J17" i="7"/>
  <c r="G17" i="7"/>
  <c r="L16" i="7"/>
  <c r="K16" i="7"/>
  <c r="J16" i="7"/>
  <c r="G16" i="7"/>
  <c r="L15" i="7"/>
  <c r="J15" i="7"/>
  <c r="L14" i="7"/>
  <c r="K14" i="7"/>
  <c r="J14" i="7"/>
  <c r="L13" i="7"/>
  <c r="K13" i="7"/>
  <c r="J13" i="7"/>
  <c r="G13" i="7"/>
  <c r="L12" i="7"/>
  <c r="K12" i="7"/>
  <c r="J12" i="7"/>
  <c r="L11" i="7"/>
  <c r="K11" i="7"/>
  <c r="J11" i="7"/>
  <c r="G11" i="7"/>
  <c r="L10" i="7"/>
  <c r="K10" i="7"/>
  <c r="J10" i="7"/>
  <c r="L9" i="7"/>
  <c r="K9" i="7"/>
  <c r="J9" i="7"/>
  <c r="G9" i="7"/>
  <c r="L8" i="7"/>
  <c r="K8" i="7"/>
  <c r="J8" i="7"/>
  <c r="G8" i="7"/>
  <c r="L7" i="7"/>
  <c r="K7" i="7"/>
  <c r="J7" i="7"/>
  <c r="G7" i="7"/>
  <c r="L6" i="7"/>
  <c r="K6" i="7"/>
  <c r="J6" i="7"/>
  <c r="G6" i="7"/>
  <c r="L5" i="7"/>
  <c r="K5" i="7"/>
  <c r="J5" i="7"/>
  <c r="G5" i="7"/>
  <c r="L4" i="7"/>
  <c r="K4" i="7"/>
  <c r="J4" i="7"/>
  <c r="G4" i="7"/>
  <c r="L71" i="7" l="1"/>
  <c r="K72" i="7"/>
  <c r="I74" i="7"/>
  <c r="G83" i="7"/>
  <c r="L27" i="7"/>
  <c r="L59" i="7"/>
  <c r="D62" i="7"/>
  <c r="K60" i="7"/>
  <c r="G191" i="7"/>
  <c r="G44" i="7"/>
  <c r="K59" i="7"/>
  <c r="D197" i="7"/>
  <c r="H47" i="7"/>
  <c r="K47" i="7" s="1"/>
  <c r="H130" i="7"/>
  <c r="F28" i="7"/>
  <c r="K27" i="7"/>
  <c r="I39" i="7"/>
  <c r="G47" i="7"/>
  <c r="L45" i="7"/>
  <c r="L83" i="7"/>
  <c r="K120" i="7"/>
  <c r="L127" i="7"/>
  <c r="M198" i="7"/>
  <c r="L136" i="7"/>
  <c r="D39" i="7"/>
  <c r="L44" i="7"/>
  <c r="L61" i="7"/>
  <c r="G118" i="7"/>
  <c r="L120" i="7"/>
  <c r="L137" i="7"/>
  <c r="L149" i="7"/>
  <c r="D186" i="7"/>
  <c r="H197" i="7"/>
  <c r="E39" i="7"/>
  <c r="G39" i="7" s="1"/>
  <c r="W198" i="7"/>
  <c r="G60" i="7"/>
  <c r="F186" i="7"/>
  <c r="F197" i="7"/>
  <c r="V198" i="7"/>
  <c r="I62" i="7"/>
  <c r="G74" i="7"/>
  <c r="H99" i="7"/>
  <c r="L99" i="7" s="1"/>
  <c r="G147" i="7"/>
  <c r="H186" i="7"/>
  <c r="L191" i="7"/>
  <c r="H39" i="7"/>
  <c r="L36" i="7"/>
  <c r="K36" i="7"/>
  <c r="L128" i="7"/>
  <c r="I130" i="7"/>
  <c r="L130" i="7" s="1"/>
  <c r="K128" i="7"/>
  <c r="L183" i="7"/>
  <c r="K183" i="7"/>
  <c r="I186" i="7"/>
  <c r="K37" i="7"/>
  <c r="L37" i="7"/>
  <c r="L96" i="7"/>
  <c r="K96" i="7"/>
  <c r="L118" i="7"/>
  <c r="I121" i="7"/>
  <c r="L121" i="7" s="1"/>
  <c r="K118" i="7"/>
  <c r="L184" i="7"/>
  <c r="K184" i="7"/>
  <c r="L193" i="7"/>
  <c r="K193" i="7"/>
  <c r="F196" i="7"/>
  <c r="F198" i="7" s="1"/>
  <c r="G27" i="7"/>
  <c r="L97" i="7"/>
  <c r="K97" i="7"/>
  <c r="L26" i="7"/>
  <c r="H28" i="7"/>
  <c r="K26" i="7"/>
  <c r="L47" i="7"/>
  <c r="L84" i="7"/>
  <c r="K84" i="7"/>
  <c r="K93" i="7"/>
  <c r="E99" i="7"/>
  <c r="G99" i="7" s="1"/>
  <c r="G185" i="7"/>
  <c r="E197" i="7"/>
  <c r="E186" i="7"/>
  <c r="G186" i="7" s="1"/>
  <c r="L194" i="7"/>
  <c r="K194" i="7"/>
  <c r="H196" i="7"/>
  <c r="L25" i="7"/>
  <c r="I28" i="7"/>
  <c r="I196" i="7"/>
  <c r="F62" i="7"/>
  <c r="G62" i="7" s="1"/>
  <c r="G59" i="7"/>
  <c r="L73" i="7"/>
  <c r="I197" i="7"/>
  <c r="K73" i="7"/>
  <c r="K99" i="7"/>
  <c r="K147" i="7"/>
  <c r="L147" i="7"/>
  <c r="H150" i="7"/>
  <c r="E28" i="7"/>
  <c r="G25" i="7"/>
  <c r="K25" i="7"/>
  <c r="F130" i="7"/>
  <c r="G130" i="7" s="1"/>
  <c r="G127" i="7"/>
  <c r="L74" i="7"/>
  <c r="K74" i="7"/>
  <c r="K137" i="7"/>
  <c r="G184" i="7"/>
  <c r="E196" i="7"/>
  <c r="L185" i="7"/>
  <c r="K185" i="7"/>
  <c r="D196" i="7"/>
  <c r="H62" i="7"/>
  <c r="K44" i="7"/>
  <c r="K71" i="7"/>
  <c r="K83" i="7"/>
  <c r="K136" i="7"/>
  <c r="K191" i="7"/>
  <c r="V121" i="5"/>
  <c r="L197" i="7" l="1"/>
  <c r="E198" i="7"/>
  <c r="D198" i="7"/>
  <c r="K197" i="7"/>
  <c r="L186" i="7"/>
  <c r="K62" i="7"/>
  <c r="L62" i="7"/>
  <c r="G198" i="7"/>
  <c r="K150" i="7"/>
  <c r="L150" i="7"/>
  <c r="K130" i="7"/>
  <c r="I198" i="7"/>
  <c r="H201" i="7"/>
  <c r="L28" i="7"/>
  <c r="K28" i="7"/>
  <c r="G197" i="7"/>
  <c r="K121" i="7"/>
  <c r="G196" i="7"/>
  <c r="G28" i="7"/>
  <c r="H200" i="7"/>
  <c r="K186" i="7"/>
  <c r="K200" i="7" s="1"/>
  <c r="K196" i="7"/>
  <c r="L196" i="7"/>
  <c r="H198" i="7"/>
  <c r="L39" i="7"/>
  <c r="K39" i="7"/>
  <c r="V65" i="5"/>
  <c r="K201" i="7" l="1"/>
  <c r="K198" i="7"/>
  <c r="L198" i="7"/>
  <c r="V196" i="5"/>
  <c r="V137" i="5" l="1"/>
  <c r="V99" i="5"/>
  <c r="V62" i="5" l="1"/>
  <c r="V47" i="5" l="1"/>
  <c r="V28" i="5"/>
  <c r="V84" i="5" l="1"/>
  <c r="V187" i="5" l="1"/>
  <c r="V74" i="5"/>
  <c r="V130" i="5" l="1"/>
  <c r="V39" i="5"/>
  <c r="V199" i="5" s="1"/>
  <c r="N199" i="5" l="1"/>
  <c r="M196" i="5" l="1"/>
  <c r="M187" i="5"/>
  <c r="M151" i="5"/>
  <c r="M137" i="5"/>
  <c r="M130" i="5"/>
  <c r="M121" i="5"/>
  <c r="M99" i="5"/>
  <c r="M84" i="5"/>
  <c r="M74" i="5"/>
  <c r="M62" i="5"/>
  <c r="M47" i="5"/>
  <c r="M39" i="5"/>
  <c r="M28" i="5"/>
  <c r="M199" i="5" l="1"/>
  <c r="F97" i="5"/>
  <c r="F99" i="5" s="1"/>
  <c r="E97" i="5"/>
  <c r="E99" i="5" s="1"/>
  <c r="E83" i="5"/>
  <c r="D59" i="5"/>
  <c r="F176" i="6" l="1"/>
  <c r="E176" i="6"/>
  <c r="F174" i="6"/>
  <c r="F177" i="6" s="1"/>
  <c r="E174" i="6"/>
  <c r="D174" i="6"/>
  <c r="D177" i="6" s="1"/>
  <c r="H173" i="6"/>
  <c r="G173" i="6"/>
  <c r="H172" i="6"/>
  <c r="G172" i="6"/>
  <c r="H171" i="6"/>
  <c r="G171" i="6"/>
  <c r="F168" i="6"/>
  <c r="E168" i="6"/>
  <c r="D168" i="6"/>
  <c r="F167" i="6"/>
  <c r="E167" i="6"/>
  <c r="D167" i="6"/>
  <c r="F166" i="6"/>
  <c r="E166" i="6"/>
  <c r="D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F139" i="6"/>
  <c r="E139" i="6"/>
  <c r="F137" i="6"/>
  <c r="E137" i="6"/>
  <c r="E140" i="6" s="1"/>
  <c r="D137" i="6"/>
  <c r="D140" i="6" s="1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F127" i="6"/>
  <c r="F128" i="6" s="1"/>
  <c r="E127" i="6"/>
  <c r="D127" i="6"/>
  <c r="H124" i="6"/>
  <c r="G124" i="6"/>
  <c r="H123" i="6"/>
  <c r="G123" i="6"/>
  <c r="F119" i="6"/>
  <c r="E119" i="6"/>
  <c r="F118" i="6"/>
  <c r="E118" i="6"/>
  <c r="D118" i="6"/>
  <c r="D121" i="6" s="1"/>
  <c r="H117" i="6"/>
  <c r="G117" i="6"/>
  <c r="H116" i="6"/>
  <c r="G116" i="6"/>
  <c r="H115" i="6"/>
  <c r="G115" i="6"/>
  <c r="H114" i="6"/>
  <c r="G114" i="6"/>
  <c r="F111" i="6"/>
  <c r="E111" i="6"/>
  <c r="F109" i="6"/>
  <c r="F112" i="6" s="1"/>
  <c r="E109" i="6"/>
  <c r="E112" i="6" s="1"/>
  <c r="D109" i="6"/>
  <c r="D112" i="6" s="1"/>
  <c r="H108" i="6"/>
  <c r="G108" i="6"/>
  <c r="H107" i="6"/>
  <c r="G107" i="6"/>
  <c r="H106" i="6"/>
  <c r="G106" i="6"/>
  <c r="H105" i="6"/>
  <c r="G105" i="6"/>
  <c r="H104" i="6"/>
  <c r="G104" i="6"/>
  <c r="H102" i="6"/>
  <c r="G102" i="6"/>
  <c r="H101" i="6"/>
  <c r="H100" i="6"/>
  <c r="G100" i="6"/>
  <c r="H99" i="6"/>
  <c r="H98" i="6"/>
  <c r="G98" i="6"/>
  <c r="H96" i="6"/>
  <c r="G96" i="6"/>
  <c r="H94" i="6"/>
  <c r="G94" i="6"/>
  <c r="F90" i="6"/>
  <c r="E90" i="6"/>
  <c r="D90" i="6"/>
  <c r="D92" i="6" s="1"/>
  <c r="F89" i="6"/>
  <c r="E89" i="6"/>
  <c r="H87" i="6"/>
  <c r="G87" i="6"/>
  <c r="H86" i="6"/>
  <c r="G86" i="6"/>
  <c r="H85" i="6"/>
  <c r="H84" i="6"/>
  <c r="H83" i="6"/>
  <c r="H82" i="6"/>
  <c r="H81" i="6"/>
  <c r="H80" i="6"/>
  <c r="H79" i="6"/>
  <c r="G79" i="6"/>
  <c r="F76" i="6"/>
  <c r="F77" i="6" s="1"/>
  <c r="E76" i="6"/>
  <c r="D76" i="6"/>
  <c r="H75" i="6"/>
  <c r="G75" i="6"/>
  <c r="H74" i="6"/>
  <c r="G74" i="6"/>
  <c r="H73" i="6"/>
  <c r="G73" i="6"/>
  <c r="H72" i="6"/>
  <c r="G72" i="6"/>
  <c r="H71" i="6"/>
  <c r="G71" i="6"/>
  <c r="D69" i="6"/>
  <c r="F68" i="6"/>
  <c r="E68" i="6"/>
  <c r="F67" i="6"/>
  <c r="E67" i="6"/>
  <c r="F66" i="6"/>
  <c r="E66" i="6"/>
  <c r="H65" i="6"/>
  <c r="G65" i="6"/>
  <c r="H64" i="6"/>
  <c r="G64" i="6"/>
  <c r="H63" i="6"/>
  <c r="G63" i="6"/>
  <c r="H61" i="6"/>
  <c r="G61" i="6"/>
  <c r="F58" i="6"/>
  <c r="E58" i="6"/>
  <c r="D58" i="6"/>
  <c r="F57" i="6"/>
  <c r="E57" i="6"/>
  <c r="D57" i="6"/>
  <c r="F56" i="6"/>
  <c r="E56" i="6"/>
  <c r="D56" i="6"/>
  <c r="H55" i="6"/>
  <c r="G55" i="6"/>
  <c r="H54" i="6"/>
  <c r="G54" i="6"/>
  <c r="H53" i="6"/>
  <c r="G53" i="6"/>
  <c r="H52" i="6"/>
  <c r="G52" i="6"/>
  <c r="H51" i="6"/>
  <c r="G51" i="6"/>
  <c r="G50" i="6"/>
  <c r="H49" i="6"/>
  <c r="G49" i="6"/>
  <c r="H48" i="6"/>
  <c r="G48" i="6"/>
  <c r="H47" i="6"/>
  <c r="G47" i="6"/>
  <c r="H46" i="6"/>
  <c r="G46" i="6"/>
  <c r="F42" i="6"/>
  <c r="E42" i="6"/>
  <c r="F41" i="6"/>
  <c r="E41" i="6"/>
  <c r="D41" i="6"/>
  <c r="D44" i="6" s="1"/>
  <c r="H40" i="6"/>
  <c r="G40" i="6"/>
  <c r="H39" i="6"/>
  <c r="G39" i="6"/>
  <c r="H38" i="6"/>
  <c r="G38" i="6"/>
  <c r="H35" i="6"/>
  <c r="F34" i="6"/>
  <c r="E34" i="6"/>
  <c r="D34" i="6"/>
  <c r="F33" i="6"/>
  <c r="E33" i="6"/>
  <c r="D33" i="6"/>
  <c r="H32" i="6"/>
  <c r="G32" i="6"/>
  <c r="H31" i="6"/>
  <c r="G31" i="6"/>
  <c r="H30" i="6"/>
  <c r="G30" i="6"/>
  <c r="H29" i="6"/>
  <c r="G29" i="6"/>
  <c r="D27" i="6"/>
  <c r="F26" i="6"/>
  <c r="E26" i="6"/>
  <c r="D26" i="6"/>
  <c r="F25" i="6"/>
  <c r="E25" i="6"/>
  <c r="F24" i="6"/>
  <c r="E24" i="6"/>
  <c r="D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89" i="6" l="1"/>
  <c r="F59" i="6"/>
  <c r="D36" i="6"/>
  <c r="E44" i="6"/>
  <c r="E36" i="6"/>
  <c r="D59" i="6"/>
  <c r="H168" i="6"/>
  <c r="H139" i="6"/>
  <c r="H66" i="6"/>
  <c r="F121" i="6"/>
  <c r="F140" i="6"/>
  <c r="H140" i="6" s="1"/>
  <c r="H167" i="6"/>
  <c r="E177" i="6"/>
  <c r="D169" i="6"/>
  <c r="E179" i="6"/>
  <c r="H41" i="6"/>
  <c r="H119" i="6"/>
  <c r="H127" i="6"/>
  <c r="E169" i="6"/>
  <c r="H176" i="6"/>
  <c r="E69" i="6"/>
  <c r="F92" i="6"/>
  <c r="H137" i="6"/>
  <c r="H56" i="6"/>
  <c r="H57" i="6"/>
  <c r="H58" i="6"/>
  <c r="H90" i="6"/>
  <c r="H111" i="6"/>
  <c r="F169" i="6"/>
  <c r="H25" i="6"/>
  <c r="H68" i="6"/>
  <c r="F179" i="6"/>
  <c r="E180" i="6"/>
  <c r="F27" i="6"/>
  <c r="H76" i="6"/>
  <c r="E77" i="6"/>
  <c r="H24" i="6"/>
  <c r="H26" i="6"/>
  <c r="F180" i="6"/>
  <c r="F36" i="6"/>
  <c r="H33" i="6"/>
  <c r="H67" i="6"/>
  <c r="F69" i="6"/>
  <c r="H34" i="6"/>
  <c r="H42" i="6"/>
  <c r="F44" i="6"/>
  <c r="H112" i="6"/>
  <c r="H177" i="6"/>
  <c r="E92" i="6"/>
  <c r="E59" i="6"/>
  <c r="H109" i="6"/>
  <c r="E121" i="6"/>
  <c r="E128" i="6"/>
  <c r="H166" i="6"/>
  <c r="H174" i="6"/>
  <c r="H118" i="6"/>
  <c r="E27" i="6"/>
  <c r="J30" i="5"/>
  <c r="J31" i="5"/>
  <c r="J32" i="5"/>
  <c r="J35" i="5"/>
  <c r="J41" i="5"/>
  <c r="J42" i="5"/>
  <c r="J43" i="5"/>
  <c r="J49" i="5"/>
  <c r="J50" i="5"/>
  <c r="J51" i="5"/>
  <c r="J52" i="5"/>
  <c r="J53" i="5"/>
  <c r="J54" i="5"/>
  <c r="J55" i="5"/>
  <c r="J56" i="5"/>
  <c r="J57" i="5"/>
  <c r="J58" i="5"/>
  <c r="J65" i="5"/>
  <c r="J67" i="5"/>
  <c r="J68" i="5"/>
  <c r="J70" i="5"/>
  <c r="J78" i="5"/>
  <c r="J79" i="5"/>
  <c r="J80" i="5"/>
  <c r="J81" i="5"/>
  <c r="J82" i="5"/>
  <c r="J86" i="5"/>
  <c r="J93" i="5"/>
  <c r="J94" i="5"/>
  <c r="J101" i="5"/>
  <c r="J103" i="5"/>
  <c r="J105" i="5"/>
  <c r="J107" i="5"/>
  <c r="J111" i="5"/>
  <c r="J113" i="5"/>
  <c r="J114" i="5"/>
  <c r="J115" i="5"/>
  <c r="J116" i="5"/>
  <c r="J117" i="5"/>
  <c r="J123" i="5"/>
  <c r="J124" i="5"/>
  <c r="J125" i="5"/>
  <c r="J126" i="5"/>
  <c r="J132" i="5"/>
  <c r="J133" i="5"/>
  <c r="J139" i="5"/>
  <c r="J140" i="5"/>
  <c r="J141" i="5"/>
  <c r="J142" i="5"/>
  <c r="J143" i="5"/>
  <c r="J144" i="5"/>
  <c r="J147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9" i="5"/>
  <c r="J172" i="5"/>
  <c r="J173" i="5"/>
  <c r="J174" i="5"/>
  <c r="J175" i="5"/>
  <c r="J176" i="5"/>
  <c r="J177" i="5"/>
  <c r="J181" i="5"/>
  <c r="J182" i="5"/>
  <c r="J183" i="5"/>
  <c r="J189" i="5"/>
  <c r="J190" i="5"/>
  <c r="J191" i="5"/>
  <c r="J9" i="5"/>
  <c r="J10" i="5"/>
  <c r="J11" i="5"/>
  <c r="J12" i="5"/>
  <c r="J13" i="5"/>
  <c r="J14" i="5"/>
  <c r="J15" i="5"/>
  <c r="J16" i="5"/>
  <c r="J17" i="5"/>
  <c r="J18" i="5"/>
  <c r="J20" i="5"/>
  <c r="J21" i="5"/>
  <c r="J22" i="5"/>
  <c r="J23" i="5"/>
  <c r="J24" i="5"/>
  <c r="J5" i="5"/>
  <c r="J6" i="5"/>
  <c r="J7" i="5"/>
  <c r="J8" i="5"/>
  <c r="J4" i="5"/>
  <c r="H44" i="6" l="1"/>
  <c r="H169" i="6"/>
  <c r="F181" i="6"/>
  <c r="H179" i="6"/>
  <c r="H69" i="6"/>
  <c r="E184" i="6"/>
  <c r="H27" i="6"/>
  <c r="H121" i="6"/>
  <c r="H92" i="6"/>
  <c r="H77" i="6"/>
  <c r="H59" i="6"/>
  <c r="H180" i="6"/>
  <c r="E181" i="6"/>
  <c r="H128" i="6"/>
  <c r="E183" i="6"/>
  <c r="H36" i="6"/>
  <c r="H97" i="5"/>
  <c r="I97" i="5"/>
  <c r="L93" i="5"/>
  <c r="L94" i="5"/>
  <c r="I59" i="5"/>
  <c r="H181" i="6" l="1"/>
  <c r="L56" i="5"/>
  <c r="L41" i="5"/>
  <c r="K106" i="5"/>
  <c r="K107" i="5"/>
  <c r="K110" i="5"/>
  <c r="K111" i="5"/>
  <c r="L110" i="5"/>
  <c r="L111" i="5"/>
  <c r="L133" i="5"/>
  <c r="I71" i="5"/>
  <c r="I25" i="5" l="1"/>
  <c r="I27" i="5"/>
  <c r="I26" i="5" l="1"/>
  <c r="H26" i="5"/>
  <c r="K18" i="5"/>
  <c r="L18" i="5"/>
  <c r="L16" i="5"/>
  <c r="K14" i="5"/>
  <c r="K12" i="5"/>
  <c r="L12" i="5"/>
  <c r="K10" i="5"/>
  <c r="L10" i="5"/>
  <c r="K183" i="5"/>
  <c r="H25" i="5"/>
  <c r="H27" i="5"/>
  <c r="H36" i="5"/>
  <c r="H37" i="5"/>
  <c r="H44" i="5"/>
  <c r="H45" i="5"/>
  <c r="H59" i="5"/>
  <c r="H60" i="5"/>
  <c r="H61" i="5"/>
  <c r="H71" i="5"/>
  <c r="H72" i="5"/>
  <c r="H73" i="5"/>
  <c r="H83" i="5"/>
  <c r="H84" i="5" s="1"/>
  <c r="H96" i="5"/>
  <c r="H118" i="5"/>
  <c r="H120" i="5"/>
  <c r="H127" i="5"/>
  <c r="H128" i="5"/>
  <c r="H136" i="5"/>
  <c r="H137" i="5" s="1"/>
  <c r="H148" i="5"/>
  <c r="H150" i="5"/>
  <c r="H184" i="5"/>
  <c r="H185" i="5"/>
  <c r="H186" i="5"/>
  <c r="H192" i="5"/>
  <c r="H194" i="5"/>
  <c r="H39" i="5" l="1"/>
  <c r="H74" i="5"/>
  <c r="H198" i="5"/>
  <c r="H130" i="5"/>
  <c r="H195" i="5"/>
  <c r="H28" i="5"/>
  <c r="H99" i="5"/>
  <c r="H187" i="5"/>
  <c r="H151" i="5"/>
  <c r="H121" i="5"/>
  <c r="H62" i="5"/>
  <c r="H47" i="5"/>
  <c r="H197" i="5"/>
  <c r="I194" i="5"/>
  <c r="I192" i="5"/>
  <c r="I184" i="5"/>
  <c r="I185" i="5"/>
  <c r="I186" i="5"/>
  <c r="I148" i="5"/>
  <c r="I150" i="5"/>
  <c r="I136" i="5"/>
  <c r="I127" i="5"/>
  <c r="I128" i="5"/>
  <c r="I120" i="5"/>
  <c r="I118" i="5"/>
  <c r="L106" i="5"/>
  <c r="L107" i="5"/>
  <c r="I96" i="5"/>
  <c r="I83" i="5"/>
  <c r="I72" i="5"/>
  <c r="I73" i="5"/>
  <c r="I60" i="5"/>
  <c r="I61" i="5"/>
  <c r="I44" i="5"/>
  <c r="I45" i="5"/>
  <c r="I36" i="5"/>
  <c r="K36" i="5" s="1"/>
  <c r="I37" i="5"/>
  <c r="L14" i="5"/>
  <c r="L15" i="5"/>
  <c r="L57" i="5"/>
  <c r="K123" i="5"/>
  <c r="K124" i="5"/>
  <c r="L101" i="5"/>
  <c r="I84" i="5" l="1"/>
  <c r="H202" i="5"/>
  <c r="H201" i="5"/>
  <c r="I74" i="5"/>
  <c r="I130" i="5"/>
  <c r="I121" i="5"/>
  <c r="I39" i="5"/>
  <c r="I195" i="5"/>
  <c r="I137" i="5"/>
  <c r="I198" i="5"/>
  <c r="I47" i="5"/>
  <c r="I99" i="5"/>
  <c r="I62" i="5"/>
  <c r="I151" i="5"/>
  <c r="I197" i="5"/>
  <c r="I28" i="5"/>
  <c r="H199" i="5"/>
  <c r="I187" i="5"/>
  <c r="L105" i="5"/>
  <c r="I199" i="5" l="1"/>
  <c r="K24" i="5"/>
  <c r="L24" i="5"/>
  <c r="L139" i="5"/>
  <c r="L140" i="5"/>
  <c r="L141" i="5"/>
  <c r="L142" i="5"/>
  <c r="L143" i="5"/>
  <c r="L144" i="5"/>
  <c r="L147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9" i="5"/>
  <c r="L172" i="5"/>
  <c r="L173" i="5"/>
  <c r="L174" i="5"/>
  <c r="L175" i="5"/>
  <c r="L176" i="5"/>
  <c r="L177" i="5"/>
  <c r="L181" i="5"/>
  <c r="L182" i="5"/>
  <c r="L183" i="5"/>
  <c r="L189" i="5"/>
  <c r="L190" i="5"/>
  <c r="L191" i="5"/>
  <c r="L103" i="5"/>
  <c r="L113" i="5"/>
  <c r="L114" i="5"/>
  <c r="L115" i="5"/>
  <c r="L116" i="5"/>
  <c r="L117" i="5"/>
  <c r="L123" i="5"/>
  <c r="L124" i="5"/>
  <c r="L125" i="5"/>
  <c r="L126" i="5"/>
  <c r="L132" i="5"/>
  <c r="L88" i="5"/>
  <c r="L89" i="5"/>
  <c r="L90" i="5"/>
  <c r="L91" i="5"/>
  <c r="L92" i="5"/>
  <c r="L78" i="5"/>
  <c r="L79" i="5"/>
  <c r="L80" i="5"/>
  <c r="L81" i="5"/>
  <c r="L82" i="5"/>
  <c r="L86" i="5"/>
  <c r="L87" i="5"/>
  <c r="L42" i="5"/>
  <c r="L43" i="5"/>
  <c r="L49" i="5"/>
  <c r="L50" i="5"/>
  <c r="L51" i="5"/>
  <c r="L52" i="5"/>
  <c r="L54" i="5"/>
  <c r="L55" i="5"/>
  <c r="L58" i="5"/>
  <c r="L65" i="5"/>
  <c r="L67" i="5"/>
  <c r="L68" i="5"/>
  <c r="L70" i="5"/>
  <c r="L30" i="5"/>
  <c r="L31" i="5"/>
  <c r="L32" i="5"/>
  <c r="L35" i="5"/>
  <c r="L38" i="5"/>
  <c r="L5" i="5"/>
  <c r="L6" i="5"/>
  <c r="L7" i="5"/>
  <c r="L8" i="5"/>
  <c r="L9" i="5"/>
  <c r="L11" i="5"/>
  <c r="L13" i="5"/>
  <c r="L17" i="5"/>
  <c r="L20" i="5"/>
  <c r="L21" i="5"/>
  <c r="L22" i="5"/>
  <c r="L23" i="5"/>
  <c r="L4" i="5"/>
  <c r="L45" i="5" l="1"/>
  <c r="L194" i="5"/>
  <c r="L150" i="5"/>
  <c r="L128" i="5"/>
  <c r="L73" i="5"/>
  <c r="L72" i="5"/>
  <c r="L120" i="5" l="1"/>
  <c r="L71" i="5"/>
  <c r="L96" i="5"/>
  <c r="L26" i="5" l="1"/>
  <c r="K4" i="5"/>
  <c r="K5" i="5"/>
  <c r="K6" i="5"/>
  <c r="K7" i="5"/>
  <c r="K8" i="5"/>
  <c r="K9" i="5"/>
  <c r="K11" i="5"/>
  <c r="K13" i="5"/>
  <c r="K16" i="5"/>
  <c r="K17" i="5"/>
  <c r="K20" i="5"/>
  <c r="K21" i="5"/>
  <c r="K22" i="5"/>
  <c r="K23" i="5"/>
  <c r="K26" i="5"/>
  <c r="K30" i="5"/>
  <c r="K31" i="5"/>
  <c r="K32" i="5"/>
  <c r="K35" i="5"/>
  <c r="K38" i="5"/>
  <c r="K41" i="5"/>
  <c r="K42" i="5"/>
  <c r="K43" i="5"/>
  <c r="K45" i="5"/>
  <c r="K49" i="5"/>
  <c r="K50" i="5"/>
  <c r="K51" i="5"/>
  <c r="K52" i="5"/>
  <c r="K54" i="5"/>
  <c r="K55" i="5"/>
  <c r="K56" i="5"/>
  <c r="K58" i="5"/>
  <c r="K65" i="5"/>
  <c r="K67" i="5"/>
  <c r="K68" i="5"/>
  <c r="K70" i="5"/>
  <c r="K71" i="5"/>
  <c r="K72" i="5"/>
  <c r="K73" i="5"/>
  <c r="K78" i="5"/>
  <c r="K79" i="5"/>
  <c r="K80" i="5"/>
  <c r="K81" i="5"/>
  <c r="K82" i="5"/>
  <c r="K86" i="5"/>
  <c r="K87" i="5"/>
  <c r="K88" i="5"/>
  <c r="K89" i="5"/>
  <c r="K90" i="5"/>
  <c r="K91" i="5"/>
  <c r="K92" i="5"/>
  <c r="K94" i="5"/>
  <c r="K96" i="5"/>
  <c r="K101" i="5"/>
  <c r="K103" i="5"/>
  <c r="K105" i="5"/>
  <c r="K113" i="5"/>
  <c r="K114" i="5"/>
  <c r="K115" i="5"/>
  <c r="K116" i="5"/>
  <c r="K117" i="5"/>
  <c r="K120" i="5"/>
  <c r="K125" i="5"/>
  <c r="K126" i="5"/>
  <c r="K128" i="5"/>
  <c r="K132" i="5"/>
  <c r="K133" i="5"/>
  <c r="K134" i="5"/>
  <c r="K135" i="5"/>
  <c r="K139" i="5"/>
  <c r="K140" i="5"/>
  <c r="K141" i="5"/>
  <c r="K142" i="5"/>
  <c r="K143" i="5"/>
  <c r="K144" i="5"/>
  <c r="K147" i="5"/>
  <c r="K150" i="5"/>
  <c r="K153" i="5"/>
  <c r="K154" i="5"/>
  <c r="K155" i="5"/>
  <c r="K156" i="5"/>
  <c r="K157" i="5"/>
  <c r="K158" i="5"/>
  <c r="K159" i="5"/>
  <c r="K160" i="5"/>
  <c r="K166" i="5"/>
  <c r="K169" i="5"/>
  <c r="K172" i="5"/>
  <c r="K173" i="5"/>
  <c r="K174" i="5"/>
  <c r="K175" i="5"/>
  <c r="K176" i="5"/>
  <c r="K177" i="5"/>
  <c r="K181" i="5"/>
  <c r="K182" i="5"/>
  <c r="K189" i="5"/>
  <c r="K190" i="5"/>
  <c r="K191" i="5"/>
  <c r="K194" i="5"/>
  <c r="K162" i="5"/>
  <c r="K163" i="5"/>
  <c r="K164" i="5"/>
  <c r="K165" i="5"/>
  <c r="K161" i="5"/>
  <c r="K93" i="5" l="1"/>
  <c r="L192" i="5"/>
  <c r="L186" i="5"/>
  <c r="L185" i="5"/>
  <c r="L184" i="5"/>
  <c r="L148" i="5"/>
  <c r="L136" i="5"/>
  <c r="L127" i="5"/>
  <c r="L118" i="5"/>
  <c r="L97" i="5"/>
  <c r="L84" i="5"/>
  <c r="L83" i="5"/>
  <c r="L74" i="5"/>
  <c r="L61" i="5"/>
  <c r="L60" i="5"/>
  <c r="L59" i="5"/>
  <c r="L44" i="5"/>
  <c r="L37" i="5"/>
  <c r="L36" i="5"/>
  <c r="L27" i="5"/>
  <c r="L25" i="5"/>
  <c r="L197" i="5" l="1"/>
  <c r="L198" i="5"/>
  <c r="L39" i="5"/>
  <c r="K37" i="5"/>
  <c r="K61" i="5"/>
  <c r="L99" i="5"/>
  <c r="K97" i="5"/>
  <c r="L137" i="5"/>
  <c r="K136" i="5"/>
  <c r="K186" i="5"/>
  <c r="K25" i="5"/>
  <c r="L47" i="5"/>
  <c r="K44" i="5"/>
  <c r="K74" i="5"/>
  <c r="L121" i="5"/>
  <c r="K118" i="5"/>
  <c r="L151" i="5"/>
  <c r="K148" i="5"/>
  <c r="L195" i="5"/>
  <c r="K192" i="5"/>
  <c r="K27" i="5"/>
  <c r="K59" i="5"/>
  <c r="K83" i="5"/>
  <c r="K127" i="5"/>
  <c r="L187" i="5"/>
  <c r="K184" i="5"/>
  <c r="K60" i="5"/>
  <c r="K84" i="5"/>
  <c r="L130" i="5"/>
  <c r="K185" i="5"/>
  <c r="L62" i="5"/>
  <c r="L28" i="5"/>
  <c r="K197" i="5" l="1"/>
  <c r="L199" i="5"/>
  <c r="K198" i="5"/>
  <c r="K121" i="5"/>
  <c r="K137" i="5"/>
  <c r="K28" i="5"/>
  <c r="K151" i="5"/>
  <c r="K47" i="5"/>
  <c r="K39" i="5"/>
  <c r="K62" i="5"/>
  <c r="K130" i="5"/>
  <c r="K195" i="5"/>
  <c r="K187" i="5"/>
  <c r="K99" i="5"/>
  <c r="K201" i="5" l="1"/>
  <c r="K202" i="5"/>
  <c r="K199" i="5"/>
  <c r="L162" i="4"/>
  <c r="L163" i="4"/>
  <c r="L164" i="4"/>
  <c r="L77" i="4"/>
  <c r="L78" i="4"/>
  <c r="M78" i="4" s="1"/>
  <c r="D5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20" i="4"/>
  <c r="M24" i="4"/>
  <c r="M25" i="4"/>
  <c r="M26" i="4"/>
  <c r="M27" i="4"/>
  <c r="M33" i="4"/>
  <c r="M34" i="4"/>
  <c r="M35" i="4"/>
  <c r="M37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9" i="4"/>
  <c r="M61" i="4"/>
  <c r="M62" i="4"/>
  <c r="M63" i="4"/>
  <c r="M64" i="4"/>
  <c r="M65" i="4"/>
  <c r="M66" i="4"/>
  <c r="M69" i="4"/>
  <c r="M70" i="4"/>
  <c r="M71" i="4"/>
  <c r="M72" i="4"/>
  <c r="M73" i="4"/>
  <c r="M74" i="4"/>
  <c r="M80" i="4"/>
  <c r="M81" i="4"/>
  <c r="M82" i="4"/>
  <c r="M83" i="4"/>
  <c r="M84" i="4"/>
  <c r="M85" i="4"/>
  <c r="M86" i="4"/>
  <c r="M87" i="4"/>
  <c r="M89" i="4"/>
  <c r="M94" i="4"/>
  <c r="M98" i="4"/>
  <c r="M100" i="4"/>
  <c r="M101" i="4"/>
  <c r="M102" i="4"/>
  <c r="M103" i="4"/>
  <c r="M104" i="4"/>
  <c r="M107" i="4"/>
  <c r="M110" i="4"/>
  <c r="M111" i="4"/>
  <c r="M112" i="4"/>
  <c r="M113" i="4"/>
  <c r="M115" i="4"/>
  <c r="M119" i="4"/>
  <c r="M120" i="4"/>
  <c r="M126" i="4"/>
  <c r="M127" i="4"/>
  <c r="M128" i="4"/>
  <c r="M129" i="4"/>
  <c r="M130" i="4"/>
  <c r="M131" i="4"/>
  <c r="M132" i="4"/>
  <c r="M135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7" i="4"/>
  <c r="M168" i="4"/>
  <c r="M169" i="4"/>
  <c r="M172" i="4"/>
  <c r="M4" i="4"/>
  <c r="L170" i="4"/>
  <c r="L133" i="4"/>
  <c r="L136" i="4" s="1"/>
  <c r="L123" i="4"/>
  <c r="L114" i="4"/>
  <c r="L117" i="4" s="1"/>
  <c r="L105" i="4"/>
  <c r="L108" i="4" s="1"/>
  <c r="L90" i="4"/>
  <c r="L92" i="4" s="1"/>
  <c r="L67" i="4"/>
  <c r="L56" i="4"/>
  <c r="L55" i="4"/>
  <c r="L54" i="4"/>
  <c r="L36" i="4"/>
  <c r="L39" i="4" s="1"/>
  <c r="L29" i="4"/>
  <c r="L28" i="4"/>
  <c r="L21" i="4"/>
  <c r="L19" i="4"/>
  <c r="L124" i="4" l="1"/>
  <c r="M124" i="4" s="1"/>
  <c r="L173" i="4"/>
  <c r="L165" i="4"/>
  <c r="L178" i="4"/>
  <c r="L57" i="4"/>
  <c r="M54" i="4"/>
  <c r="L31" i="4"/>
  <c r="L22" i="4"/>
  <c r="L177" i="4"/>
  <c r="G194" i="5"/>
  <c r="G193" i="5"/>
  <c r="F192" i="5"/>
  <c r="E192" i="5"/>
  <c r="D192" i="5"/>
  <c r="G191" i="5"/>
  <c r="G190" i="5"/>
  <c r="G189" i="5"/>
  <c r="F186" i="5"/>
  <c r="E186" i="5"/>
  <c r="E198" i="5" s="1"/>
  <c r="D186" i="5"/>
  <c r="F185" i="5"/>
  <c r="E185" i="5"/>
  <c r="D185" i="5"/>
  <c r="F184" i="5"/>
  <c r="E184" i="5"/>
  <c r="D184" i="5"/>
  <c r="G183" i="5"/>
  <c r="G182" i="5"/>
  <c r="G181" i="5"/>
  <c r="G177" i="5"/>
  <c r="G176" i="5"/>
  <c r="G175" i="5"/>
  <c r="G174" i="5"/>
  <c r="G173" i="5"/>
  <c r="G172" i="5"/>
  <c r="G169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0" i="5"/>
  <c r="G149" i="5"/>
  <c r="F148" i="5"/>
  <c r="E148" i="5"/>
  <c r="D148" i="5"/>
  <c r="D151" i="5" s="1"/>
  <c r="G147" i="5"/>
  <c r="G144" i="5"/>
  <c r="G143" i="5"/>
  <c r="G142" i="5"/>
  <c r="G141" i="5"/>
  <c r="G140" i="5"/>
  <c r="G139" i="5"/>
  <c r="G137" i="5"/>
  <c r="F136" i="5"/>
  <c r="D136" i="5"/>
  <c r="G135" i="5"/>
  <c r="G134" i="5"/>
  <c r="G133" i="5"/>
  <c r="G132" i="5"/>
  <c r="G129" i="5"/>
  <c r="G128" i="5"/>
  <c r="F127" i="5"/>
  <c r="E127" i="5"/>
  <c r="E130" i="5" s="1"/>
  <c r="D127" i="5"/>
  <c r="D130" i="5" s="1"/>
  <c r="G126" i="5"/>
  <c r="G125" i="5"/>
  <c r="G124" i="5"/>
  <c r="G123" i="5"/>
  <c r="G120" i="5"/>
  <c r="G119" i="5"/>
  <c r="F118" i="5"/>
  <c r="E118" i="5"/>
  <c r="D118" i="5"/>
  <c r="D121" i="5" s="1"/>
  <c r="G117" i="5"/>
  <c r="G116" i="5"/>
  <c r="G115" i="5"/>
  <c r="G114" i="5"/>
  <c r="G113" i="5"/>
  <c r="G105" i="5"/>
  <c r="G103" i="5"/>
  <c r="G101" i="5"/>
  <c r="D97" i="5"/>
  <c r="G96" i="5"/>
  <c r="G95" i="5"/>
  <c r="G94" i="5"/>
  <c r="G92" i="5"/>
  <c r="G91" i="5"/>
  <c r="G90" i="5"/>
  <c r="G89" i="5"/>
  <c r="G88" i="5"/>
  <c r="G87" i="5"/>
  <c r="G86" i="5"/>
  <c r="G84" i="5"/>
  <c r="F83" i="5"/>
  <c r="D83" i="5"/>
  <c r="G82" i="5"/>
  <c r="G81" i="5"/>
  <c r="G80" i="5"/>
  <c r="G79" i="5"/>
  <c r="G78" i="5"/>
  <c r="F74" i="5"/>
  <c r="E74" i="5"/>
  <c r="D74" i="5"/>
  <c r="G73" i="5"/>
  <c r="G72" i="5"/>
  <c r="G71" i="5"/>
  <c r="G70" i="5"/>
  <c r="G68" i="5"/>
  <c r="G67" i="5"/>
  <c r="G65" i="5"/>
  <c r="F61" i="5"/>
  <c r="D61" i="5"/>
  <c r="F60" i="5"/>
  <c r="E60" i="5"/>
  <c r="D60" i="5"/>
  <c r="F59" i="5"/>
  <c r="E59" i="5"/>
  <c r="G58" i="5"/>
  <c r="G57" i="5"/>
  <c r="G56" i="5"/>
  <c r="G55" i="5"/>
  <c r="G54" i="5"/>
  <c r="G53" i="5"/>
  <c r="G52" i="5"/>
  <c r="G51" i="5"/>
  <c r="G50" i="5"/>
  <c r="G49" i="5"/>
  <c r="G46" i="5"/>
  <c r="G45" i="5"/>
  <c r="F44" i="5"/>
  <c r="F47" i="5" s="1"/>
  <c r="E44" i="5"/>
  <c r="E47" i="5" s="1"/>
  <c r="D44" i="5"/>
  <c r="D47" i="5" s="1"/>
  <c r="G43" i="5"/>
  <c r="G42" i="5"/>
  <c r="G41" i="5"/>
  <c r="G38" i="5"/>
  <c r="F37" i="5"/>
  <c r="E37" i="5"/>
  <c r="D37" i="5"/>
  <c r="F36" i="5"/>
  <c r="E36" i="5"/>
  <c r="D36" i="5"/>
  <c r="G35" i="5"/>
  <c r="G32" i="5"/>
  <c r="G31" i="5"/>
  <c r="G30" i="5"/>
  <c r="F27" i="5"/>
  <c r="G26" i="5"/>
  <c r="F25" i="5"/>
  <c r="E25" i="5"/>
  <c r="E28" i="5" s="1"/>
  <c r="D25" i="5"/>
  <c r="D28" i="5" s="1"/>
  <c r="G23" i="5"/>
  <c r="G22" i="5"/>
  <c r="G21" i="5"/>
  <c r="G20" i="5"/>
  <c r="G17" i="5"/>
  <c r="G16" i="5"/>
  <c r="G13" i="5"/>
  <c r="G11" i="5"/>
  <c r="G9" i="5"/>
  <c r="G8" i="5"/>
  <c r="G7" i="5"/>
  <c r="G6" i="5"/>
  <c r="G5" i="5"/>
  <c r="G4" i="5"/>
  <c r="E39" i="5" l="1"/>
  <c r="F28" i="5"/>
  <c r="E62" i="5"/>
  <c r="D39" i="5"/>
  <c r="D198" i="5"/>
  <c r="D195" i="5"/>
  <c r="D197" i="5"/>
  <c r="E197" i="5"/>
  <c r="E199" i="5" s="1"/>
  <c r="D99" i="5"/>
  <c r="F198" i="5"/>
  <c r="F197" i="5"/>
  <c r="F199" i="5" s="1"/>
  <c r="G27" i="5"/>
  <c r="F121" i="5"/>
  <c r="F151" i="5"/>
  <c r="G99" i="5"/>
  <c r="G136" i="5"/>
  <c r="G47" i="5"/>
  <c r="G60" i="5"/>
  <c r="L179" i="4"/>
  <c r="F187" i="5"/>
  <c r="G192" i="5"/>
  <c r="D62" i="5"/>
  <c r="G37" i="5"/>
  <c r="G61" i="5"/>
  <c r="G185" i="5"/>
  <c r="F62" i="5"/>
  <c r="F39" i="5"/>
  <c r="G74" i="5"/>
  <c r="G118" i="5"/>
  <c r="G186" i="5"/>
  <c r="F195" i="5"/>
  <c r="G25" i="5"/>
  <c r="G36" i="5"/>
  <c r="G59" i="5"/>
  <c r="G83" i="5"/>
  <c r="G97" i="5"/>
  <c r="E187" i="5"/>
  <c r="G127" i="5"/>
  <c r="F130" i="5"/>
  <c r="D187" i="5"/>
  <c r="G148" i="5"/>
  <c r="G184" i="5"/>
  <c r="G44" i="5"/>
  <c r="G28" i="5" l="1"/>
  <c r="D199" i="5"/>
  <c r="G198" i="5"/>
  <c r="G197" i="5"/>
  <c r="G199" i="5"/>
  <c r="G121" i="5"/>
  <c r="G151" i="5"/>
  <c r="G130" i="5"/>
  <c r="G195" i="5"/>
  <c r="G39" i="5"/>
  <c r="G62" i="5"/>
  <c r="G187" i="5"/>
  <c r="F57" i="3"/>
  <c r="F58" i="3"/>
  <c r="F59" i="3"/>
  <c r="F60" i="3"/>
  <c r="F61" i="3"/>
  <c r="F62" i="3"/>
  <c r="F63" i="3"/>
  <c r="F120" i="3"/>
  <c r="F121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87" i="3"/>
  <c r="F88" i="3"/>
  <c r="F89" i="3"/>
  <c r="F90" i="3"/>
  <c r="F91" i="3"/>
  <c r="F92" i="3"/>
  <c r="F84" i="3"/>
  <c r="F79" i="3"/>
  <c r="F80" i="3"/>
  <c r="F81" i="3"/>
  <c r="F73" i="3"/>
  <c r="F74" i="3"/>
  <c r="F75" i="3"/>
  <c r="F76" i="3"/>
  <c r="F68" i="3"/>
  <c r="F70" i="3"/>
  <c r="F46" i="3"/>
  <c r="F4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1" i="3"/>
  <c r="F22" i="3"/>
  <c r="F23" i="3"/>
  <c r="F2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K98" i="4"/>
  <c r="K96" i="4"/>
  <c r="K171" i="4"/>
  <c r="K172" i="4"/>
  <c r="K169" i="4"/>
  <c r="K168" i="4"/>
  <c r="K132" i="4"/>
  <c r="K134" i="4"/>
  <c r="K135" i="4"/>
  <c r="K120" i="4"/>
  <c r="K121" i="4"/>
  <c r="K122" i="4"/>
  <c r="K124" i="4"/>
  <c r="K115" i="4"/>
  <c r="K116" i="4"/>
  <c r="K104" i="4"/>
  <c r="K106" i="4"/>
  <c r="K107" i="4"/>
  <c r="K89" i="4"/>
  <c r="K73" i="4"/>
  <c r="K74" i="4"/>
  <c r="K75" i="4"/>
  <c r="K76" i="4"/>
  <c r="K78" i="4"/>
  <c r="K64" i="4"/>
  <c r="K65" i="4"/>
  <c r="K66" i="4"/>
  <c r="K49" i="4"/>
  <c r="K50" i="4"/>
  <c r="K51" i="4"/>
  <c r="K52" i="4"/>
  <c r="K53" i="4"/>
  <c r="K37" i="4"/>
  <c r="K38" i="4"/>
  <c r="K30" i="4"/>
  <c r="K27" i="4"/>
  <c r="K13" i="4"/>
  <c r="K14" i="4"/>
  <c r="K15" i="4"/>
  <c r="K16" i="4"/>
  <c r="K17" i="4"/>
  <c r="K18" i="4"/>
  <c r="K20" i="4"/>
  <c r="J90" i="4"/>
  <c r="J54" i="4"/>
  <c r="J55" i="4"/>
  <c r="I90" i="4"/>
  <c r="I92" i="4" s="1"/>
  <c r="I54" i="4"/>
  <c r="K54" i="4" l="1"/>
  <c r="K90" i="4"/>
  <c r="J164" i="4" l="1"/>
  <c r="J163" i="4"/>
  <c r="J162" i="4"/>
  <c r="I164" i="4"/>
  <c r="I163" i="4"/>
  <c r="I162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38" i="4"/>
  <c r="D162" i="4"/>
  <c r="M162" i="4" s="1"/>
  <c r="D164" i="4"/>
  <c r="M164" i="4" s="1"/>
  <c r="D163" i="4"/>
  <c r="M163" i="4" s="1"/>
  <c r="J92" i="4"/>
  <c r="K92" i="4" s="1"/>
  <c r="D90" i="4"/>
  <c r="K81" i="4"/>
  <c r="K82" i="4"/>
  <c r="K83" i="4"/>
  <c r="K84" i="4"/>
  <c r="K85" i="4"/>
  <c r="K86" i="4"/>
  <c r="K87" i="4"/>
  <c r="K88" i="4"/>
  <c r="K80" i="4"/>
  <c r="J105" i="4"/>
  <c r="J108" i="4" s="1"/>
  <c r="K108" i="4" s="1"/>
  <c r="I105" i="4"/>
  <c r="D105" i="4"/>
  <c r="K101" i="4"/>
  <c r="K102" i="4"/>
  <c r="K103" i="4"/>
  <c r="K100" i="4"/>
  <c r="K94" i="4"/>
  <c r="F170" i="4"/>
  <c r="H170" i="4"/>
  <c r="I170" i="4"/>
  <c r="J170" i="4"/>
  <c r="J173" i="4" s="1"/>
  <c r="K173" i="4" s="1"/>
  <c r="D170" i="4"/>
  <c r="K167" i="4"/>
  <c r="J77" i="4"/>
  <c r="I77" i="4"/>
  <c r="D77" i="4"/>
  <c r="M77" i="4" s="1"/>
  <c r="K70" i="4"/>
  <c r="K71" i="4"/>
  <c r="K72" i="4"/>
  <c r="K69" i="4"/>
  <c r="E67" i="4"/>
  <c r="F67" i="4"/>
  <c r="G67" i="4"/>
  <c r="H67" i="4"/>
  <c r="I67" i="4"/>
  <c r="J67" i="4"/>
  <c r="D67" i="4"/>
  <c r="M67" i="4" s="1"/>
  <c r="K62" i="4"/>
  <c r="K63" i="4"/>
  <c r="K61" i="4"/>
  <c r="J133" i="4"/>
  <c r="J136" i="4" s="1"/>
  <c r="K136" i="4" s="1"/>
  <c r="I133" i="4"/>
  <c r="F133" i="4"/>
  <c r="H133" i="4"/>
  <c r="D133" i="4"/>
  <c r="J123" i="4"/>
  <c r="K123" i="4" s="1"/>
  <c r="D123" i="4"/>
  <c r="M123" i="4" s="1"/>
  <c r="K127" i="4"/>
  <c r="K128" i="4"/>
  <c r="K129" i="4"/>
  <c r="K130" i="4"/>
  <c r="K131" i="4"/>
  <c r="K126" i="4"/>
  <c r="F114" i="4"/>
  <c r="F117" i="4" s="1"/>
  <c r="H114" i="4"/>
  <c r="H117" i="4" s="1"/>
  <c r="I114" i="4"/>
  <c r="J114" i="4"/>
  <c r="J117" i="4" s="1"/>
  <c r="D114" i="4"/>
  <c r="K111" i="4"/>
  <c r="K112" i="4"/>
  <c r="K113" i="4"/>
  <c r="K110" i="4"/>
  <c r="K59" i="4"/>
  <c r="I56" i="4"/>
  <c r="J56" i="4"/>
  <c r="I55" i="4"/>
  <c r="D56" i="4"/>
  <c r="M56" i="4" s="1"/>
  <c r="D55" i="4"/>
  <c r="M55" i="4" s="1"/>
  <c r="J28" i="4"/>
  <c r="J36" i="4"/>
  <c r="J39" i="4" s="1"/>
  <c r="I36" i="4"/>
  <c r="J29" i="4"/>
  <c r="I29" i="4"/>
  <c r="I28" i="4"/>
  <c r="J21" i="4"/>
  <c r="I19" i="4"/>
  <c r="J19" i="4"/>
  <c r="I22" i="4"/>
  <c r="K42" i="4"/>
  <c r="K43" i="4"/>
  <c r="K44" i="4"/>
  <c r="K45" i="4"/>
  <c r="K46" i="4"/>
  <c r="K47" i="4"/>
  <c r="K48" i="4"/>
  <c r="K41" i="4"/>
  <c r="K119" i="4"/>
  <c r="K34" i="4"/>
  <c r="K35" i="4"/>
  <c r="K33" i="4"/>
  <c r="D36" i="4"/>
  <c r="D29" i="4"/>
  <c r="M29" i="4" s="1"/>
  <c r="D28" i="4"/>
  <c r="M28" i="4" s="1"/>
  <c r="K25" i="4"/>
  <c r="K26" i="4"/>
  <c r="K24" i="4"/>
  <c r="K5" i="4"/>
  <c r="K6" i="4"/>
  <c r="K7" i="4"/>
  <c r="K8" i="4"/>
  <c r="K9" i="4"/>
  <c r="K10" i="4"/>
  <c r="K11" i="4"/>
  <c r="K12" i="4"/>
  <c r="K4" i="4"/>
  <c r="D22" i="4"/>
  <c r="M22" i="4" s="1"/>
  <c r="D21" i="4"/>
  <c r="M21" i="4" s="1"/>
  <c r="D19" i="4"/>
  <c r="M19" i="4" s="1"/>
  <c r="K29" i="4" l="1"/>
  <c r="D136" i="4"/>
  <c r="M136" i="4" s="1"/>
  <c r="M133" i="4"/>
  <c r="D108" i="4"/>
  <c r="M108" i="4" s="1"/>
  <c r="M105" i="4"/>
  <c r="D92" i="4"/>
  <c r="M92" i="4" s="1"/>
  <c r="M90" i="4"/>
  <c r="D39" i="4"/>
  <c r="M39" i="4" s="1"/>
  <c r="M36" i="4"/>
  <c r="D117" i="4"/>
  <c r="M117" i="4" s="1"/>
  <c r="M114" i="4"/>
  <c r="D173" i="4"/>
  <c r="M173" i="4" s="1"/>
  <c r="M170" i="4"/>
  <c r="K67" i="4"/>
  <c r="J177" i="4"/>
  <c r="K133" i="4"/>
  <c r="K105" i="4"/>
  <c r="D165" i="4"/>
  <c r="M165" i="4" s="1"/>
  <c r="K77" i="4"/>
  <c r="D177" i="4"/>
  <c r="M177" i="4" s="1"/>
  <c r="K55" i="4"/>
  <c r="I57" i="4"/>
  <c r="K19" i="4"/>
  <c r="I177" i="4"/>
  <c r="D178" i="4"/>
  <c r="M178" i="4" s="1"/>
  <c r="K163" i="4"/>
  <c r="I165" i="4"/>
  <c r="K162" i="4"/>
  <c r="K21" i="4"/>
  <c r="J178" i="4"/>
  <c r="I39" i="4"/>
  <c r="K39" i="4" s="1"/>
  <c r="K36" i="4"/>
  <c r="K56" i="4"/>
  <c r="I178" i="4"/>
  <c r="I117" i="4"/>
  <c r="K117" i="4" s="1"/>
  <c r="K114" i="4"/>
  <c r="K28" i="4"/>
  <c r="J165" i="4"/>
  <c r="K170" i="4"/>
  <c r="K164" i="4"/>
  <c r="J22" i="4"/>
  <c r="J31" i="4"/>
  <c r="D57" i="4"/>
  <c r="M57" i="4" s="1"/>
  <c r="J57" i="4"/>
  <c r="I31" i="4"/>
  <c r="D31" i="4"/>
  <c r="M31" i="4" s="1"/>
  <c r="F119" i="3"/>
  <c r="F94" i="3"/>
  <c r="F86" i="3"/>
  <c r="F83" i="3"/>
  <c r="F78" i="3"/>
  <c r="F72" i="3"/>
  <c r="F66" i="3"/>
  <c r="F56" i="3"/>
  <c r="F50" i="3"/>
  <c r="F51" i="3"/>
  <c r="F52" i="3"/>
  <c r="F49" i="3"/>
  <c r="F45" i="3"/>
  <c r="F43" i="3"/>
  <c r="F26" i="3"/>
  <c r="F27" i="3"/>
  <c r="F25" i="3"/>
  <c r="F4" i="3"/>
  <c r="J179" i="4" l="1"/>
  <c r="D179" i="4"/>
  <c r="M179" i="4" s="1"/>
  <c r="K177" i="4"/>
  <c r="K178" i="4"/>
  <c r="K31" i="4"/>
  <c r="K165" i="4"/>
  <c r="K22" i="4"/>
  <c r="K57" i="4"/>
  <c r="I179" i="4"/>
  <c r="K179" i="4" s="1"/>
  <c r="E159" i="4" l="1"/>
  <c r="G159" i="4"/>
  <c r="E47" i="4" l="1"/>
  <c r="G47" i="4"/>
  <c r="E46" i="4"/>
  <c r="G46" i="4"/>
  <c r="E45" i="4"/>
  <c r="G45" i="4"/>
  <c r="G168" i="4" l="1"/>
  <c r="E168" i="4"/>
  <c r="G167" i="4"/>
  <c r="E167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13" i="4"/>
  <c r="E113" i="4"/>
  <c r="G111" i="4"/>
  <c r="E111" i="4"/>
  <c r="G110" i="4"/>
  <c r="E110" i="4"/>
  <c r="G103" i="4"/>
  <c r="E103" i="4"/>
  <c r="G102" i="4"/>
  <c r="E102" i="4"/>
  <c r="G101" i="4"/>
  <c r="E101" i="4"/>
  <c r="G100" i="4"/>
  <c r="E100" i="4"/>
  <c r="G96" i="4"/>
  <c r="E96" i="4"/>
  <c r="G94" i="4"/>
  <c r="E94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62" i="4"/>
  <c r="E62" i="4"/>
  <c r="G61" i="4"/>
  <c r="E61" i="4"/>
  <c r="G59" i="4"/>
  <c r="E59" i="4"/>
  <c r="G44" i="4"/>
  <c r="E44" i="4"/>
  <c r="G43" i="4"/>
  <c r="E43" i="4"/>
  <c r="G42" i="4"/>
  <c r="E42" i="4"/>
  <c r="G41" i="4"/>
  <c r="E41" i="4"/>
  <c r="G35" i="4"/>
  <c r="E35" i="4"/>
  <c r="G34" i="4"/>
  <c r="E34" i="4"/>
  <c r="G33" i="4"/>
  <c r="E33" i="4"/>
  <c r="H27" i="4"/>
  <c r="G26" i="4"/>
  <c r="E26" i="4"/>
  <c r="G25" i="4"/>
  <c r="E25" i="4"/>
  <c r="G24" i="4"/>
  <c r="E24" i="4"/>
  <c r="G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E133" i="4" l="1"/>
  <c r="G114" i="4"/>
  <c r="G117" i="4" s="1"/>
  <c r="G170" i="4"/>
  <c r="E114" i="4"/>
  <c r="E117" i="4" s="1"/>
  <c r="G133" i="4"/>
  <c r="E170" i="4"/>
  <c r="F178" i="4"/>
  <c r="H178" i="4"/>
  <c r="H177" i="4"/>
  <c r="H179" i="4" l="1"/>
  <c r="F177" i="4"/>
  <c r="F179" i="4" s="1"/>
  <c r="G178" i="4" s="1"/>
  <c r="G177" i="4" l="1"/>
</calcChain>
</file>

<file path=xl/sharedStrings.xml><?xml version="1.0" encoding="utf-8"?>
<sst xmlns="http://schemas.openxmlformats.org/spreadsheetml/2006/main" count="2591" uniqueCount="361">
  <si>
    <t>Varietal</t>
  </si>
  <si>
    <t>Source</t>
  </si>
  <si>
    <t>Chardonnay</t>
  </si>
  <si>
    <t>QGV</t>
  </si>
  <si>
    <t>PAT</t>
  </si>
  <si>
    <t>MRT</t>
  </si>
  <si>
    <t>OSO</t>
  </si>
  <si>
    <t>Contract</t>
  </si>
  <si>
    <t>Non-Contract</t>
  </si>
  <si>
    <t>Total</t>
  </si>
  <si>
    <t>F1B2</t>
  </si>
  <si>
    <t>F2B4</t>
  </si>
  <si>
    <t>F2B5</t>
  </si>
  <si>
    <t>Chasselas</t>
  </si>
  <si>
    <t>F3B4</t>
  </si>
  <si>
    <t>Chenin Blanc</t>
  </si>
  <si>
    <t>F4B1</t>
  </si>
  <si>
    <t>Gewurztraminer</t>
  </si>
  <si>
    <t>F5B1</t>
  </si>
  <si>
    <t>Optima</t>
  </si>
  <si>
    <t>F5B2</t>
  </si>
  <si>
    <t>Pinot Blanc</t>
  </si>
  <si>
    <t>F5B3</t>
  </si>
  <si>
    <t>Pinot Gris</t>
  </si>
  <si>
    <t>F5B4</t>
  </si>
  <si>
    <t>Sauvignon Blanc</t>
  </si>
  <si>
    <t>Total White</t>
  </si>
  <si>
    <t>Cabernet Sauvignon</t>
  </si>
  <si>
    <t>Foch</t>
  </si>
  <si>
    <t>F1B7</t>
  </si>
  <si>
    <t>Merlot</t>
  </si>
  <si>
    <t>F2B3</t>
  </si>
  <si>
    <t>F3B3</t>
  </si>
  <si>
    <t>Pinot Noir</t>
  </si>
  <si>
    <t>Syrah</t>
  </si>
  <si>
    <t>Total Red</t>
  </si>
  <si>
    <t>F2B6</t>
  </si>
  <si>
    <t>F1B3</t>
  </si>
  <si>
    <t>B3</t>
  </si>
  <si>
    <t>F5B8/9</t>
  </si>
  <si>
    <t>B1-4</t>
  </si>
  <si>
    <t>Turton</t>
  </si>
  <si>
    <t>Anders</t>
  </si>
  <si>
    <t>Large</t>
  </si>
  <si>
    <t>F1B5</t>
  </si>
  <si>
    <t>F2B9</t>
  </si>
  <si>
    <t>Drought</t>
  </si>
  <si>
    <t>DeRosa</t>
  </si>
  <si>
    <t>Riesling and Icewine</t>
  </si>
  <si>
    <t>F1B4</t>
  </si>
  <si>
    <t>F2B1</t>
  </si>
  <si>
    <t>F2B2</t>
  </si>
  <si>
    <t>F3B1</t>
  </si>
  <si>
    <t>F3B2</t>
  </si>
  <si>
    <t>F3B5</t>
  </si>
  <si>
    <t>B1,2,4</t>
  </si>
  <si>
    <t>F1B6</t>
  </si>
  <si>
    <t>F1B1</t>
  </si>
  <si>
    <t>F4B5</t>
  </si>
  <si>
    <t>F4B6</t>
  </si>
  <si>
    <t>F5B7</t>
  </si>
  <si>
    <t>F4B4</t>
  </si>
  <si>
    <t>Gamay Noir</t>
  </si>
  <si>
    <t>F2B7</t>
  </si>
  <si>
    <t>F2B8</t>
  </si>
  <si>
    <t>F6B1/2</t>
  </si>
  <si>
    <t>F3B6</t>
  </si>
  <si>
    <t>F3B7</t>
  </si>
  <si>
    <t>F3B8</t>
  </si>
  <si>
    <t>F4B2</t>
  </si>
  <si>
    <t>F4B3</t>
  </si>
  <si>
    <t>F4B7</t>
  </si>
  <si>
    <t>F4B8</t>
  </si>
  <si>
    <t>F4B9</t>
  </si>
  <si>
    <t>F4B10</t>
  </si>
  <si>
    <t>F4B11</t>
  </si>
  <si>
    <t>F5B5</t>
  </si>
  <si>
    <t>F5B6</t>
  </si>
  <si>
    <t>2012 Actual</t>
  </si>
  <si>
    <t>Bartel</t>
  </si>
  <si>
    <t>Icewine</t>
  </si>
  <si>
    <t>2011 Actual</t>
  </si>
  <si>
    <t>Acres</t>
  </si>
  <si>
    <t>T/Acr</t>
  </si>
  <si>
    <t>Lease - BFV</t>
  </si>
  <si>
    <t>B2</t>
  </si>
  <si>
    <t>Lease - MAN</t>
  </si>
  <si>
    <t>Constellation</t>
  </si>
  <si>
    <t>B1</t>
  </si>
  <si>
    <t>Lease - MRT</t>
  </si>
  <si>
    <t>B3-5</t>
  </si>
  <si>
    <t>Seven Mtns</t>
  </si>
  <si>
    <t>Greata Ranch</t>
  </si>
  <si>
    <t>Muller Thurgau</t>
  </si>
  <si>
    <t>QG Owned: QG, Boucherie Mountain Vineyards, Patricia, Osoyoos</t>
  </si>
  <si>
    <t>QG Lease - Managed: Mannhardt, Martyna, Blue Fox, Illig, Westpoint</t>
  </si>
  <si>
    <t xml:space="preserve">QG Contracted: Anders, Drought, DeRosa, 7 Mountains, Petretta (Lakeshore), Turton, Large, Greata, Bartel </t>
  </si>
  <si>
    <t xml:space="preserve">Grand Total </t>
  </si>
  <si>
    <t>SHV - Musque</t>
  </si>
  <si>
    <t>Sylvan Heights (SHV)</t>
  </si>
  <si>
    <t>Joyce Prowse</t>
  </si>
  <si>
    <t>Doug Deshner</t>
  </si>
  <si>
    <t>Culos</t>
  </si>
  <si>
    <t>Viognier</t>
  </si>
  <si>
    <t>DCV</t>
  </si>
  <si>
    <t>Update:Oct 13, 2014</t>
  </si>
  <si>
    <t>Tons</t>
  </si>
  <si>
    <t>(T/Acre)</t>
  </si>
  <si>
    <t>Actual (Tons)</t>
  </si>
  <si>
    <t>x</t>
  </si>
  <si>
    <t xml:space="preserve">Sylvan Heights </t>
  </si>
  <si>
    <t>Sylvan Heights  - Musque</t>
  </si>
  <si>
    <t>traded GRV</t>
  </si>
  <si>
    <r>
      <rPr>
        <b/>
        <sz val="11"/>
        <color theme="1"/>
        <rFont val="Calibri"/>
        <family val="2"/>
      </rPr>
      <t>Δ 2013-2014</t>
    </r>
    <r>
      <rPr>
        <b/>
        <sz val="11"/>
        <color theme="1"/>
        <rFont val="Calibri"/>
        <family val="2"/>
        <scheme val="minor"/>
      </rPr>
      <t xml:space="preserve"> </t>
    </r>
  </si>
  <si>
    <t>Peller</t>
  </si>
  <si>
    <t>Total QGV</t>
  </si>
  <si>
    <t xml:space="preserve">Lease </t>
  </si>
  <si>
    <t>Total Contract</t>
  </si>
  <si>
    <t xml:space="preserve">Total </t>
  </si>
  <si>
    <t xml:space="preserve">Total Lease </t>
  </si>
  <si>
    <t>Total Lease</t>
  </si>
  <si>
    <t>Lease</t>
  </si>
  <si>
    <t>Dick Cleave</t>
  </si>
  <si>
    <t>Grand Total Contract</t>
  </si>
  <si>
    <t>Grand Total QG &amp; Lease</t>
  </si>
  <si>
    <t>MAN- Lease</t>
  </si>
  <si>
    <t>Estimated (Tons)</t>
  </si>
  <si>
    <t>Estimated (T/acre)</t>
  </si>
  <si>
    <t>Chass- targetting 7T/acre (maybe 8?)</t>
  </si>
  <si>
    <t>Chenin- tagetting 5T/acre</t>
  </si>
  <si>
    <t>Gew- target 5T/acre, drop growers</t>
  </si>
  <si>
    <t>Pinot blanc- target 5T/acre</t>
  </si>
  <si>
    <t>Pinot gris- target 4-5T/acre</t>
  </si>
  <si>
    <t>Riesling- no icewine, target 4T/acre</t>
  </si>
  <si>
    <t>Drop SHV</t>
  </si>
  <si>
    <t>Merlot- target 3.5-4T/acre</t>
  </si>
  <si>
    <t>Pinot noir- target 3.5-4 T/acre</t>
  </si>
  <si>
    <t>Chd- averaging no more than 5.5T/acre or less</t>
  </si>
  <si>
    <t>2015 Estimated (Tons)</t>
  </si>
  <si>
    <t>Icewine (B4?)</t>
  </si>
  <si>
    <t xml:space="preserve">Red Total </t>
  </si>
  <si>
    <t>White Total</t>
  </si>
  <si>
    <t>Δ Actual - Target</t>
  </si>
  <si>
    <r>
      <t xml:space="preserve">% </t>
    </r>
    <r>
      <rPr>
        <sz val="11"/>
        <color theme="1"/>
        <rFont val="Calibri"/>
        <family val="2"/>
      </rPr>
      <t>Δ Actual-Target</t>
    </r>
  </si>
  <si>
    <t>Contact</t>
  </si>
  <si>
    <t>˚Brix</t>
  </si>
  <si>
    <t>pH</t>
  </si>
  <si>
    <t xml:space="preserve">TA </t>
  </si>
  <si>
    <t>n/a</t>
  </si>
  <si>
    <t>Auxerrious</t>
  </si>
  <si>
    <t>F5B1 Lower</t>
  </si>
  <si>
    <t>F5B1 Upper</t>
  </si>
  <si>
    <t>F5B2 Lower</t>
  </si>
  <si>
    <t>F5B2 Upper</t>
  </si>
  <si>
    <t>F5B3 Lower</t>
  </si>
  <si>
    <t>F5B3 Upper</t>
  </si>
  <si>
    <t>F5B4 Lower</t>
  </si>
  <si>
    <t>F5B4 Upper</t>
  </si>
  <si>
    <t>F2B10</t>
  </si>
  <si>
    <t>Cabernet franc</t>
  </si>
  <si>
    <t xml:space="preserve">Contract </t>
  </si>
  <si>
    <t>(BA)</t>
  </si>
  <si>
    <t>(CLEAN)</t>
  </si>
  <si>
    <t>F2&amp;3</t>
  </si>
  <si>
    <t>tons/acre</t>
  </si>
  <si>
    <t>YAN</t>
  </si>
  <si>
    <t>GDD</t>
  </si>
  <si>
    <t>Gamay Rose</t>
  </si>
  <si>
    <t>PN</t>
  </si>
  <si>
    <t>upper:</t>
  </si>
  <si>
    <t>lower:</t>
  </si>
  <si>
    <t>ROSE</t>
  </si>
  <si>
    <t>Sylvan Heights-M</t>
  </si>
  <si>
    <r>
      <t xml:space="preserve">% </t>
    </r>
    <r>
      <rPr>
        <sz val="8"/>
        <color theme="1"/>
        <rFont val="Calibri"/>
        <family val="2"/>
      </rPr>
      <t>Δ Actual-Target</t>
    </r>
  </si>
  <si>
    <t>White</t>
  </si>
  <si>
    <t>Red</t>
  </si>
  <si>
    <t>Ravaz</t>
  </si>
  <si>
    <t>Avg. Cane</t>
  </si>
  <si>
    <t>wt (g)</t>
  </si>
  <si>
    <t>Drought-Rose</t>
  </si>
  <si>
    <t>Drought-PN</t>
  </si>
  <si>
    <t>upper</t>
  </si>
  <si>
    <t>lower</t>
  </si>
  <si>
    <t>F6B1</t>
  </si>
  <si>
    <t>F6B2</t>
  </si>
  <si>
    <t>F1B3 (Clean)</t>
  </si>
  <si>
    <t>F1B3 (BA)</t>
  </si>
  <si>
    <t>UPPER</t>
  </si>
  <si>
    <t>LOWER</t>
  </si>
  <si>
    <t>Westpoint</t>
  </si>
  <si>
    <t>Blocks 1-4</t>
  </si>
  <si>
    <t>Illig</t>
  </si>
  <si>
    <t>Block 7</t>
  </si>
  <si>
    <t>Block 1</t>
  </si>
  <si>
    <t>Westpoint- PM</t>
  </si>
  <si>
    <t>Westpoint- PN</t>
  </si>
  <si>
    <t>Ehrenfelser</t>
  </si>
  <si>
    <t>Lease- MAN</t>
  </si>
  <si>
    <t>Varietal Totals</t>
  </si>
  <si>
    <t>Straw</t>
  </si>
  <si>
    <t>Estimate (Tons)</t>
  </si>
  <si>
    <t>Lease- Westpoint</t>
  </si>
  <si>
    <t>Exchange Fruit</t>
  </si>
  <si>
    <t>Lease- Illig</t>
  </si>
  <si>
    <t>O'Rourke Vineyards</t>
  </si>
  <si>
    <t>Blue Sky Vineyards</t>
  </si>
  <si>
    <t>Phantom Creek</t>
  </si>
  <si>
    <t>F2B4/5</t>
  </si>
  <si>
    <t>F2B7/8/9</t>
  </si>
  <si>
    <t>F3B5/6/7</t>
  </si>
  <si>
    <t>F4B7/8/9</t>
  </si>
  <si>
    <t>F5B5/6 (lower + upper)</t>
  </si>
  <si>
    <t>F5B1/2/3/4 (lower and upper)</t>
  </si>
  <si>
    <t>F7B4</t>
  </si>
  <si>
    <t>F7B5</t>
  </si>
  <si>
    <t>F7B3</t>
  </si>
  <si>
    <t>F8B1/2</t>
  </si>
  <si>
    <t>F8B3</t>
  </si>
  <si>
    <t>F8B4</t>
  </si>
  <si>
    <t>F8B5</t>
  </si>
  <si>
    <t>F8B6</t>
  </si>
  <si>
    <t>F8B7</t>
  </si>
  <si>
    <t>F8B8/9</t>
  </si>
  <si>
    <t>F9B1/2</t>
  </si>
  <si>
    <t>F9B3</t>
  </si>
  <si>
    <t>F9B5</t>
  </si>
  <si>
    <t>Actual Short Tons 2016</t>
  </si>
  <si>
    <t>Estimate (Metric Tons)</t>
  </si>
  <si>
    <t>Estimate Short Tons 2017</t>
  </si>
  <si>
    <t>~10 T to Icewine</t>
  </si>
  <si>
    <t>CODE NAME</t>
  </si>
  <si>
    <t>17CHF1B2</t>
  </si>
  <si>
    <t>17CHF2B4/5</t>
  </si>
  <si>
    <t>17CHF3B4</t>
  </si>
  <si>
    <t>17CHF4B1</t>
  </si>
  <si>
    <t>17CHMANF8B4</t>
  </si>
  <si>
    <t>17CHWPB1 + 17CHWPB2 + 17CHWPB3 + 17CHWPB4</t>
  </si>
  <si>
    <t>17CAF1B7</t>
  </si>
  <si>
    <t>17CAF2B3</t>
  </si>
  <si>
    <t>17CAMANF9B3</t>
  </si>
  <si>
    <t>17CBF2B6</t>
  </si>
  <si>
    <t>17CBMANF7B3</t>
  </si>
  <si>
    <t>17CBOSO</t>
  </si>
  <si>
    <t>17GTF5B8/9</t>
  </si>
  <si>
    <t>17GTMANF8B5</t>
  </si>
  <si>
    <t>17GTPAT</t>
  </si>
  <si>
    <t>17GTMRT</t>
  </si>
  <si>
    <t>17GTTUR</t>
  </si>
  <si>
    <t>17GTAND</t>
  </si>
  <si>
    <t>17GTLRG</t>
  </si>
  <si>
    <t>17OPCLEAN</t>
  </si>
  <si>
    <t>17OPBA</t>
  </si>
  <si>
    <t>17PBF1B5</t>
  </si>
  <si>
    <t>17PBMANF8B3</t>
  </si>
  <si>
    <t>17PBIL</t>
  </si>
  <si>
    <t>17PBGR</t>
  </si>
  <si>
    <t>17PGIL</t>
  </si>
  <si>
    <t>17PGWPB8</t>
  </si>
  <si>
    <t>Block 8</t>
  </si>
  <si>
    <t>17PGAND</t>
  </si>
  <si>
    <t>17PGDRO</t>
  </si>
  <si>
    <t>17PGDER</t>
  </si>
  <si>
    <t>17PGSMV</t>
  </si>
  <si>
    <t>17GTSMV</t>
  </si>
  <si>
    <t>17PGBAR</t>
  </si>
  <si>
    <t>17RIF1B4</t>
  </si>
  <si>
    <t>17RIMANF8B6</t>
  </si>
  <si>
    <t>17RIMANF9B1+ 17RIMANF9B2</t>
  </si>
  <si>
    <t>17RIMANF8B1 + 17RIMANF8B2</t>
  </si>
  <si>
    <t>17RIMANF9B5</t>
  </si>
  <si>
    <t>17RIMRT</t>
  </si>
  <si>
    <t>17RIIWMRT</t>
  </si>
  <si>
    <t>17SBF1B6</t>
  </si>
  <si>
    <t>17VIORV</t>
  </si>
  <si>
    <t>17VIBSV</t>
  </si>
  <si>
    <t>17EHMAN</t>
  </si>
  <si>
    <t>17CFBSV</t>
  </si>
  <si>
    <t>17CSF1B1</t>
  </si>
  <si>
    <t>17CSF4B5</t>
  </si>
  <si>
    <t>17CSF4B6</t>
  </si>
  <si>
    <t>17CSF5B7</t>
  </si>
  <si>
    <t>17CSBSV</t>
  </si>
  <si>
    <t>17CSPCV</t>
  </si>
  <si>
    <t>17FOF3B2</t>
  </si>
  <si>
    <t>17FOF4B4</t>
  </si>
  <si>
    <t>17FOMAN</t>
  </si>
  <si>
    <t>17FOOSO</t>
  </si>
  <si>
    <t>17GADRO</t>
  </si>
  <si>
    <t>17GASHV</t>
  </si>
  <si>
    <t>17CHSHV</t>
  </si>
  <si>
    <t>17CHSHVMUS</t>
  </si>
  <si>
    <t>17MEF1B1</t>
  </si>
  <si>
    <t>17MEF2B2</t>
  </si>
  <si>
    <t>17MEF2B7/8/9</t>
  </si>
  <si>
    <t>17MEPCV</t>
  </si>
  <si>
    <t>17PNF3B1</t>
  </si>
  <si>
    <t>17PNF3B3</t>
  </si>
  <si>
    <t>17PNF3B5 + 17PNF3B6 +17PNF3B7 + 17PNF3B8</t>
  </si>
  <si>
    <t>17PNF3B8</t>
  </si>
  <si>
    <t>17PNF4B2</t>
  </si>
  <si>
    <t>17PNF4B3</t>
  </si>
  <si>
    <t>17PNF4B10</t>
  </si>
  <si>
    <t>17PNF4B11</t>
  </si>
  <si>
    <t>17PNMANF7B4</t>
  </si>
  <si>
    <t>17PNMANF8B7</t>
  </si>
  <si>
    <t>17PNWPB5 +17PNWPB6</t>
  </si>
  <si>
    <t>17PMWPB7</t>
  </si>
  <si>
    <t>17PNDRO</t>
  </si>
  <si>
    <t>17PNAND</t>
  </si>
  <si>
    <t>17PNDER</t>
  </si>
  <si>
    <t>17SYF2B1</t>
  </si>
  <si>
    <t>17SYOSO</t>
  </si>
  <si>
    <t>17SYBSV</t>
  </si>
  <si>
    <t>17CHBFVB2</t>
  </si>
  <si>
    <t>17CHPEL</t>
  </si>
  <si>
    <t>17CABFVB1</t>
  </si>
  <si>
    <t>17MEF6B1/2</t>
  </si>
  <si>
    <t>BX</t>
  </si>
  <si>
    <t>TA</t>
  </si>
  <si>
    <t>PH</t>
  </si>
  <si>
    <t>DATE PICKED</t>
  </si>
  <si>
    <t>17CHF5B1+4 low</t>
  </si>
  <si>
    <t>17CHF5B2+3 low</t>
  </si>
  <si>
    <t>17CHF5 upper</t>
  </si>
  <si>
    <t>17PNMANF8B9</t>
  </si>
  <si>
    <t>17PNMANF8B8</t>
  </si>
  <si>
    <t>17PNF4B7</t>
  </si>
  <si>
    <t>17PNF4B9</t>
  </si>
  <si>
    <t>17PNF4B8</t>
  </si>
  <si>
    <t>3.933T T to Phantom Creek</t>
  </si>
  <si>
    <t>10.342 T to CedarCreek</t>
  </si>
  <si>
    <t>4.046 T to Phantom Creek</t>
  </si>
  <si>
    <t>17PNMAN828F7B5/F8B10</t>
  </si>
  <si>
    <t>1.5 T to Fitzpatrick</t>
  </si>
  <si>
    <t>17PNF5UP</t>
  </si>
  <si>
    <t>17PNF5LOW</t>
  </si>
  <si>
    <t>3.795 T to Fitzpatrick</t>
  </si>
  <si>
    <t>5.468 T to Phantom Creek</t>
  </si>
  <si>
    <t>Actual short T</t>
  </si>
  <si>
    <t>Actual T (metric)</t>
  </si>
  <si>
    <t>Corbishly Vineyards</t>
  </si>
  <si>
    <t>Phantom Creek (Sundial)</t>
  </si>
  <si>
    <t>TOTAL</t>
  </si>
  <si>
    <t>Trade/Sell</t>
  </si>
  <si>
    <t>Trade: 10T Greata</t>
  </si>
  <si>
    <t>Metric T</t>
  </si>
  <si>
    <t>Short T</t>
  </si>
  <si>
    <t>Lease- Bannister</t>
  </si>
  <si>
    <t>Blk 1</t>
  </si>
  <si>
    <t>Jagger Rock - Similkameen</t>
  </si>
  <si>
    <t>Fournier - Black Sage</t>
  </si>
  <si>
    <t>Trade: 5T Greata</t>
  </si>
  <si>
    <t>Actual (Metric Tons)</t>
  </si>
  <si>
    <t>% of Est.</t>
  </si>
  <si>
    <t>(1.8,3.4,3.3,2,6)</t>
  </si>
  <si>
    <t>Actual (Short Tons)</t>
  </si>
  <si>
    <t>Crop Insurance</t>
  </si>
  <si>
    <t>Trade: 9.868 Metric T Ph Ck</t>
  </si>
  <si>
    <t>QGV- BMV</t>
  </si>
  <si>
    <t>Metric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</si>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</sst>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6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9" fontId="8" fillId="0" borderId="0" applyFont="0" applyFill="0" applyBorder="0" applyAlignment="0" applyProtection="0"/>
    <xf numFmtId="0" fontId="9" fillId="0" borderId="0"/>
    <xf numFmtId="0" fontId="1" fillId="0" borderId="0" applyNumberFormat="0" applyFill="0" applyBorder="0" applyAlignment="0" applyProtection="0"/>
  </cellStyleXfs>
  <cellXfs count="767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5" xfId="0" applyFont="1" applyBorder="1"/>
    <xf numFmtId="164" fontId="0" fillId="0" borderId="0" xfId="0" applyNumberFormat="1" applyFont="1"/>
    <xf numFmtId="0" fontId="3" fillId="0" borderId="0" xfId="0" applyFont="1" applyFill="1" applyBorder="1" applyAlignment="1">
      <alignment vertical="center"/>
    </xf>
    <xf numFmtId="0" fontId="2" fillId="0" borderId="3" xfId="0" applyFont="1" applyBorder="1"/>
    <xf numFmtId="164" fontId="3" fillId="2" borderId="8" xfId="0" applyNumberFormat="1" applyFont="1" applyFill="1" applyBorder="1" applyAlignment="1">
      <alignment horizontal="center" vertical="center"/>
    </xf>
    <xf numFmtId="0" fontId="0" fillId="0" borderId="3" xfId="0" applyFont="1" applyBorder="1"/>
    <xf numFmtId="164" fontId="2" fillId="0" borderId="10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/>
    <xf numFmtId="164" fontId="0" fillId="2" borderId="1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164" fontId="6" fillId="2" borderId="9" xfId="0" applyNumberFormat="1" applyFont="1" applyFill="1" applyBorder="1" applyAlignment="1">
      <alignment horizontal="center" vertical="center"/>
    </xf>
    <xf numFmtId="0" fontId="0" fillId="0" borderId="2" xfId="0" applyFont="1" applyBorder="1"/>
    <xf numFmtId="9" fontId="2" fillId="0" borderId="3" xfId="2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9" fontId="2" fillId="0" borderId="3" xfId="2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0" fillId="0" borderId="3" xfId="0" applyFont="1" applyBorder="1" applyAlignment="1">
      <alignment horizontal="center"/>
    </xf>
    <xf numFmtId="165" fontId="0" fillId="0" borderId="4" xfId="2" applyNumberFormat="1" applyFont="1" applyBorder="1" applyAlignment="1">
      <alignment horizontal="left" vertical="center"/>
    </xf>
    <xf numFmtId="165" fontId="3" fillId="0" borderId="4" xfId="2" applyNumberFormat="1" applyFont="1" applyBorder="1" applyAlignment="1">
      <alignment horizontal="left" vertical="center"/>
    </xf>
    <xf numFmtId="165" fontId="10" fillId="0" borderId="6" xfId="2" applyNumberFormat="1" applyFont="1" applyBorder="1" applyAlignment="1">
      <alignment horizontal="left" vertical="center"/>
    </xf>
    <xf numFmtId="164" fontId="6" fillId="2" borderId="0" xfId="0" applyNumberFormat="1" applyFont="1" applyFill="1" applyBorder="1" applyAlignment="1">
      <alignment horizontal="center" vertical="center"/>
    </xf>
    <xf numFmtId="165" fontId="10" fillId="0" borderId="0" xfId="2" applyNumberFormat="1" applyFont="1" applyBorder="1" applyAlignment="1">
      <alignment horizontal="left" vertical="center"/>
    </xf>
    <xf numFmtId="164" fontId="6" fillId="2" borderId="11" xfId="0" applyNumberFormat="1" applyFont="1" applyFill="1" applyBorder="1" applyAlignment="1">
      <alignment horizontal="center" vertical="center"/>
    </xf>
    <xf numFmtId="165" fontId="10" fillId="0" borderId="3" xfId="2" applyNumberFormat="1" applyFont="1" applyBorder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2" fillId="2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Border="1" applyAlignment="1">
      <alignment vertical="center"/>
    </xf>
    <xf numFmtId="164" fontId="2" fillId="0" borderId="0" xfId="0" applyNumberFormat="1" applyFont="1" applyBorder="1" applyAlignment="1">
      <alignment horizontal="center"/>
    </xf>
    <xf numFmtId="9" fontId="0" fillId="0" borderId="0" xfId="2" applyFont="1" applyAlignment="1">
      <alignment horizontal="center"/>
    </xf>
    <xf numFmtId="9" fontId="2" fillId="0" borderId="0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/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0" fontId="6" fillId="0" borderId="0" xfId="0" applyFont="1" applyFill="1"/>
    <xf numFmtId="2" fontId="0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2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vertical="center"/>
    </xf>
    <xf numFmtId="164" fontId="6" fillId="6" borderId="13" xfId="0" applyNumberFormat="1" applyFont="1" applyFill="1" applyBorder="1" applyAlignment="1">
      <alignment horizontal="center" vertical="center"/>
    </xf>
    <xf numFmtId="164" fontId="6" fillId="6" borderId="14" xfId="0" applyNumberFormat="1" applyFont="1" applyFill="1" applyBorder="1" applyAlignment="1">
      <alignment horizontal="center" vertical="center"/>
    </xf>
    <xf numFmtId="164" fontId="2" fillId="6" borderId="8" xfId="0" applyNumberFormat="1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164" fontId="3" fillId="2" borderId="15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0" fillId="2" borderId="17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164" fontId="0" fillId="6" borderId="18" xfId="0" applyNumberFormat="1" applyFont="1" applyFill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164" fontId="4" fillId="6" borderId="18" xfId="0" applyNumberFormat="1" applyFont="1" applyFill="1" applyBorder="1" applyAlignment="1">
      <alignment horizontal="center" vertical="center"/>
    </xf>
    <xf numFmtId="164" fontId="2" fillId="6" borderId="18" xfId="0" applyNumberFormat="1" applyFont="1" applyFill="1" applyBorder="1" applyAlignment="1">
      <alignment vertical="center"/>
    </xf>
    <xf numFmtId="164" fontId="2" fillId="6" borderId="18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vertical="center"/>
    </xf>
    <xf numFmtId="164" fontId="0" fillId="6" borderId="13" xfId="0" applyNumberFormat="1" applyFont="1" applyFill="1" applyBorder="1" applyAlignment="1">
      <alignment horizontal="center" vertical="center"/>
    </xf>
    <xf numFmtId="0" fontId="0" fillId="6" borderId="18" xfId="0" applyFont="1" applyFill="1" applyBorder="1"/>
    <xf numFmtId="164" fontId="6" fillId="0" borderId="3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64" fontId="0" fillId="0" borderId="3" xfId="0" applyNumberFormat="1" applyFont="1" applyBorder="1" applyAlignment="1">
      <alignment horizontal="center"/>
    </xf>
    <xf numFmtId="2" fontId="0" fillId="6" borderId="18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4" fillId="7" borderId="0" xfId="0" applyFont="1" applyFill="1"/>
    <xf numFmtId="164" fontId="0" fillId="7" borderId="1" xfId="0" applyNumberFormat="1" applyFont="1" applyFill="1" applyBorder="1" applyAlignment="1">
      <alignment horizontal="center" vertical="center"/>
    </xf>
    <xf numFmtId="2" fontId="4" fillId="6" borderId="18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2" fontId="4" fillId="7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vertical="center"/>
    </xf>
    <xf numFmtId="0" fontId="4" fillId="0" borderId="0" xfId="0" applyFont="1" applyFill="1"/>
    <xf numFmtId="2" fontId="6" fillId="0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3" xfId="0" applyFont="1" applyFill="1" applyBorder="1"/>
    <xf numFmtId="2" fontId="6" fillId="0" borderId="1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2" fillId="0" borderId="5" xfId="0" applyFont="1" applyFill="1" applyBorder="1" applyAlignment="1">
      <alignment vertical="center"/>
    </xf>
    <xf numFmtId="2" fontId="0" fillId="6" borderId="12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6" borderId="13" xfId="0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6" fillId="6" borderId="18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6" borderId="14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6" borderId="18" xfId="0" applyNumberFormat="1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6" fillId="0" borderId="16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2" fontId="6" fillId="6" borderId="13" xfId="0" applyNumberFormat="1" applyFont="1" applyFill="1" applyBorder="1" applyAlignment="1">
      <alignment horizontal="center" vertical="center"/>
    </xf>
    <xf numFmtId="2" fontId="6" fillId="6" borderId="14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2" fontId="4" fillId="0" borderId="2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6" borderId="12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2" borderId="21" xfId="0" applyNumberFormat="1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6" borderId="12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6" fillId="3" borderId="0" xfId="0" applyFont="1" applyFill="1"/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4" borderId="19" xfId="0" applyNumberFormat="1" applyFont="1" applyFill="1" applyBorder="1" applyAlignment="1">
      <alignment horizontal="center" vertical="center"/>
    </xf>
    <xf numFmtId="2" fontId="6" fillId="4" borderId="19" xfId="0" applyNumberFormat="1" applyFont="1" applyFill="1" applyBorder="1" applyAlignment="1">
      <alignment horizontal="center" vertical="center"/>
    </xf>
    <xf numFmtId="2" fontId="2" fillId="4" borderId="20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/>
    </xf>
    <xf numFmtId="0" fontId="0" fillId="0" borderId="0" xfId="0" applyFill="1"/>
    <xf numFmtId="2" fontId="0" fillId="0" borderId="18" xfId="0" applyNumberFormat="1" applyFill="1" applyBorder="1"/>
    <xf numFmtId="164" fontId="4" fillId="0" borderId="18" xfId="0" applyNumberFormat="1" applyFont="1" applyFill="1" applyBorder="1" applyAlignment="1">
      <alignment horizontal="center" vertical="center"/>
    </xf>
    <xf numFmtId="0" fontId="0" fillId="0" borderId="18" xfId="0" applyFill="1" applyBorder="1"/>
    <xf numFmtId="164" fontId="0" fillId="0" borderId="18" xfId="0" applyNumberFormat="1" applyFill="1" applyBorder="1" applyAlignment="1">
      <alignment horizontal="center" vertical="center"/>
    </xf>
    <xf numFmtId="2" fontId="0" fillId="0" borderId="18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/>
    </xf>
    <xf numFmtId="0" fontId="6" fillId="0" borderId="3" xfId="0" applyFont="1" applyBorder="1" applyAlignment="1">
      <alignment vertical="center"/>
    </xf>
    <xf numFmtId="2" fontId="4" fillId="0" borderId="18" xfId="0" applyNumberFormat="1" applyFont="1" applyFill="1" applyBorder="1" applyAlignment="1">
      <alignment horizontal="center"/>
    </xf>
    <xf numFmtId="0" fontId="6" fillId="0" borderId="18" xfId="0" applyFont="1" applyFill="1" applyBorder="1" applyAlignment="1">
      <alignment vertical="center"/>
    </xf>
    <xf numFmtId="0" fontId="4" fillId="0" borderId="3" xfId="0" applyFont="1" applyBorder="1"/>
    <xf numFmtId="0" fontId="4" fillId="0" borderId="3" xfId="0" applyFont="1" applyFill="1" applyBorder="1"/>
    <xf numFmtId="0" fontId="6" fillId="0" borderId="3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2" fontId="4" fillId="0" borderId="18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4" fillId="0" borderId="13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2" xfId="0" applyFont="1" applyBorder="1"/>
    <xf numFmtId="0" fontId="6" fillId="0" borderId="1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4" fillId="0" borderId="13" xfId="0" applyNumberFormat="1" applyFont="1" applyFill="1" applyBorder="1" applyAlignment="1">
      <alignment horizontal="center" vertical="center"/>
    </xf>
    <xf numFmtId="2" fontId="6" fillId="6" borderId="12" xfId="0" applyNumberFormat="1" applyFont="1" applyFill="1" applyBorder="1" applyAlignment="1">
      <alignment horizontal="center" vertical="center"/>
    </xf>
    <xf numFmtId="2" fontId="4" fillId="6" borderId="18" xfId="0" applyNumberFormat="1" applyFon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vertical="center"/>
    </xf>
    <xf numFmtId="0" fontId="6" fillId="6" borderId="13" xfId="0" applyFont="1" applyFill="1" applyBorder="1" applyAlignment="1">
      <alignment vertical="center"/>
    </xf>
    <xf numFmtId="0" fontId="6" fillId="6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0" fillId="6" borderId="18" xfId="0" applyFill="1" applyBorder="1"/>
    <xf numFmtId="1" fontId="6" fillId="6" borderId="18" xfId="0" applyNumberFormat="1" applyFont="1" applyFill="1" applyBorder="1" applyAlignment="1">
      <alignment horizontal="center" vertical="center"/>
    </xf>
    <xf numFmtId="1" fontId="6" fillId="0" borderId="18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0" fillId="6" borderId="18" xfId="0" applyNumberFormat="1" applyFont="1" applyFill="1" applyBorder="1" applyAlignment="1">
      <alignment horizontal="center"/>
    </xf>
    <xf numFmtId="0" fontId="2" fillId="6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6" borderId="18" xfId="0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9" fontId="0" fillId="6" borderId="18" xfId="2" applyFont="1" applyFill="1" applyBorder="1"/>
    <xf numFmtId="164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8" borderId="0" xfId="0" applyNumberFormat="1" applyFill="1"/>
    <xf numFmtId="0" fontId="0" fillId="11" borderId="0" xfId="0" applyFill="1"/>
    <xf numFmtId="0" fontId="0" fillId="6" borderId="12" xfId="0" applyFill="1" applyBorder="1"/>
    <xf numFmtId="164" fontId="2" fillId="0" borderId="0" xfId="0" applyNumberFormat="1" applyFont="1"/>
    <xf numFmtId="0" fontId="0" fillId="0" borderId="18" xfId="0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0" fontId="0" fillId="0" borderId="18" xfId="2" applyNumberFormat="1" applyFont="1" applyFill="1" applyBorder="1"/>
    <xf numFmtId="0" fontId="0" fillId="6" borderId="18" xfId="2" applyNumberFormat="1" applyFont="1" applyFill="1" applyBorder="1"/>
    <xf numFmtId="9" fontId="0" fillId="12" borderId="18" xfId="2" applyFont="1" applyFill="1" applyBorder="1"/>
    <xf numFmtId="9" fontId="0" fillId="11" borderId="18" xfId="2" applyFont="1" applyFill="1" applyBorder="1"/>
    <xf numFmtId="0" fontId="2" fillId="0" borderId="0" xfId="0" applyFont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2" fillId="0" borderId="16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1" xfId="0" applyFont="1" applyFill="1" applyBorder="1"/>
    <xf numFmtId="0" fontId="4" fillId="0" borderId="2" xfId="0" applyFont="1" applyBorder="1"/>
    <xf numFmtId="0" fontId="4" fillId="0" borderId="2" xfId="0" applyFont="1" applyFill="1" applyBorder="1" applyAlignment="1">
      <alignment horizontal="center" vertical="center"/>
    </xf>
    <xf numFmtId="164" fontId="4" fillId="6" borderId="1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0" fontId="0" fillId="11" borderId="2" xfId="0" applyFill="1" applyBorder="1"/>
    <xf numFmtId="0" fontId="0" fillId="6" borderId="12" xfId="0" applyFill="1" applyBorder="1" applyAlignment="1">
      <alignment horizontal="center"/>
    </xf>
    <xf numFmtId="9" fontId="0" fillId="12" borderId="12" xfId="2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2" fillId="0" borderId="1" xfId="0" applyNumberFormat="1" applyFont="1" applyFill="1" applyBorder="1"/>
    <xf numFmtId="0" fontId="2" fillId="0" borderId="1" xfId="0" applyFont="1" applyFill="1" applyBorder="1"/>
    <xf numFmtId="0" fontId="13" fillId="6" borderId="18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6" borderId="1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18" xfId="0" applyFont="1" applyFill="1" applyBorder="1"/>
    <xf numFmtId="0" fontId="15" fillId="6" borderId="18" xfId="0" applyFont="1" applyFill="1" applyBorder="1"/>
    <xf numFmtId="0" fontId="14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2" fontId="15" fillId="0" borderId="1" xfId="0" applyNumberFormat="1" applyFont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2" fontId="15" fillId="0" borderId="1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9" fontId="15" fillId="6" borderId="18" xfId="2" applyFont="1" applyFill="1" applyBorder="1"/>
    <xf numFmtId="0" fontId="15" fillId="9" borderId="0" xfId="0" applyFont="1" applyFill="1"/>
    <xf numFmtId="0" fontId="15" fillId="0" borderId="0" xfId="0" applyFont="1" applyFill="1"/>
    <xf numFmtId="2" fontId="15" fillId="6" borderId="18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164" fontId="15" fillId="0" borderId="1" xfId="0" applyNumberFormat="1" applyFont="1" applyBorder="1" applyAlignment="1">
      <alignment horizontal="center" vertical="center"/>
    </xf>
    <xf numFmtId="0" fontId="15" fillId="11" borderId="0" xfId="0" applyFont="1" applyFill="1"/>
    <xf numFmtId="0" fontId="17" fillId="0" borderId="0" xfId="0" applyFont="1"/>
    <xf numFmtId="0" fontId="18" fillId="0" borderId="0" xfId="0" applyFont="1" applyFill="1" applyBorder="1" applyAlignment="1">
      <alignment vertical="center"/>
    </xf>
    <xf numFmtId="0" fontId="19" fillId="0" borderId="3" xfId="0" applyFont="1" applyFill="1" applyBorder="1"/>
    <xf numFmtId="2" fontId="19" fillId="0" borderId="10" xfId="0" applyNumberFormat="1" applyFont="1" applyFill="1" applyBorder="1" applyAlignment="1">
      <alignment horizontal="center" vertical="center"/>
    </xf>
    <xf numFmtId="9" fontId="15" fillId="12" borderId="18" xfId="2" applyFont="1" applyFill="1" applyBorder="1"/>
    <xf numFmtId="0" fontId="19" fillId="0" borderId="0" xfId="0" applyFont="1" applyFill="1"/>
    <xf numFmtId="2" fontId="19" fillId="0" borderId="1" xfId="0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2" fontId="19" fillId="0" borderId="7" xfId="0" applyNumberFormat="1" applyFont="1" applyFill="1" applyBorder="1" applyAlignment="1">
      <alignment horizontal="center" vertical="center"/>
    </xf>
    <xf numFmtId="2" fontId="15" fillId="6" borderId="18" xfId="0" applyNumberFormat="1" applyFont="1" applyFill="1" applyBorder="1"/>
    <xf numFmtId="0" fontId="19" fillId="0" borderId="0" xfId="0" applyFont="1" applyFill="1" applyBorder="1" applyAlignment="1">
      <alignment vertical="center"/>
    </xf>
    <xf numFmtId="2" fontId="19" fillId="0" borderId="0" xfId="0" applyNumberFormat="1" applyFont="1" applyFill="1" applyBorder="1" applyAlignment="1">
      <alignment horizontal="center" vertical="center"/>
    </xf>
    <xf numFmtId="0" fontId="15" fillId="0" borderId="3" xfId="0" applyFont="1" applyBorder="1"/>
    <xf numFmtId="0" fontId="15" fillId="0" borderId="18" xfId="2" applyNumberFormat="1" applyFont="1" applyFill="1" applyBorder="1"/>
    <xf numFmtId="2" fontId="15" fillId="0" borderId="1" xfId="0" applyNumberFormat="1" applyFont="1" applyFill="1" applyBorder="1" applyAlignment="1">
      <alignment horizontal="center" vertical="center"/>
    </xf>
    <xf numFmtId="0" fontId="15" fillId="8" borderId="0" xfId="0" applyFont="1" applyFill="1"/>
    <xf numFmtId="2" fontId="15" fillId="0" borderId="1" xfId="0" applyNumberFormat="1" applyFont="1" applyBorder="1" applyAlignment="1">
      <alignment horizontal="center" vertical="center"/>
    </xf>
    <xf numFmtId="0" fontId="15" fillId="0" borderId="0" xfId="0" applyFont="1" applyFill="1" applyBorder="1"/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vertical="center"/>
    </xf>
    <xf numFmtId="2" fontId="14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5" fillId="6" borderId="18" xfId="2" applyNumberFormat="1" applyFont="1" applyFill="1" applyBorder="1"/>
    <xf numFmtId="9" fontId="15" fillId="11" borderId="18" xfId="2" applyFont="1" applyFill="1" applyBorder="1"/>
    <xf numFmtId="2" fontId="14" fillId="0" borderId="3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2" fontId="17" fillId="0" borderId="1" xfId="0" applyNumberFormat="1" applyFont="1" applyBorder="1" applyAlignment="1">
      <alignment horizontal="center" vertical="center"/>
    </xf>
    <xf numFmtId="2" fontId="19" fillId="0" borderId="3" xfId="0" applyNumberFormat="1" applyFont="1" applyFill="1" applyBorder="1" applyAlignment="1">
      <alignment horizontal="center" vertical="center"/>
    </xf>
    <xf numFmtId="0" fontId="19" fillId="0" borderId="0" xfId="0" applyFont="1"/>
    <xf numFmtId="2" fontId="19" fillId="0" borderId="5" xfId="0" applyNumberFormat="1" applyFont="1" applyFill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0" fontId="15" fillId="10" borderId="0" xfId="0" applyFont="1" applyFill="1"/>
    <xf numFmtId="2" fontId="19" fillId="0" borderId="10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2" fontId="17" fillId="0" borderId="21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4" fillId="0" borderId="2" xfId="0" applyFont="1" applyBorder="1"/>
    <xf numFmtId="0" fontId="15" fillId="0" borderId="2" xfId="0" applyFont="1" applyBorder="1" applyAlignment="1">
      <alignment vertical="center"/>
    </xf>
    <xf numFmtId="2" fontId="15" fillId="0" borderId="21" xfId="0" applyNumberFormat="1" applyFont="1" applyBorder="1" applyAlignment="1">
      <alignment horizontal="center" vertical="center"/>
    </xf>
    <xf numFmtId="0" fontId="15" fillId="0" borderId="0" xfId="0" applyFont="1" applyBorder="1"/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4" fillId="0" borderId="3" xfId="0" applyFont="1" applyBorder="1"/>
    <xf numFmtId="0" fontId="14" fillId="0" borderId="3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center" vertical="center"/>
    </xf>
    <xf numFmtId="0" fontId="14" fillId="0" borderId="0" xfId="0" applyFont="1" applyBorder="1"/>
    <xf numFmtId="0" fontId="17" fillId="0" borderId="0" xfId="0" applyFont="1" applyBorder="1"/>
    <xf numFmtId="0" fontId="17" fillId="0" borderId="0" xfId="0" applyFont="1" applyFill="1" applyBorder="1" applyAlignment="1">
      <alignment horizontal="center" vertical="center"/>
    </xf>
    <xf numFmtId="0" fontId="17" fillId="0" borderId="3" xfId="0" applyFont="1" applyBorder="1"/>
    <xf numFmtId="0" fontId="17" fillId="0" borderId="3" xfId="0" applyFont="1" applyFill="1" applyBorder="1" applyAlignment="1">
      <alignment horizontal="center" vertical="center"/>
    </xf>
    <xf numFmtId="0" fontId="15" fillId="11" borderId="3" xfId="0" applyFont="1" applyFill="1" applyBorder="1"/>
    <xf numFmtId="0" fontId="15" fillId="6" borderId="13" xfId="0" applyFont="1" applyFill="1" applyBorder="1" applyAlignment="1">
      <alignment horizontal="center"/>
    </xf>
    <xf numFmtId="0" fontId="15" fillId="6" borderId="13" xfId="0" applyFont="1" applyFill="1" applyBorder="1"/>
    <xf numFmtId="0" fontId="17" fillId="0" borderId="2" xfId="0" applyFont="1" applyBorder="1"/>
    <xf numFmtId="0" fontId="17" fillId="0" borderId="2" xfId="0" applyFont="1" applyFill="1" applyBorder="1" applyAlignment="1">
      <alignment horizontal="center" vertical="center"/>
    </xf>
    <xf numFmtId="0" fontId="15" fillId="11" borderId="2" xfId="0" applyFont="1" applyFill="1" applyBorder="1"/>
    <xf numFmtId="0" fontId="15" fillId="6" borderId="12" xfId="0" applyFont="1" applyFill="1" applyBorder="1" applyAlignment="1">
      <alignment horizontal="center"/>
    </xf>
    <xf numFmtId="9" fontId="15" fillId="12" borderId="12" xfId="2" applyFont="1" applyFill="1" applyBorder="1"/>
    <xf numFmtId="0" fontId="15" fillId="6" borderId="12" xfId="0" applyFont="1" applyFill="1" applyBorder="1"/>
    <xf numFmtId="0" fontId="15" fillId="0" borderId="2" xfId="0" applyFont="1" applyBorder="1"/>
    <xf numFmtId="164" fontId="15" fillId="0" borderId="0" xfId="0" applyNumberFormat="1" applyFont="1"/>
    <xf numFmtId="164" fontId="15" fillId="8" borderId="0" xfId="0" applyNumberFormat="1" applyFont="1" applyFill="1"/>
    <xf numFmtId="164" fontId="15" fillId="6" borderId="18" xfId="0" applyNumberFormat="1" applyFont="1" applyFill="1" applyBorder="1"/>
    <xf numFmtId="2" fontId="15" fillId="0" borderId="3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vertical="center"/>
    </xf>
    <xf numFmtId="2" fontId="14" fillId="0" borderId="3" xfId="0" applyNumberFormat="1" applyFont="1" applyBorder="1" applyAlignment="1">
      <alignment horizontal="center"/>
    </xf>
    <xf numFmtId="2" fontId="15" fillId="0" borderId="15" xfId="0" applyNumberFormat="1" applyFont="1" applyFill="1" applyBorder="1" applyAlignment="1">
      <alignment horizontal="center"/>
    </xf>
    <xf numFmtId="2" fontId="15" fillId="6" borderId="8" xfId="0" applyNumberFormat="1" applyFont="1" applyFill="1" applyBorder="1" applyAlignment="1">
      <alignment horizontal="center"/>
    </xf>
    <xf numFmtId="0" fontId="19" fillId="3" borderId="0" xfId="0" applyFont="1" applyFill="1"/>
    <xf numFmtId="2" fontId="14" fillId="0" borderId="0" xfId="0" applyNumberFormat="1" applyFont="1" applyAlignment="1">
      <alignment horizontal="center"/>
    </xf>
    <xf numFmtId="2" fontId="15" fillId="0" borderId="17" xfId="0" applyNumberFormat="1" applyFont="1" applyFill="1" applyBorder="1" applyAlignment="1">
      <alignment horizontal="center"/>
    </xf>
    <xf numFmtId="2" fontId="15" fillId="6" borderId="12" xfId="0" applyNumberFormat="1" applyFont="1" applyFill="1" applyBorder="1" applyAlignment="1">
      <alignment horizontal="center"/>
    </xf>
    <xf numFmtId="0" fontId="14" fillId="3" borderId="5" xfId="0" applyFont="1" applyFill="1" applyBorder="1" applyAlignment="1">
      <alignment vertical="center"/>
    </xf>
    <xf numFmtId="2" fontId="14" fillId="0" borderId="5" xfId="0" applyNumberFormat="1" applyFont="1" applyBorder="1" applyAlignment="1">
      <alignment horizontal="center"/>
    </xf>
    <xf numFmtId="2" fontId="14" fillId="0" borderId="16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164" fontId="14" fillId="0" borderId="0" xfId="0" applyNumberFormat="1" applyFont="1"/>
    <xf numFmtId="164" fontId="14" fillId="6" borderId="18" xfId="0" applyNumberFormat="1" applyFont="1" applyFill="1" applyBorder="1"/>
    <xf numFmtId="164" fontId="14" fillId="0" borderId="1" xfId="0" applyNumberFormat="1" applyFont="1" applyFill="1" applyBorder="1"/>
    <xf numFmtId="0" fontId="14" fillId="6" borderId="18" xfId="0" applyFont="1" applyFill="1" applyBorder="1"/>
    <xf numFmtId="0" fontId="14" fillId="0" borderId="1" xfId="0" applyFont="1" applyFill="1" applyBorder="1"/>
    <xf numFmtId="2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1" xfId="0" applyFont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9" fontId="0" fillId="6" borderId="12" xfId="2" applyFont="1" applyFill="1" applyBorder="1"/>
    <xf numFmtId="0" fontId="0" fillId="8" borderId="2" xfId="0" applyFill="1" applyBorder="1"/>
    <xf numFmtId="164" fontId="0" fillId="6" borderId="18" xfId="0" applyNumberFormat="1" applyFill="1" applyBorder="1" applyAlignment="1">
      <alignment horizontal="center"/>
    </xf>
    <xf numFmtId="164" fontId="2" fillId="6" borderId="1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6" fillId="6" borderId="7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6" fillId="0" borderId="2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0" borderId="5" xfId="0" applyFont="1" applyBorder="1"/>
    <xf numFmtId="9" fontId="2" fillId="6" borderId="14" xfId="2" applyFont="1" applyFill="1" applyBorder="1"/>
    <xf numFmtId="0" fontId="0" fillId="0" borderId="0" xfId="0" applyBorder="1"/>
    <xf numFmtId="0" fontId="0" fillId="11" borderId="0" xfId="0" applyFill="1" applyBorder="1"/>
    <xf numFmtId="0" fontId="6" fillId="0" borderId="2" xfId="0" applyFont="1" applyFill="1" applyBorder="1" applyAlignment="1">
      <alignment vertical="center"/>
    </xf>
    <xf numFmtId="2" fontId="6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6" borderId="12" xfId="0" applyFont="1" applyFill="1" applyBorder="1"/>
    <xf numFmtId="0" fontId="0" fillId="6" borderId="14" xfId="0" applyFont="1" applyFill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13" borderId="0" xfId="0" applyFont="1" applyFill="1"/>
    <xf numFmtId="0" fontId="0" fillId="13" borderId="0" xfId="0" applyFill="1"/>
    <xf numFmtId="2" fontId="6" fillId="0" borderId="21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2" fontId="0" fillId="0" borderId="7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4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/>
    </xf>
    <xf numFmtId="2" fontId="1" fillId="0" borderId="21" xfId="0" applyNumberFormat="1" applyFont="1" applyBorder="1" applyAlignment="1">
      <alignment horizontal="center" vertical="center"/>
    </xf>
    <xf numFmtId="0" fontId="22" fillId="13" borderId="2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13" borderId="2" xfId="0" applyFont="1" applyFill="1" applyBorder="1"/>
    <xf numFmtId="0" fontId="23" fillId="0" borderId="0" xfId="0" applyFont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/>
    <xf numFmtId="0" fontId="20" fillId="0" borderId="2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13" borderId="2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1" fillId="13" borderId="2" xfId="4" applyFill="1" applyBorder="1" applyAlignment="1">
      <alignment horizontal="center"/>
    </xf>
    <xf numFmtId="0" fontId="1" fillId="0" borderId="0" xfId="4" applyAlignment="1">
      <alignment horizontal="center"/>
    </xf>
    <xf numFmtId="0" fontId="0" fillId="13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0" fillId="0" borderId="25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" fontId="0" fillId="13" borderId="2" xfId="0" applyNumberFormat="1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16" fontId="0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11" borderId="2" xfId="0" applyFont="1" applyFill="1" applyBorder="1"/>
    <xf numFmtId="0" fontId="2" fillId="11" borderId="2" xfId="0" applyFont="1" applyFill="1" applyBorder="1"/>
    <xf numFmtId="0" fontId="20" fillId="0" borderId="25" xfId="0" applyFont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 vertical="center"/>
    </xf>
    <xf numFmtId="164" fontId="4" fillId="0" borderId="22" xfId="0" applyNumberFormat="1" applyFont="1" applyFill="1" applyBorder="1" applyAlignment="1">
      <alignment horizontal="center" vertical="center"/>
    </xf>
    <xf numFmtId="2" fontId="4" fillId="0" borderId="21" xfId="0" applyNumberFormat="1" applyFont="1" applyFill="1" applyBorder="1" applyAlignment="1">
      <alignment horizontal="center" vertical="center"/>
    </xf>
    <xf numFmtId="164" fontId="4" fillId="11" borderId="21" xfId="0" applyNumberFormat="1" applyFont="1" applyFill="1" applyBorder="1" applyAlignment="1">
      <alignment horizontal="center" vertical="center"/>
    </xf>
    <xf numFmtId="164" fontId="0" fillId="11" borderId="7" xfId="0" applyNumberFormat="1" applyFont="1" applyFill="1" applyBorder="1" applyAlignment="1">
      <alignment horizontal="center" vertical="center"/>
    </xf>
    <xf numFmtId="2" fontId="0" fillId="11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2" fontId="2" fillId="13" borderId="2" xfId="0" applyNumberFormat="1" applyFont="1" applyFill="1" applyBorder="1" applyAlignment="1">
      <alignment horizontal="center"/>
    </xf>
    <xf numFmtId="166" fontId="2" fillId="13" borderId="2" xfId="0" applyNumberFormat="1" applyFont="1" applyFill="1" applyBorder="1" applyAlignment="1">
      <alignment horizontal="center"/>
    </xf>
    <xf numFmtId="2" fontId="6" fillId="0" borderId="27" xfId="0" applyNumberFormat="1" applyFont="1" applyBorder="1" applyAlignment="1">
      <alignment horizontal="center" vertical="center"/>
    </xf>
    <xf numFmtId="0" fontId="2" fillId="13" borderId="0" xfId="0" applyFont="1" applyFill="1" applyBorder="1" applyAlignment="1">
      <alignment horizontal="center"/>
    </xf>
    <xf numFmtId="2" fontId="2" fillId="13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0" fillId="0" borderId="1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3" borderId="21" xfId="4" applyFill="1" applyBorder="1" applyAlignment="1">
      <alignment horizontal="center"/>
    </xf>
    <xf numFmtId="0" fontId="2" fillId="0" borderId="11" xfId="0" applyFont="1" applyBorder="1" applyAlignment="1">
      <alignment vertical="center"/>
    </xf>
    <xf numFmtId="0" fontId="2" fillId="0" borderId="17" xfId="0" applyFont="1" applyBorder="1"/>
    <xf numFmtId="0" fontId="2" fillId="13" borderId="2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21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17" xfId="0" applyBorder="1"/>
    <xf numFmtId="0" fontId="0" fillId="0" borderId="21" xfId="0" applyBorder="1"/>
    <xf numFmtId="2" fontId="0" fillId="0" borderId="7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6" fillId="0" borderId="22" xfId="0" applyNumberFormat="1" applyFont="1" applyFill="1" applyBorder="1" applyAlignment="1">
      <alignment horizontal="center" vertical="center"/>
    </xf>
    <xf numFmtId="164" fontId="1" fillId="0" borderId="0" xfId="4" applyNumberForma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0" fillId="0" borderId="19" xfId="0" applyFont="1" applyBorder="1" applyAlignment="1">
      <alignment vertical="center"/>
    </xf>
    <xf numFmtId="2" fontId="1" fillId="0" borderId="29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2" fillId="13" borderId="37" xfId="0" applyNumberFormat="1" applyFont="1" applyFill="1" applyBorder="1" applyAlignment="1">
      <alignment horizontal="center"/>
    </xf>
    <xf numFmtId="164" fontId="2" fillId="13" borderId="33" xfId="0" applyNumberFormat="1" applyFont="1" applyFill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2" fillId="11" borderId="35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164" fontId="6" fillId="13" borderId="21" xfId="0" applyNumberFormat="1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/>
    </xf>
    <xf numFmtId="164" fontId="20" fillId="0" borderId="43" xfId="0" applyNumberFormat="1" applyFont="1" applyBorder="1" applyAlignment="1">
      <alignment horizontal="center"/>
    </xf>
    <xf numFmtId="164" fontId="1" fillId="0" borderId="3" xfId="4" applyNumberForma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13" borderId="2" xfId="0" applyNumberFormat="1" applyFont="1" applyFill="1" applyBorder="1" applyAlignment="1">
      <alignment horizontal="center"/>
    </xf>
    <xf numFmtId="164" fontId="6" fillId="13" borderId="2" xfId="0" applyNumberFormat="1" applyFont="1" applyFill="1" applyBorder="1" applyAlignment="1">
      <alignment horizontal="center"/>
    </xf>
    <xf numFmtId="164" fontId="6" fillId="13" borderId="0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2" fontId="0" fillId="0" borderId="3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0" fillId="11" borderId="5" xfId="0" applyNumberFormat="1" applyFont="1" applyFill="1" applyBorder="1" applyAlignment="1">
      <alignment horizontal="center" vertical="center"/>
    </xf>
    <xf numFmtId="2" fontId="6" fillId="13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2" fillId="13" borderId="30" xfId="0" applyNumberFormat="1" applyFont="1" applyFill="1" applyBorder="1" applyAlignment="1">
      <alignment horizontal="center" vertical="center"/>
    </xf>
    <xf numFmtId="2" fontId="2" fillId="13" borderId="2" xfId="0" applyNumberFormat="1" applyFont="1" applyFill="1" applyBorder="1" applyAlignment="1">
      <alignment horizontal="center" vertical="center"/>
    </xf>
    <xf numFmtId="2" fontId="6" fillId="13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2" fontId="4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1" fillId="13" borderId="2" xfId="0" applyNumberFormat="1" applyFont="1" applyFill="1" applyBorder="1" applyAlignment="1">
      <alignment horizontal="center" vertical="center"/>
    </xf>
    <xf numFmtId="164" fontId="4" fillId="13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4" fillId="13" borderId="2" xfId="0" applyNumberFormat="1" applyFont="1" applyFill="1" applyBorder="1" applyAlignment="1">
      <alignment horizontal="center" vertical="center"/>
    </xf>
    <xf numFmtId="2" fontId="4" fillId="13" borderId="0" xfId="0" applyNumberFormat="1" applyFont="1" applyFill="1" applyBorder="1" applyAlignment="1">
      <alignment horizontal="center" vertical="center"/>
    </xf>
    <xf numFmtId="2" fontId="2" fillId="13" borderId="0" xfId="0" applyNumberFormat="1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0" fillId="11" borderId="5" xfId="0" applyNumberFormat="1" applyFont="1" applyFill="1" applyBorder="1" applyAlignment="1">
      <alignment horizontal="center" vertical="center"/>
    </xf>
    <xf numFmtId="164" fontId="23" fillId="0" borderId="31" xfId="0" applyNumberFormat="1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2" xfId="0" applyBorder="1" applyAlignment="1">
      <alignment horizontal="center"/>
    </xf>
    <xf numFmtId="164" fontId="20" fillId="0" borderId="31" xfId="0" applyNumberFormat="1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0" fillId="0" borderId="40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164" fontId="0" fillId="0" borderId="33" xfId="0" applyNumberFormat="1" applyFont="1" applyBorder="1" applyAlignment="1">
      <alignment horizontal="center"/>
    </xf>
    <xf numFmtId="16" fontId="0" fillId="0" borderId="34" xfId="0" applyNumberFormat="1" applyFont="1" applyBorder="1" applyAlignment="1">
      <alignment horizontal="center"/>
    </xf>
    <xf numFmtId="16" fontId="0" fillId="0" borderId="36" xfId="0" applyNumberFormat="1" applyBorder="1" applyAlignment="1">
      <alignment horizontal="center"/>
    </xf>
    <xf numFmtId="164" fontId="6" fillId="13" borderId="45" xfId="0" applyNumberFormat="1" applyFont="1" applyFill="1" applyBorder="1" applyAlignment="1">
      <alignment horizontal="center" vertical="center"/>
    </xf>
    <xf numFmtId="0" fontId="1" fillId="13" borderId="38" xfId="4" applyFill="1" applyBorder="1" applyAlignment="1">
      <alignment horizontal="center"/>
    </xf>
    <xf numFmtId="164" fontId="1" fillId="0" borderId="39" xfId="4" applyNumberFormat="1" applyBorder="1" applyAlignment="1">
      <alignment horizontal="center"/>
    </xf>
    <xf numFmtId="0" fontId="1" fillId="0" borderId="40" xfId="4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" fontId="4" fillId="0" borderId="34" xfId="0" applyNumberFormat="1" applyFont="1" applyBorder="1" applyAlignment="1">
      <alignment horizontal="center"/>
    </xf>
    <xf numFmtId="0" fontId="2" fillId="13" borderId="38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16" fontId="0" fillId="0" borderId="40" xfId="0" applyNumberFormat="1" applyBorder="1" applyAlignment="1">
      <alignment horizontal="center"/>
    </xf>
    <xf numFmtId="164" fontId="0" fillId="11" borderId="33" xfId="0" applyNumberFormat="1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16" fontId="2" fillId="13" borderId="34" xfId="0" applyNumberFormat="1" applyFont="1" applyFill="1" applyBorder="1" applyAlignment="1">
      <alignment horizontal="center"/>
    </xf>
    <xf numFmtId="164" fontId="2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164" fontId="0" fillId="0" borderId="33" xfId="0" applyNumberFormat="1" applyBorder="1"/>
    <xf numFmtId="0" fontId="0" fillId="0" borderId="34" xfId="0" applyBorder="1"/>
    <xf numFmtId="164" fontId="2" fillId="0" borderId="33" xfId="0" applyNumberFormat="1" applyFont="1" applyBorder="1" applyAlignment="1">
      <alignment horizontal="center"/>
    </xf>
    <xf numFmtId="164" fontId="2" fillId="0" borderId="34" xfId="0" applyNumberFormat="1" applyFont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0" fontId="0" fillId="0" borderId="43" xfId="0" applyBorder="1"/>
    <xf numFmtId="164" fontId="23" fillId="0" borderId="43" xfId="0" applyNumberFormat="1" applyFon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0" fillId="0" borderId="47" xfId="0" applyNumberFormat="1" applyFill="1" applyBorder="1" applyAlignment="1">
      <alignment horizontal="center"/>
    </xf>
    <xf numFmtId="164" fontId="0" fillId="14" borderId="47" xfId="0" applyNumberFormat="1" applyFill="1" applyBorder="1" applyAlignment="1">
      <alignment horizontal="center"/>
    </xf>
    <xf numFmtId="164" fontId="0" fillId="5" borderId="48" xfId="0" applyNumberFormat="1" applyFill="1" applyBorder="1" applyAlignment="1">
      <alignment horizontal="center"/>
    </xf>
    <xf numFmtId="164" fontId="0" fillId="0" borderId="33" xfId="0" applyNumberFormat="1" applyFill="1" applyBorder="1" applyAlignment="1">
      <alignment horizontal="center"/>
    </xf>
    <xf numFmtId="164" fontId="0" fillId="5" borderId="33" xfId="0" applyNumberFormat="1" applyFill="1" applyBorder="1" applyAlignment="1">
      <alignment horizontal="center"/>
    </xf>
    <xf numFmtId="164" fontId="0" fillId="14" borderId="33" xfId="0" applyNumberFormat="1" applyFill="1" applyBorder="1" applyAlignment="1">
      <alignment horizontal="center"/>
    </xf>
    <xf numFmtId="164" fontId="2" fillId="14" borderId="33" xfId="0" applyNumberFormat="1" applyFont="1" applyFill="1" applyBorder="1" applyAlignment="1">
      <alignment horizontal="center"/>
    </xf>
    <xf numFmtId="0" fontId="0" fillId="0" borderId="44" xfId="0" applyBorder="1"/>
    <xf numFmtId="2" fontId="0" fillId="0" borderId="34" xfId="0" applyNumberFormat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0" fontId="20" fillId="0" borderId="43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9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3" xfId="0" applyFont="1" applyBorder="1"/>
    <xf numFmtId="0" fontId="2" fillId="0" borderId="37" xfId="0" applyFont="1" applyBorder="1"/>
    <xf numFmtId="0" fontId="2" fillId="0" borderId="39" xfId="0" applyFont="1" applyBorder="1"/>
    <xf numFmtId="0" fontId="0" fillId="0" borderId="37" xfId="0" applyBorder="1"/>
    <xf numFmtId="0" fontId="0" fillId="0" borderId="33" xfId="0" applyBorder="1"/>
    <xf numFmtId="0" fontId="0" fillId="0" borderId="41" xfId="0" applyBorder="1"/>
    <xf numFmtId="164" fontId="0" fillId="0" borderId="45" xfId="0" applyNumberFormat="1" applyFill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164" fontId="0" fillId="0" borderId="47" xfId="0" applyNumberFormat="1" applyFill="1" applyBorder="1" applyAlignment="1">
      <alignment horizontal="right"/>
    </xf>
    <xf numFmtId="164" fontId="0" fillId="0" borderId="45" xfId="0" applyNumberFormat="1" applyFill="1" applyBorder="1" applyAlignment="1">
      <alignment horizontal="right"/>
    </xf>
    <xf numFmtId="0" fontId="20" fillId="0" borderId="43" xfId="0" applyFont="1" applyBorder="1" applyAlignment="1">
      <alignment horizontal="center"/>
    </xf>
    <xf numFmtId="2" fontId="2" fillId="13" borderId="37" xfId="0" applyNumberFormat="1" applyFont="1" applyFill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164" fontId="2" fillId="13" borderId="0" xfId="0" applyNumberFormat="1" applyFont="1" applyFill="1" applyBorder="1" applyAlignment="1">
      <alignment horizontal="center"/>
    </xf>
    <xf numFmtId="16" fontId="2" fillId="13" borderId="2" xfId="0" applyNumberFormat="1" applyFont="1" applyFill="1" applyBorder="1" applyAlignment="1">
      <alignment horizontal="center"/>
    </xf>
    <xf numFmtId="164" fontId="0" fillId="5" borderId="47" xfId="0" applyNumberFormat="1" applyFill="1" applyBorder="1" applyAlignment="1">
      <alignment horizontal="center"/>
    </xf>
    <xf numFmtId="0" fontId="0" fillId="13" borderId="2" xfId="0" applyFill="1" applyBorder="1"/>
    <xf numFmtId="0" fontId="2" fillId="0" borderId="31" xfId="0" applyFont="1" applyBorder="1"/>
    <xf numFmtId="0" fontId="0" fillId="0" borderId="43" xfId="0" applyFont="1" applyBorder="1"/>
    <xf numFmtId="0" fontId="0" fillId="0" borderId="43" xfId="0" applyFont="1" applyBorder="1" applyAlignment="1">
      <alignment horizontal="center"/>
    </xf>
    <xf numFmtId="2" fontId="2" fillId="13" borderId="3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 applyFill="1" applyBorder="1" applyAlignment="1">
      <alignment horizontal="center"/>
    </xf>
    <xf numFmtId="0" fontId="2" fillId="0" borderId="44" xfId="0" applyFont="1" applyBorder="1"/>
    <xf numFmtId="0" fontId="0" fillId="0" borderId="32" xfId="0" applyBorder="1"/>
    <xf numFmtId="0" fontId="0" fillId="0" borderId="42" xfId="0" applyBorder="1"/>
    <xf numFmtId="2" fontId="0" fillId="0" borderId="32" xfId="0" applyNumberForma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0" fillId="0" borderId="43" xfId="0" applyFon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right"/>
    </xf>
    <xf numFmtId="166" fontId="0" fillId="0" borderId="2" xfId="0" applyNumberFormat="1" applyFill="1" applyBorder="1" applyAlignment="1">
      <alignment horizontal="right"/>
    </xf>
    <xf numFmtId="166" fontId="2" fillId="0" borderId="33" xfId="0" applyNumberFormat="1" applyFont="1" applyBorder="1" applyAlignment="1">
      <alignment horizontal="center"/>
    </xf>
    <xf numFmtId="166" fontId="2" fillId="0" borderId="41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2" fillId="13" borderId="0" xfId="0" applyNumberFormat="1" applyFont="1" applyFill="1" applyAlignment="1">
      <alignment horizontal="center"/>
    </xf>
    <xf numFmtId="166" fontId="0" fillId="0" borderId="0" xfId="0" applyNumberFormat="1"/>
    <xf numFmtId="166" fontId="2" fillId="0" borderId="0" xfId="0" applyNumberFormat="1" applyFont="1" applyBorder="1" applyAlignment="1">
      <alignment horizontal="center"/>
    </xf>
    <xf numFmtId="9" fontId="2" fillId="13" borderId="38" xfId="2" applyFont="1" applyFill="1" applyBorder="1" applyAlignment="1">
      <alignment horizontal="center"/>
    </xf>
    <xf numFmtId="164" fontId="0" fillId="0" borderId="48" xfId="0" applyNumberFormat="1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164" fontId="0" fillId="0" borderId="35" xfId="0" applyNumberFormat="1" applyFill="1" applyBorder="1" applyAlignment="1">
      <alignment horizontal="center"/>
    </xf>
    <xf numFmtId="164" fontId="1" fillId="13" borderId="0" xfId="0" applyNumberFormat="1" applyFont="1" applyFill="1" applyBorder="1" applyAlignment="1">
      <alignment horizontal="center" vertical="center"/>
    </xf>
    <xf numFmtId="164" fontId="0" fillId="13" borderId="33" xfId="0" applyNumberFormat="1" applyFill="1" applyBorder="1" applyAlignment="1">
      <alignment horizontal="center"/>
    </xf>
    <xf numFmtId="164" fontId="4" fillId="13" borderId="0" xfId="0" applyNumberFormat="1" applyFont="1" applyFill="1" applyBorder="1" applyAlignment="1">
      <alignment horizontal="center"/>
    </xf>
    <xf numFmtId="2" fontId="1" fillId="13" borderId="5" xfId="0" applyNumberFormat="1" applyFont="1" applyFill="1" applyBorder="1" applyAlignment="1">
      <alignment horizontal="center" vertical="center"/>
    </xf>
    <xf numFmtId="164" fontId="0" fillId="13" borderId="35" xfId="0" applyNumberFormat="1" applyFill="1" applyBorder="1" applyAlignment="1">
      <alignment horizontal="center"/>
    </xf>
    <xf numFmtId="164" fontId="4" fillId="13" borderId="5" xfId="0" applyNumberFormat="1" applyFont="1" applyFill="1" applyBorder="1" applyAlignment="1">
      <alignment horizontal="center"/>
    </xf>
    <xf numFmtId="164" fontId="2" fillId="13" borderId="48" xfId="0" applyNumberFormat="1" applyFont="1" applyFill="1" applyBorder="1" applyAlignment="1">
      <alignment horizontal="center"/>
    </xf>
    <xf numFmtId="0" fontId="2" fillId="13" borderId="5" xfId="0" applyFont="1" applyFill="1" applyBorder="1"/>
    <xf numFmtId="166" fontId="2" fillId="13" borderId="5" xfId="0" applyNumberFormat="1" applyFont="1" applyFill="1" applyBorder="1" applyAlignment="1">
      <alignment horizontal="center"/>
    </xf>
    <xf numFmtId="9" fontId="0" fillId="0" borderId="32" xfId="2" applyFont="1" applyBorder="1" applyAlignment="1">
      <alignment horizontal="center"/>
    </xf>
    <xf numFmtId="9" fontId="2" fillId="0" borderId="32" xfId="2" applyFont="1" applyBorder="1" applyAlignment="1">
      <alignment horizontal="center"/>
    </xf>
    <xf numFmtId="9" fontId="0" fillId="0" borderId="34" xfId="2" applyFont="1" applyBorder="1" applyAlignment="1">
      <alignment horizontal="center"/>
    </xf>
    <xf numFmtId="9" fontId="0" fillId="0" borderId="36" xfId="2" applyFont="1" applyBorder="1" applyAlignment="1">
      <alignment horizontal="center"/>
    </xf>
    <xf numFmtId="9" fontId="2" fillId="13" borderId="36" xfId="2" applyFont="1" applyFill="1" applyBorder="1" applyAlignment="1">
      <alignment horizontal="center"/>
    </xf>
    <xf numFmtId="9" fontId="0" fillId="0" borderId="0" xfId="2" applyFont="1"/>
    <xf numFmtId="0" fontId="2" fillId="13" borderId="0" xfId="0" applyFont="1" applyFill="1" applyBorder="1"/>
    <xf numFmtId="166" fontId="2" fillId="13" borderId="0" xfId="0" applyNumberFormat="1" applyFont="1" applyFill="1" applyBorder="1" applyAlignment="1">
      <alignment horizontal="center"/>
    </xf>
    <xf numFmtId="9" fontId="2" fillId="13" borderId="34" xfId="2" applyFont="1" applyFill="1" applyBorder="1" applyAlignment="1">
      <alignment horizontal="center"/>
    </xf>
    <xf numFmtId="164" fontId="2" fillId="0" borderId="39" xfId="0" applyNumberFormat="1" applyFont="1" applyBorder="1" applyAlignment="1">
      <alignment horizontal="center"/>
    </xf>
    <xf numFmtId="9" fontId="2" fillId="0" borderId="40" xfId="2" applyFont="1" applyBorder="1" applyAlignment="1">
      <alignment horizontal="center"/>
    </xf>
    <xf numFmtId="164" fontId="2" fillId="0" borderId="46" xfId="0" applyNumberFormat="1" applyFont="1" applyBorder="1" applyAlignment="1">
      <alignment horizontal="center"/>
    </xf>
    <xf numFmtId="9" fontId="2" fillId="0" borderId="34" xfId="2" applyFont="1" applyBorder="1" applyAlignment="1">
      <alignment horizontal="center"/>
    </xf>
    <xf numFmtId="164" fontId="20" fillId="0" borderId="32" xfId="0" applyNumberFormat="1" applyFont="1" applyBorder="1" applyAlignment="1">
      <alignment horizontal="center"/>
    </xf>
    <xf numFmtId="166" fontId="0" fillId="0" borderId="34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166" fontId="2" fillId="13" borderId="34" xfId="0" applyNumberFormat="1" applyFont="1" applyFill="1" applyBorder="1" applyAlignment="1">
      <alignment horizontal="center"/>
    </xf>
    <xf numFmtId="166" fontId="2" fillId="13" borderId="36" xfId="0" applyNumberFormat="1" applyFont="1" applyFill="1" applyBorder="1" applyAlignment="1">
      <alignment horizontal="center"/>
    </xf>
    <xf numFmtId="166" fontId="2" fillId="0" borderId="40" xfId="0" applyNumberFormat="1" applyFont="1" applyBorder="1" applyAlignment="1">
      <alignment horizontal="center"/>
    </xf>
    <xf numFmtId="166" fontId="2" fillId="0" borderId="34" xfId="0" applyNumberFormat="1" applyFont="1" applyBorder="1" applyAlignment="1">
      <alignment horizontal="center"/>
    </xf>
    <xf numFmtId="9" fontId="0" fillId="0" borderId="0" xfId="2" applyFont="1" applyBorder="1"/>
    <xf numFmtId="0" fontId="0" fillId="0" borderId="31" xfId="0" applyBorder="1"/>
    <xf numFmtId="2" fontId="2" fillId="0" borderId="43" xfId="0" applyNumberFormat="1" applyFont="1" applyBorder="1" applyAlignment="1">
      <alignment horizontal="center"/>
    </xf>
    <xf numFmtId="9" fontId="2" fillId="0" borderId="43" xfId="2" applyFont="1" applyFill="1" applyBorder="1" applyAlignment="1">
      <alignment horizontal="center"/>
    </xf>
    <xf numFmtId="166" fontId="2" fillId="0" borderId="32" xfId="0" applyNumberFormat="1" applyFont="1" applyFill="1" applyBorder="1" applyAlignment="1">
      <alignment horizontal="center"/>
    </xf>
    <xf numFmtId="0" fontId="2" fillId="0" borderId="43" xfId="0" applyFont="1" applyFill="1" applyBorder="1" applyAlignment="1">
      <alignment vertical="center"/>
    </xf>
    <xf numFmtId="9" fontId="0" fillId="0" borderId="38" xfId="2" applyFont="1" applyBorder="1" applyAlignment="1">
      <alignment horizontal="center"/>
    </xf>
    <xf numFmtId="9" fontId="2" fillId="0" borderId="42" xfId="2" applyFont="1" applyBorder="1" applyAlignment="1">
      <alignment horizontal="center"/>
    </xf>
    <xf numFmtId="166" fontId="2" fillId="0" borderId="44" xfId="0" applyNumberFormat="1" applyFont="1" applyBorder="1" applyAlignment="1">
      <alignment horizontal="center"/>
    </xf>
    <xf numFmtId="0" fontId="2" fillId="0" borderId="43" xfId="0" applyFont="1" applyBorder="1"/>
    <xf numFmtId="9" fontId="2" fillId="0" borderId="44" xfId="2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43" xfId="0" applyFon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3" xr:uid="{00000000-0005-0000-0000-000002000000}"/>
    <cellStyle name="Percent" xfId="2" builtinId="5"/>
    <cellStyle name="Warning Text" xfId="4" builtinId="11"/>
  </cellStyles>
  <dxfs count="5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191"/>
  <sheetViews>
    <sheetView zoomScaleNormal="100" workbookViewId="0">
      <pane xSplit="11" ySplit="2" topLeftCell="L3" activePane="bottomRight" state="frozen"/>
      <selection pane="topRight" activeCell="M1" sqref="M1"/>
      <selection pane="bottomLeft" activeCell="A3" sqref="A3"/>
      <selection pane="bottomRight" activeCell="M148" sqref="M148"/>
    </sheetView>
  </sheetViews>
  <sheetFormatPr defaultColWidth="9.140625" defaultRowHeight="15.75" customHeight="1" x14ac:dyDescent="0.25"/>
  <cols>
    <col min="1" max="1" width="21" style="71" bestFit="1" customWidth="1"/>
    <col min="2" max="2" width="11.85546875" style="69" customWidth="1"/>
    <col min="3" max="3" width="19" style="69" bestFit="1" customWidth="1"/>
    <col min="4" max="4" width="9.85546875" style="6" bestFit="1" customWidth="1"/>
    <col min="5" max="5" width="7.140625" style="69" hidden="1" customWidth="1"/>
    <col min="6" max="6" width="9.85546875" style="69" hidden="1" customWidth="1"/>
    <col min="7" max="7" width="9" style="69" hidden="1" customWidth="1"/>
    <col min="8" max="8" width="9.85546875" style="69" hidden="1" customWidth="1"/>
    <col min="9" max="9" width="11.5703125" style="119" customWidth="1"/>
    <col min="10" max="10" width="12.85546875" style="67" customWidth="1"/>
    <col min="11" max="11" width="14.5703125" style="119" customWidth="1"/>
    <col min="12" max="12" width="16.85546875" style="279" customWidth="1"/>
    <col min="13" max="13" width="18.85546875" style="6" customWidth="1"/>
    <col min="14" max="14" width="51.85546875" style="69" customWidth="1"/>
    <col min="15" max="15" width="19.85546875" style="69" bestFit="1" customWidth="1"/>
    <col min="16" max="19" width="9.140625" style="69"/>
    <col min="20" max="20" width="18.5703125" style="69" customWidth="1"/>
    <col min="21" max="27" width="9.140625" style="69"/>
    <col min="28" max="28" width="9.140625" style="69" customWidth="1"/>
    <col min="29" max="16384" width="9.140625" style="69"/>
  </cols>
  <sheetData>
    <row r="1" spans="1:40" ht="15.75" customHeight="1" x14ac:dyDescent="0.3">
      <c r="D1" s="63"/>
      <c r="E1" s="760" t="s">
        <v>81</v>
      </c>
      <c r="F1" s="760"/>
      <c r="G1" s="760" t="s">
        <v>78</v>
      </c>
      <c r="H1" s="760"/>
      <c r="I1" s="110">
        <v>2013</v>
      </c>
      <c r="J1" s="90">
        <v>2014</v>
      </c>
      <c r="K1" s="122"/>
      <c r="L1" s="279">
        <v>2015</v>
      </c>
      <c r="M1" s="6">
        <v>2015</v>
      </c>
    </row>
    <row r="2" spans="1:40" ht="15.75" customHeight="1" x14ac:dyDescent="0.25">
      <c r="A2" s="71" t="s">
        <v>0</v>
      </c>
      <c r="B2" s="761" t="s">
        <v>1</v>
      </c>
      <c r="C2" s="761"/>
      <c r="D2" s="77" t="s">
        <v>82</v>
      </c>
      <c r="E2" s="61" t="s">
        <v>83</v>
      </c>
      <c r="F2" s="68" t="s">
        <v>9</v>
      </c>
      <c r="G2" s="61" t="s">
        <v>83</v>
      </c>
      <c r="H2" s="68" t="s">
        <v>9</v>
      </c>
      <c r="I2" s="110" t="s">
        <v>108</v>
      </c>
      <c r="J2" s="90" t="s">
        <v>108</v>
      </c>
      <c r="K2" s="110" t="s">
        <v>113</v>
      </c>
      <c r="L2" s="278" t="s">
        <v>126</v>
      </c>
      <c r="M2" s="2" t="s">
        <v>127</v>
      </c>
      <c r="O2" s="71"/>
      <c r="T2" s="71"/>
    </row>
    <row r="3" spans="1:40" ht="15.75" customHeight="1" x14ac:dyDescent="0.3">
      <c r="A3" s="3" t="s">
        <v>2</v>
      </c>
      <c r="B3" s="4"/>
      <c r="C3" s="4"/>
      <c r="D3" s="62"/>
      <c r="E3" s="30"/>
      <c r="F3" s="5"/>
      <c r="G3" s="61"/>
      <c r="H3" s="68"/>
      <c r="I3" s="110"/>
      <c r="J3" s="78"/>
      <c r="K3" s="110"/>
      <c r="P3" s="76"/>
      <c r="Q3" s="76"/>
      <c r="R3" s="76"/>
      <c r="T3" s="8"/>
      <c r="U3" s="758"/>
      <c r="V3" s="759"/>
      <c r="W3" s="758"/>
      <c r="X3" s="759"/>
      <c r="Y3" s="758"/>
      <c r="Z3" s="759"/>
      <c r="AA3" s="758"/>
      <c r="AB3" s="759"/>
      <c r="AC3" s="758"/>
      <c r="AD3" s="759"/>
      <c r="AE3" s="758"/>
      <c r="AF3" s="762"/>
      <c r="AG3" s="762"/>
      <c r="AH3" s="762"/>
      <c r="AI3" s="758"/>
      <c r="AJ3" s="759"/>
      <c r="AK3" s="758"/>
      <c r="AL3" s="759"/>
    </row>
    <row r="4" spans="1:40" ht="15.75" customHeight="1" x14ac:dyDescent="0.3">
      <c r="A4" s="1"/>
      <c r="B4" s="9" t="s">
        <v>3</v>
      </c>
      <c r="C4" s="9" t="s">
        <v>10</v>
      </c>
      <c r="D4" s="91">
        <v>0.75</v>
      </c>
      <c r="E4" s="31">
        <v>2.2799999999999998</v>
      </c>
      <c r="F4" s="32">
        <v>4.51</v>
      </c>
      <c r="G4" s="33">
        <v>5</v>
      </c>
      <c r="H4" s="103">
        <v>4.2699999999999996</v>
      </c>
      <c r="I4" s="126">
        <v>1.57</v>
      </c>
      <c r="J4" s="95">
        <v>2.63</v>
      </c>
      <c r="K4" s="126">
        <f>I4-J4</f>
        <v>-1.0599999999999998</v>
      </c>
      <c r="L4" s="279">
        <v>2.5</v>
      </c>
      <c r="M4" s="281">
        <f>L4/D4</f>
        <v>3.3333333333333335</v>
      </c>
      <c r="N4" s="69" t="s">
        <v>137</v>
      </c>
      <c r="O4" s="71"/>
      <c r="T4" s="8"/>
      <c r="U4" s="88"/>
      <c r="V4" s="89"/>
      <c r="W4" s="88"/>
      <c r="X4" s="89"/>
      <c r="Y4" s="88"/>
      <c r="Z4" s="89"/>
      <c r="AA4" s="88"/>
      <c r="AB4" s="89"/>
      <c r="AC4" s="88"/>
      <c r="AD4" s="89"/>
      <c r="AE4" s="88"/>
      <c r="AF4" s="89"/>
      <c r="AG4" s="88"/>
      <c r="AH4" s="89"/>
      <c r="AI4" s="88"/>
      <c r="AJ4" s="89"/>
      <c r="AK4" s="88"/>
      <c r="AL4" s="89"/>
    </row>
    <row r="5" spans="1:40" ht="15.75" customHeight="1" x14ac:dyDescent="0.3">
      <c r="A5" s="1"/>
      <c r="B5" s="9" t="s">
        <v>3</v>
      </c>
      <c r="C5" s="9" t="s">
        <v>11</v>
      </c>
      <c r="D5" s="62">
        <v>1.4</v>
      </c>
      <c r="E5" s="31">
        <v>7.46</v>
      </c>
      <c r="F5" s="32">
        <f t="shared" ref="F5:F12" si="0">E5*$D5</f>
        <v>10.443999999999999</v>
      </c>
      <c r="G5" s="33">
        <f t="shared" ref="G5:G13" si="1">H5/D5</f>
        <v>7.1428571428571432</v>
      </c>
      <c r="H5" s="103">
        <v>10</v>
      </c>
      <c r="I5" s="126">
        <v>8</v>
      </c>
      <c r="J5" s="95">
        <v>3.67</v>
      </c>
      <c r="K5" s="126">
        <f t="shared" ref="K5:K18" si="2">I5-J5</f>
        <v>4.33</v>
      </c>
      <c r="L5" s="279">
        <v>8.5</v>
      </c>
      <c r="M5" s="281">
        <f t="shared" ref="M5:M67" si="3">L5/D5</f>
        <v>6.0714285714285721</v>
      </c>
      <c r="P5" s="7"/>
      <c r="Q5" s="7"/>
      <c r="R5" s="7"/>
      <c r="T5" s="124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</row>
    <row r="6" spans="1:40" ht="15.75" customHeight="1" x14ac:dyDescent="0.3">
      <c r="B6" s="9" t="s">
        <v>3</v>
      </c>
      <c r="C6" s="9" t="s">
        <v>12</v>
      </c>
      <c r="D6" s="62">
        <v>0.72</v>
      </c>
      <c r="E6" s="31">
        <v>11.46</v>
      </c>
      <c r="F6" s="32">
        <f t="shared" si="0"/>
        <v>8.2512000000000008</v>
      </c>
      <c r="G6" s="33">
        <f t="shared" si="1"/>
        <v>8.7916666666666679</v>
      </c>
      <c r="H6" s="103">
        <v>6.33</v>
      </c>
      <c r="I6" s="126">
        <v>4.84</v>
      </c>
      <c r="J6" s="95">
        <v>13.19</v>
      </c>
      <c r="K6" s="126">
        <f t="shared" si="2"/>
        <v>-8.35</v>
      </c>
      <c r="L6" s="279">
        <v>5</v>
      </c>
      <c r="M6" s="281">
        <f t="shared" si="3"/>
        <v>6.9444444444444446</v>
      </c>
      <c r="P6" s="7"/>
      <c r="Q6" s="7"/>
      <c r="R6" s="7"/>
      <c r="T6" s="124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N6" s="11"/>
    </row>
    <row r="7" spans="1:40" ht="15.75" customHeight="1" x14ac:dyDescent="0.3">
      <c r="B7" s="9" t="s">
        <v>3</v>
      </c>
      <c r="C7" s="9" t="s">
        <v>14</v>
      </c>
      <c r="D7" s="62">
        <v>2.39</v>
      </c>
      <c r="E7" s="31">
        <v>6.76</v>
      </c>
      <c r="F7" s="32">
        <f t="shared" si="0"/>
        <v>16.156400000000001</v>
      </c>
      <c r="G7" s="33">
        <f t="shared" si="1"/>
        <v>4.6276150627615058</v>
      </c>
      <c r="H7" s="103">
        <v>11.06</v>
      </c>
      <c r="I7" s="126">
        <v>15.51</v>
      </c>
      <c r="J7" s="95">
        <v>15.96</v>
      </c>
      <c r="K7" s="126">
        <f t="shared" si="2"/>
        <v>-0.45000000000000107</v>
      </c>
      <c r="L7" s="279">
        <v>12</v>
      </c>
      <c r="M7" s="281">
        <f t="shared" si="3"/>
        <v>5.02092050209205</v>
      </c>
      <c r="P7" s="7"/>
      <c r="Q7" s="7"/>
      <c r="R7" s="7"/>
      <c r="T7" s="124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</row>
    <row r="8" spans="1:40" ht="15.75" customHeight="1" x14ac:dyDescent="0.3">
      <c r="B8" s="9" t="s">
        <v>3</v>
      </c>
      <c r="C8" s="9" t="s">
        <v>16</v>
      </c>
      <c r="D8" s="62">
        <v>2.35</v>
      </c>
      <c r="E8" s="31">
        <v>4.41</v>
      </c>
      <c r="F8" s="32">
        <f t="shared" si="0"/>
        <v>10.3635</v>
      </c>
      <c r="G8" s="33">
        <f t="shared" si="1"/>
        <v>4.7234042553191484</v>
      </c>
      <c r="H8" s="103">
        <v>11.1</v>
      </c>
      <c r="I8" s="126">
        <v>13.53</v>
      </c>
      <c r="J8" s="95">
        <v>14.05</v>
      </c>
      <c r="K8" s="126">
        <f t="shared" si="2"/>
        <v>-0.52000000000000135</v>
      </c>
      <c r="L8" s="279">
        <v>14</v>
      </c>
      <c r="M8" s="281">
        <f t="shared" si="3"/>
        <v>5.957446808510638</v>
      </c>
      <c r="P8" s="7"/>
      <c r="Q8" s="7"/>
      <c r="R8" s="7"/>
      <c r="T8" s="124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</row>
    <row r="9" spans="1:40" ht="15.75" customHeight="1" x14ac:dyDescent="0.3">
      <c r="B9" s="9" t="s">
        <v>3</v>
      </c>
      <c r="C9" s="9" t="s">
        <v>18</v>
      </c>
      <c r="D9" s="62">
        <v>1.8</v>
      </c>
      <c r="E9" s="31">
        <v>4.42</v>
      </c>
      <c r="F9" s="32">
        <f t="shared" si="0"/>
        <v>7.9560000000000004</v>
      </c>
      <c r="G9" s="33">
        <f t="shared" si="1"/>
        <v>4.6499999999999995</v>
      </c>
      <c r="H9" s="103">
        <v>8.3699999999999992</v>
      </c>
      <c r="I9" s="126">
        <v>11.45</v>
      </c>
      <c r="J9" s="95">
        <v>12.12</v>
      </c>
      <c r="K9" s="126">
        <f t="shared" si="2"/>
        <v>-0.66999999999999993</v>
      </c>
      <c r="L9" s="279">
        <v>10</v>
      </c>
      <c r="M9" s="281">
        <f t="shared" si="3"/>
        <v>5.5555555555555554</v>
      </c>
      <c r="P9" s="7"/>
      <c r="Q9" s="7"/>
      <c r="R9" s="7"/>
      <c r="T9" s="124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</row>
    <row r="10" spans="1:40" ht="15.75" customHeight="1" x14ac:dyDescent="0.3">
      <c r="B10" s="9" t="s">
        <v>3</v>
      </c>
      <c r="C10" s="9" t="s">
        <v>20</v>
      </c>
      <c r="D10" s="62">
        <v>1.92</v>
      </c>
      <c r="E10" s="31">
        <v>4.45</v>
      </c>
      <c r="F10" s="32">
        <f t="shared" si="0"/>
        <v>8.5440000000000005</v>
      </c>
      <c r="G10" s="33">
        <f t="shared" si="1"/>
        <v>5.25</v>
      </c>
      <c r="H10" s="103">
        <v>10.08</v>
      </c>
      <c r="I10" s="126">
        <v>10.74</v>
      </c>
      <c r="J10" s="95">
        <v>13.61</v>
      </c>
      <c r="K10" s="126">
        <f t="shared" si="2"/>
        <v>-2.8699999999999992</v>
      </c>
      <c r="L10" s="279">
        <v>11</v>
      </c>
      <c r="M10" s="281">
        <f t="shared" si="3"/>
        <v>5.729166666666667</v>
      </c>
      <c r="P10" s="7"/>
      <c r="Q10" s="7"/>
      <c r="R10" s="7"/>
      <c r="T10" s="124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</row>
    <row r="11" spans="1:40" ht="15.75" customHeight="1" x14ac:dyDescent="0.3">
      <c r="B11" s="9" t="s">
        <v>3</v>
      </c>
      <c r="C11" s="9" t="s">
        <v>22</v>
      </c>
      <c r="D11" s="62">
        <v>1.43</v>
      </c>
      <c r="E11" s="31">
        <v>3.51</v>
      </c>
      <c r="F11" s="32">
        <f t="shared" si="0"/>
        <v>5.0192999999999994</v>
      </c>
      <c r="G11" s="33">
        <f t="shared" si="1"/>
        <v>5.5174825174825175</v>
      </c>
      <c r="H11" s="103">
        <v>7.89</v>
      </c>
      <c r="I11" s="126">
        <v>9.11</v>
      </c>
      <c r="J11" s="95">
        <v>9.8000000000000007</v>
      </c>
      <c r="K11" s="126">
        <f t="shared" si="2"/>
        <v>-0.69000000000000128</v>
      </c>
      <c r="L11" s="279">
        <v>8</v>
      </c>
      <c r="M11" s="281">
        <f t="shared" si="3"/>
        <v>5.594405594405595</v>
      </c>
      <c r="P11" s="7"/>
      <c r="Q11" s="7"/>
      <c r="R11" s="7"/>
      <c r="T11" s="124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</row>
    <row r="12" spans="1:40" ht="15.75" customHeight="1" x14ac:dyDescent="0.3">
      <c r="B12" s="9" t="s">
        <v>3</v>
      </c>
      <c r="C12" s="9" t="s">
        <v>24</v>
      </c>
      <c r="D12" s="62">
        <v>1.03</v>
      </c>
      <c r="E12" s="31">
        <v>6.36</v>
      </c>
      <c r="F12" s="32">
        <f t="shared" si="0"/>
        <v>6.5508000000000006</v>
      </c>
      <c r="G12" s="33">
        <f t="shared" si="1"/>
        <v>3.1844660194174756</v>
      </c>
      <c r="H12" s="103">
        <v>3.28</v>
      </c>
      <c r="I12" s="126">
        <v>5</v>
      </c>
      <c r="J12" s="95">
        <v>3.91</v>
      </c>
      <c r="K12" s="126">
        <f t="shared" si="2"/>
        <v>1.0899999999999999</v>
      </c>
      <c r="L12" s="279">
        <v>5</v>
      </c>
      <c r="M12" s="281">
        <f t="shared" si="3"/>
        <v>4.8543689320388346</v>
      </c>
      <c r="P12" s="7"/>
      <c r="Q12" s="7"/>
      <c r="R12" s="7"/>
      <c r="T12" s="124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</row>
    <row r="13" spans="1:40" ht="15.75" customHeight="1" x14ac:dyDescent="0.3">
      <c r="B13" s="35" t="s">
        <v>84</v>
      </c>
      <c r="C13" s="9" t="s">
        <v>85</v>
      </c>
      <c r="D13" s="62">
        <v>0.85</v>
      </c>
      <c r="E13" s="31"/>
      <c r="F13" s="32"/>
      <c r="G13" s="34">
        <f t="shared" si="1"/>
        <v>0</v>
      </c>
      <c r="H13" s="34">
        <v>0</v>
      </c>
      <c r="I13" s="112">
        <v>0</v>
      </c>
      <c r="J13" s="95">
        <v>2.0299999999999998</v>
      </c>
      <c r="K13" s="126">
        <f t="shared" si="2"/>
        <v>-2.0299999999999998</v>
      </c>
      <c r="L13" s="279">
        <v>3</v>
      </c>
      <c r="M13" s="281">
        <f t="shared" si="3"/>
        <v>3.5294117647058822</v>
      </c>
      <c r="P13" s="7"/>
      <c r="Q13" s="7"/>
      <c r="R13" s="7"/>
      <c r="T13" s="124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</row>
    <row r="14" spans="1:40" ht="15.75" customHeight="1" x14ac:dyDescent="0.3">
      <c r="B14" s="35" t="s">
        <v>7</v>
      </c>
      <c r="C14" s="72" t="s">
        <v>110</v>
      </c>
      <c r="D14" s="127">
        <v>2</v>
      </c>
      <c r="E14" s="31"/>
      <c r="F14" s="32"/>
      <c r="G14" s="31"/>
      <c r="H14" s="103"/>
      <c r="I14" s="112">
        <v>0</v>
      </c>
      <c r="J14" s="95">
        <v>10.56</v>
      </c>
      <c r="K14" s="126">
        <f t="shared" si="2"/>
        <v>-10.56</v>
      </c>
      <c r="L14" s="279">
        <v>10</v>
      </c>
      <c r="M14" s="281">
        <f t="shared" si="3"/>
        <v>5</v>
      </c>
      <c r="P14" s="7"/>
      <c r="Q14" s="7"/>
      <c r="R14" s="7"/>
      <c r="T14" s="124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</row>
    <row r="15" spans="1:40" ht="15.75" customHeight="1" x14ac:dyDescent="0.3">
      <c r="B15" s="35" t="s">
        <v>7</v>
      </c>
      <c r="C15" s="72" t="s">
        <v>111</v>
      </c>
      <c r="D15" s="127">
        <v>1.5</v>
      </c>
      <c r="E15" s="31"/>
      <c r="F15" s="32"/>
      <c r="G15" s="31"/>
      <c r="H15" s="103"/>
      <c r="I15" s="112">
        <v>0</v>
      </c>
      <c r="J15" s="95">
        <v>7.54</v>
      </c>
      <c r="K15" s="126">
        <f t="shared" si="2"/>
        <v>-7.54</v>
      </c>
      <c r="L15" s="279">
        <v>7.5</v>
      </c>
      <c r="M15" s="281">
        <f t="shared" si="3"/>
        <v>5</v>
      </c>
      <c r="O15" s="13"/>
      <c r="P15" s="27"/>
      <c r="Q15" s="28"/>
      <c r="R15" s="26"/>
      <c r="T15" s="35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</row>
    <row r="16" spans="1:40" ht="15.75" customHeight="1" x14ac:dyDescent="0.3">
      <c r="B16" s="35" t="s">
        <v>7</v>
      </c>
      <c r="C16" s="72" t="s">
        <v>100</v>
      </c>
      <c r="D16" s="127">
        <v>1.25</v>
      </c>
      <c r="E16" s="31"/>
      <c r="F16" s="32"/>
      <c r="G16" s="31"/>
      <c r="H16" s="103"/>
      <c r="I16" s="112">
        <v>0</v>
      </c>
      <c r="J16" s="95">
        <v>5.22</v>
      </c>
      <c r="K16" s="126">
        <f t="shared" si="2"/>
        <v>-5.22</v>
      </c>
      <c r="L16" s="279">
        <v>5</v>
      </c>
      <c r="M16" s="281">
        <f t="shared" si="3"/>
        <v>4</v>
      </c>
      <c r="O16" s="43"/>
      <c r="P16" s="77"/>
      <c r="Q16" s="73"/>
      <c r="R16" s="75"/>
      <c r="T16" s="35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</row>
    <row r="17" spans="1:38" ht="15.75" customHeight="1" x14ac:dyDescent="0.3">
      <c r="B17" s="35" t="s">
        <v>7</v>
      </c>
      <c r="C17" s="94" t="s">
        <v>87</v>
      </c>
      <c r="D17" s="127">
        <v>10.5</v>
      </c>
      <c r="E17" s="31"/>
      <c r="F17" s="32"/>
      <c r="G17" s="31"/>
      <c r="H17" s="104"/>
      <c r="I17" s="113">
        <v>0</v>
      </c>
      <c r="J17" s="97">
        <v>56.35</v>
      </c>
      <c r="K17" s="126">
        <f t="shared" si="2"/>
        <v>-56.35</v>
      </c>
      <c r="L17" s="279">
        <v>56.35</v>
      </c>
      <c r="M17" s="281">
        <f t="shared" si="3"/>
        <v>5.3666666666666671</v>
      </c>
      <c r="P17" s="6"/>
      <c r="Q17" s="6"/>
      <c r="R17" s="74"/>
      <c r="T17" s="79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</row>
    <row r="18" spans="1:38" ht="15.75" customHeight="1" x14ac:dyDescent="0.3">
      <c r="B18" s="137" t="s">
        <v>7</v>
      </c>
      <c r="C18" s="138" t="s">
        <v>114</v>
      </c>
      <c r="D18" s="139">
        <v>19.21</v>
      </c>
      <c r="E18" s="31"/>
      <c r="F18" s="32"/>
      <c r="G18" s="31"/>
      <c r="H18" s="104"/>
      <c r="I18" s="113">
        <v>101.3</v>
      </c>
      <c r="J18" s="97">
        <v>0</v>
      </c>
      <c r="K18" s="126">
        <f t="shared" si="2"/>
        <v>101.3</v>
      </c>
      <c r="L18" s="279">
        <v>0</v>
      </c>
      <c r="M18" s="281">
        <f t="shared" si="3"/>
        <v>0</v>
      </c>
      <c r="P18" s="6"/>
      <c r="Q18" s="6"/>
      <c r="R18" s="74"/>
      <c r="T18" s="79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</row>
    <row r="19" spans="1:38" ht="15.75" customHeight="1" x14ac:dyDescent="0.25">
      <c r="B19" s="12"/>
      <c r="C19" s="151" t="s">
        <v>115</v>
      </c>
      <c r="D19" s="152">
        <f>SUM(D4:D12)</f>
        <v>13.79</v>
      </c>
      <c r="E19" s="172"/>
      <c r="F19" s="173"/>
      <c r="G19" s="172"/>
      <c r="H19" s="174"/>
      <c r="I19" s="175">
        <f>SUM(I4:I12)</f>
        <v>79.75</v>
      </c>
      <c r="J19" s="176">
        <f>SUM(J4:J12)</f>
        <v>88.939999999999984</v>
      </c>
      <c r="K19" s="175">
        <f>I19-J19</f>
        <v>-9.1899999999999835</v>
      </c>
      <c r="L19" s="279">
        <f>SUM(L4:L12)</f>
        <v>76</v>
      </c>
      <c r="M19" s="281">
        <f t="shared" si="3"/>
        <v>5.5112400290065269</v>
      </c>
      <c r="O19" s="71"/>
      <c r="P19" s="6"/>
      <c r="Q19" s="6"/>
      <c r="R19" s="74"/>
      <c r="T19" s="124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</row>
    <row r="20" spans="1:38" ht="15.75" customHeight="1" x14ac:dyDescent="0.25">
      <c r="B20" s="12"/>
      <c r="C20" s="92" t="s">
        <v>119</v>
      </c>
      <c r="D20" s="148">
        <v>0.85</v>
      </c>
      <c r="E20" s="166"/>
      <c r="F20" s="173"/>
      <c r="G20" s="166"/>
      <c r="H20" s="174"/>
      <c r="I20" s="177">
        <v>0</v>
      </c>
      <c r="J20" s="149">
        <v>2.0299999999999998</v>
      </c>
      <c r="K20" s="177">
        <f>I20-J20</f>
        <v>-2.0299999999999998</v>
      </c>
      <c r="L20" s="279">
        <v>3</v>
      </c>
      <c r="M20" s="281">
        <f t="shared" si="3"/>
        <v>3.5294117647058822</v>
      </c>
      <c r="P20" s="7"/>
      <c r="Q20" s="7"/>
      <c r="R20" s="7"/>
      <c r="T20" s="124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</row>
    <row r="21" spans="1:38" ht="15.75" customHeight="1" thickBot="1" x14ac:dyDescent="0.3">
      <c r="C21" s="150" t="s">
        <v>117</v>
      </c>
      <c r="D21" s="178">
        <f>SUM(D14:D17)</f>
        <v>15.25</v>
      </c>
      <c r="E21" s="179"/>
      <c r="F21" s="180"/>
      <c r="G21" s="179"/>
      <c r="H21" s="181"/>
      <c r="I21" s="182">
        <v>101.3</v>
      </c>
      <c r="J21" s="183">
        <f>SUM(J14:J17)</f>
        <v>79.67</v>
      </c>
      <c r="K21" s="182">
        <f>I21-J21</f>
        <v>21.629999999999995</v>
      </c>
      <c r="L21" s="279">
        <f>SUM(L14:L17)</f>
        <v>78.849999999999994</v>
      </c>
      <c r="M21" s="281">
        <f t="shared" si="3"/>
        <v>5.1704918032786882</v>
      </c>
      <c r="P21" s="7"/>
      <c r="Q21" s="7"/>
      <c r="R21" s="7"/>
      <c r="T21" s="124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</row>
    <row r="22" spans="1:38" ht="15.75" customHeight="1" thickTop="1" x14ac:dyDescent="0.25">
      <c r="C22" s="146" t="s">
        <v>118</v>
      </c>
      <c r="D22" s="149">
        <f>SUM(D4:D17)</f>
        <v>29.89</v>
      </c>
      <c r="E22" s="149"/>
      <c r="F22" s="149"/>
      <c r="G22" s="149"/>
      <c r="H22" s="149"/>
      <c r="I22" s="177">
        <f>SUM(I4:I12,I18)</f>
        <v>181.05</v>
      </c>
      <c r="J22" s="149">
        <f>SUM(J19:J21)</f>
        <v>170.64</v>
      </c>
      <c r="K22" s="177">
        <f>SUM(K19:K21)</f>
        <v>10.410000000000013</v>
      </c>
      <c r="L22" s="279">
        <f>SUM(L19:L21)</f>
        <v>157.85</v>
      </c>
      <c r="M22" s="281">
        <f t="shared" si="3"/>
        <v>5.2810304449648706</v>
      </c>
      <c r="P22" s="7"/>
      <c r="Q22" s="7"/>
      <c r="R22" s="7"/>
      <c r="T22" s="124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</row>
    <row r="23" spans="1:38" s="15" customFormat="1" ht="15.75" customHeight="1" x14ac:dyDescent="0.25">
      <c r="A23" s="3" t="s">
        <v>13</v>
      </c>
      <c r="D23" s="3"/>
      <c r="E23" s="105"/>
      <c r="F23" s="105"/>
      <c r="G23" s="105"/>
      <c r="H23" s="105"/>
      <c r="I23" s="99"/>
      <c r="J23" s="83"/>
      <c r="K23" s="118"/>
      <c r="L23" s="279"/>
      <c r="M23" s="281"/>
      <c r="P23" s="125"/>
      <c r="Q23" s="125"/>
      <c r="R23" s="125"/>
      <c r="T23" s="124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</row>
    <row r="24" spans="1:38" ht="15.75" customHeight="1" x14ac:dyDescent="0.25">
      <c r="B24" s="9" t="s">
        <v>3</v>
      </c>
      <c r="C24" s="9" t="s">
        <v>29</v>
      </c>
      <c r="D24" s="93">
        <v>4.32</v>
      </c>
      <c r="E24" s="135">
        <f>F24/D24</f>
        <v>5.9490740740740735</v>
      </c>
      <c r="F24" s="189">
        <v>25.7</v>
      </c>
      <c r="G24" s="135">
        <f>H24/D24</f>
        <v>9.129629629629628</v>
      </c>
      <c r="H24" s="190">
        <v>39.44</v>
      </c>
      <c r="I24" s="126">
        <v>23.12</v>
      </c>
      <c r="J24" s="97">
        <v>36.31</v>
      </c>
      <c r="K24" s="126">
        <f>I24-J24</f>
        <v>-13.190000000000001</v>
      </c>
      <c r="L24" s="279">
        <v>30</v>
      </c>
      <c r="M24" s="281">
        <f t="shared" si="3"/>
        <v>6.9444444444444438</v>
      </c>
      <c r="N24" s="69" t="s">
        <v>128</v>
      </c>
      <c r="P24" s="7"/>
      <c r="Q24" s="7"/>
      <c r="R24" s="7"/>
      <c r="T24" s="124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</row>
    <row r="25" spans="1:38" ht="15.75" customHeight="1" x14ac:dyDescent="0.25">
      <c r="B25" s="9" t="s">
        <v>3</v>
      </c>
      <c r="C25" s="9" t="s">
        <v>31</v>
      </c>
      <c r="D25" s="93">
        <v>1.92</v>
      </c>
      <c r="E25" s="135">
        <f>F25/D25</f>
        <v>6.354166666666667</v>
      </c>
      <c r="F25" s="189">
        <v>12.2</v>
      </c>
      <c r="G25" s="135">
        <f>H25/D25</f>
        <v>8.984375</v>
      </c>
      <c r="H25" s="190">
        <v>17.25</v>
      </c>
      <c r="I25" s="126">
        <v>8.64</v>
      </c>
      <c r="J25" s="97">
        <v>17.260000000000002</v>
      </c>
      <c r="K25" s="126">
        <f t="shared" ref="K25:K28" si="4">I25-J25</f>
        <v>-8.620000000000001</v>
      </c>
      <c r="L25" s="279">
        <v>13.5</v>
      </c>
      <c r="M25" s="281">
        <f t="shared" si="3"/>
        <v>7.03125</v>
      </c>
      <c r="P25" s="7"/>
      <c r="Q25" s="7"/>
      <c r="R25" s="7"/>
      <c r="T25" s="124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</row>
    <row r="26" spans="1:38" ht="15.75" customHeight="1" x14ac:dyDescent="0.25">
      <c r="B26" s="9" t="s">
        <v>86</v>
      </c>
      <c r="C26" s="9" t="s">
        <v>32</v>
      </c>
      <c r="D26" s="39">
        <v>3.29</v>
      </c>
      <c r="E26" s="135">
        <f>F26/D26</f>
        <v>5.9270516717325226</v>
      </c>
      <c r="F26" s="189">
        <v>19.5</v>
      </c>
      <c r="G26" s="135">
        <f>H26/D26</f>
        <v>12.398176291793312</v>
      </c>
      <c r="H26" s="190">
        <v>40.79</v>
      </c>
      <c r="I26" s="126">
        <v>22.68</v>
      </c>
      <c r="J26" s="95">
        <v>38.07</v>
      </c>
      <c r="K26" s="126">
        <f t="shared" si="4"/>
        <v>-15.39</v>
      </c>
      <c r="L26" s="279">
        <v>25</v>
      </c>
      <c r="M26" s="281">
        <f t="shared" si="3"/>
        <v>7.598784194528875</v>
      </c>
      <c r="P26" s="7"/>
      <c r="Q26" s="7"/>
      <c r="R26" s="7"/>
      <c r="T26" s="124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</row>
    <row r="27" spans="1:38" ht="15.75" customHeight="1" x14ac:dyDescent="0.25">
      <c r="B27" s="9" t="s">
        <v>84</v>
      </c>
      <c r="C27" s="9" t="s">
        <v>88</v>
      </c>
      <c r="D27" s="39">
        <v>4.63</v>
      </c>
      <c r="E27" s="135"/>
      <c r="F27" s="189"/>
      <c r="G27" s="221">
        <v>0</v>
      </c>
      <c r="H27" s="221">
        <f t="shared" ref="H27" si="5">G27*$D27</f>
        <v>0</v>
      </c>
      <c r="I27" s="128">
        <v>0</v>
      </c>
      <c r="J27" s="95">
        <v>13.82</v>
      </c>
      <c r="K27" s="126">
        <f t="shared" si="4"/>
        <v>-13.82</v>
      </c>
      <c r="L27" s="279">
        <v>18</v>
      </c>
      <c r="M27" s="281">
        <f t="shared" si="3"/>
        <v>3.8876889848812097</v>
      </c>
      <c r="P27" s="7"/>
      <c r="Q27" s="7"/>
      <c r="R27" s="7"/>
      <c r="T27" s="79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</row>
    <row r="28" spans="1:38" ht="15.75" customHeight="1" x14ac:dyDescent="0.25">
      <c r="B28" s="12"/>
      <c r="C28" s="151" t="s">
        <v>115</v>
      </c>
      <c r="D28" s="159">
        <f>SUM(D24:D25)</f>
        <v>6.24</v>
      </c>
      <c r="E28" s="159"/>
      <c r="F28" s="160"/>
      <c r="G28" s="159"/>
      <c r="H28" s="160"/>
      <c r="I28" s="161">
        <f>SUM(I24:I25)</f>
        <v>31.76</v>
      </c>
      <c r="J28" s="162">
        <f>SUM(J24:J25)</f>
        <v>53.570000000000007</v>
      </c>
      <c r="K28" s="161">
        <f t="shared" si="4"/>
        <v>-21.810000000000006</v>
      </c>
      <c r="L28" s="279">
        <f>SUM(L24:L25)</f>
        <v>43.5</v>
      </c>
      <c r="M28" s="281">
        <f t="shared" si="3"/>
        <v>6.9711538461538458</v>
      </c>
      <c r="O28" s="13"/>
      <c r="P28" s="27"/>
      <c r="Q28" s="28"/>
      <c r="R28" s="26"/>
      <c r="T28" s="79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</row>
    <row r="29" spans="1:38" ht="15.75" customHeight="1" x14ac:dyDescent="0.25">
      <c r="B29" s="12"/>
      <c r="C29" s="71" t="s">
        <v>120</v>
      </c>
      <c r="D29" s="134">
        <f>SUM(D26:D27)</f>
        <v>7.92</v>
      </c>
      <c r="E29" s="134"/>
      <c r="F29" s="164"/>
      <c r="G29" s="134"/>
      <c r="H29" s="164"/>
      <c r="I29" s="165">
        <f>SUM(I26)</f>
        <v>22.68</v>
      </c>
      <c r="J29" s="166">
        <f>SUM(J26)</f>
        <v>38.07</v>
      </c>
      <c r="K29" s="171">
        <f>I29-J29</f>
        <v>-15.39</v>
      </c>
      <c r="L29" s="279">
        <f>SUM(L26)</f>
        <v>25</v>
      </c>
      <c r="M29" s="281">
        <f t="shared" si="3"/>
        <v>3.1565656565656566</v>
      </c>
      <c r="P29" s="6"/>
      <c r="Q29" s="6"/>
      <c r="R29" s="74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</row>
    <row r="30" spans="1:38" ht="15.75" customHeight="1" thickBot="1" x14ac:dyDescent="0.3">
      <c r="C30" s="156" t="s">
        <v>117</v>
      </c>
      <c r="D30" s="167">
        <v>0</v>
      </c>
      <c r="E30" s="167"/>
      <c r="F30" s="168"/>
      <c r="G30" s="167"/>
      <c r="H30" s="168"/>
      <c r="I30" s="169">
        <v>0</v>
      </c>
      <c r="J30" s="170">
        <v>13.82</v>
      </c>
      <c r="K30" s="169">
        <f t="shared" ref="K30" si="6">I30-J30</f>
        <v>-13.82</v>
      </c>
      <c r="L30" s="279">
        <v>13.82</v>
      </c>
      <c r="M30" s="281"/>
      <c r="O30" s="13"/>
      <c r="P30" s="27"/>
      <c r="Q30" s="27"/>
      <c r="R30" s="29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</row>
    <row r="31" spans="1:38" ht="15.75" customHeight="1" thickTop="1" x14ac:dyDescent="0.25">
      <c r="C31" s="79" t="s">
        <v>118</v>
      </c>
      <c r="D31" s="134">
        <f>SUM(D28:D29)</f>
        <v>14.16</v>
      </c>
      <c r="E31" s="133"/>
      <c r="F31" s="133"/>
      <c r="G31" s="133"/>
      <c r="H31" s="133"/>
      <c r="I31" s="171">
        <f>SUM(I28:I29)</f>
        <v>54.44</v>
      </c>
      <c r="J31" s="158">
        <f>SUM(J28:J30)</f>
        <v>105.46000000000001</v>
      </c>
      <c r="K31" s="171">
        <f>I31-J31</f>
        <v>-51.02000000000001</v>
      </c>
      <c r="L31" s="279">
        <f>SUM(L28:L30)</f>
        <v>82.32</v>
      </c>
      <c r="M31" s="281">
        <f t="shared" si="3"/>
        <v>5.8135593220338979</v>
      </c>
      <c r="U31" s="11"/>
    </row>
    <row r="32" spans="1:38" s="15" customFormat="1" ht="15.75" customHeight="1" x14ac:dyDescent="0.25">
      <c r="A32" s="3" t="s">
        <v>15</v>
      </c>
      <c r="C32" s="3"/>
      <c r="D32" s="37"/>
      <c r="E32" s="105"/>
      <c r="F32" s="16"/>
      <c r="G32" s="105"/>
      <c r="H32" s="105"/>
      <c r="I32" s="99"/>
      <c r="J32" s="83"/>
      <c r="K32" s="118"/>
      <c r="L32" s="279"/>
      <c r="M32" s="281"/>
    </row>
    <row r="33" spans="1:14" ht="15.75" customHeight="1" x14ac:dyDescent="0.25">
      <c r="B33" s="9" t="s">
        <v>3</v>
      </c>
      <c r="C33" s="9" t="s">
        <v>36</v>
      </c>
      <c r="D33" s="39">
        <v>4.04</v>
      </c>
      <c r="E33" s="135">
        <f>F33/D33</f>
        <v>5.2722772277227721</v>
      </c>
      <c r="F33" s="189">
        <v>21.3</v>
      </c>
      <c r="G33" s="135">
        <f>H33/D33</f>
        <v>5.6534653465346532</v>
      </c>
      <c r="H33" s="190">
        <v>22.84</v>
      </c>
      <c r="I33" s="126">
        <v>23.62</v>
      </c>
      <c r="J33" s="95">
        <v>20.239999999999998</v>
      </c>
      <c r="K33" s="126">
        <f>I33-J33</f>
        <v>3.3800000000000026</v>
      </c>
      <c r="L33" s="279">
        <v>20</v>
      </c>
      <c r="M33" s="281">
        <f t="shared" si="3"/>
        <v>4.9504950495049505</v>
      </c>
      <c r="N33" s="69" t="s">
        <v>129</v>
      </c>
    </row>
    <row r="34" spans="1:14" ht="15.75" customHeight="1" x14ac:dyDescent="0.25">
      <c r="B34" s="9" t="s">
        <v>86</v>
      </c>
      <c r="C34" s="9" t="s">
        <v>37</v>
      </c>
      <c r="D34" s="39">
        <v>5.04</v>
      </c>
      <c r="E34" s="135">
        <f>F34/D34</f>
        <v>5.2063492063492056</v>
      </c>
      <c r="F34" s="189">
        <v>26.24</v>
      </c>
      <c r="G34" s="135">
        <f t="shared" ref="G34:G35" si="7">H34/D34</f>
        <v>7.5634920634920633</v>
      </c>
      <c r="H34" s="190">
        <v>38.119999999999997</v>
      </c>
      <c r="I34" s="126">
        <v>27.94</v>
      </c>
      <c r="J34" s="95">
        <v>29.95</v>
      </c>
      <c r="K34" s="126">
        <f t="shared" ref="K34:K39" si="8">I34-J34</f>
        <v>-2.009999999999998</v>
      </c>
      <c r="L34" s="279">
        <v>25</v>
      </c>
      <c r="M34" s="281">
        <f t="shared" si="3"/>
        <v>4.9603174603174605</v>
      </c>
    </row>
    <row r="35" spans="1:14" ht="15.75" customHeight="1" x14ac:dyDescent="0.25">
      <c r="B35" s="9" t="s">
        <v>6</v>
      </c>
      <c r="C35" s="9" t="s">
        <v>38</v>
      </c>
      <c r="D35" s="39">
        <v>1.65</v>
      </c>
      <c r="E35" s="135">
        <f>F35/D35</f>
        <v>8.0121212121212135</v>
      </c>
      <c r="F35" s="189">
        <v>13.22</v>
      </c>
      <c r="G35" s="135">
        <f t="shared" si="7"/>
        <v>8.2060606060606052</v>
      </c>
      <c r="H35" s="190">
        <v>13.54</v>
      </c>
      <c r="I35" s="126">
        <v>14.07</v>
      </c>
      <c r="J35" s="95">
        <v>12.07</v>
      </c>
      <c r="K35" s="126">
        <f t="shared" si="8"/>
        <v>2</v>
      </c>
      <c r="L35" s="279">
        <v>10</v>
      </c>
      <c r="M35" s="281">
        <f t="shared" si="3"/>
        <v>6.0606060606060606</v>
      </c>
    </row>
    <row r="36" spans="1:14" ht="15.75" customHeight="1" x14ac:dyDescent="0.25">
      <c r="B36" s="12"/>
      <c r="C36" s="151" t="s">
        <v>115</v>
      </c>
      <c r="D36" s="163">
        <f>SUM(D33,D35)</f>
        <v>5.6899999999999995</v>
      </c>
      <c r="E36" s="163"/>
      <c r="F36" s="163"/>
      <c r="G36" s="163"/>
      <c r="H36" s="163"/>
      <c r="I36" s="161">
        <f>SUM(I33,I35)</f>
        <v>37.69</v>
      </c>
      <c r="J36" s="222">
        <f>SUM(J33,J35)</f>
        <v>32.31</v>
      </c>
      <c r="K36" s="161">
        <f t="shared" si="8"/>
        <v>5.3799999999999955</v>
      </c>
      <c r="L36" s="279">
        <f>SUM(L33,L35)</f>
        <v>30</v>
      </c>
      <c r="M36" s="281">
        <f t="shared" si="3"/>
        <v>5.272407732864675</v>
      </c>
    </row>
    <row r="37" spans="1:14" ht="15.75" customHeight="1" x14ac:dyDescent="0.25">
      <c r="B37" s="12"/>
      <c r="C37" s="71" t="s">
        <v>119</v>
      </c>
      <c r="D37" s="158">
        <v>5.04</v>
      </c>
      <c r="E37" s="158"/>
      <c r="F37" s="213"/>
      <c r="G37" s="158"/>
      <c r="H37" s="213"/>
      <c r="I37" s="165">
        <v>27.94</v>
      </c>
      <c r="J37" s="149">
        <v>29.95</v>
      </c>
      <c r="K37" s="171">
        <f t="shared" si="8"/>
        <v>-2.009999999999998</v>
      </c>
      <c r="L37" s="279">
        <v>25</v>
      </c>
      <c r="M37" s="281">
        <f t="shared" si="3"/>
        <v>4.9603174603174605</v>
      </c>
    </row>
    <row r="38" spans="1:14" ht="15.75" customHeight="1" thickBot="1" x14ac:dyDescent="0.3">
      <c r="C38" s="156" t="s">
        <v>117</v>
      </c>
      <c r="D38" s="170" t="s">
        <v>109</v>
      </c>
      <c r="E38" s="170"/>
      <c r="F38" s="170"/>
      <c r="G38" s="170"/>
      <c r="H38" s="170"/>
      <c r="I38" s="169">
        <v>0</v>
      </c>
      <c r="J38" s="170">
        <v>0</v>
      </c>
      <c r="K38" s="169">
        <f t="shared" si="8"/>
        <v>0</v>
      </c>
      <c r="L38" s="279">
        <v>0</v>
      </c>
      <c r="M38" s="281"/>
    </row>
    <row r="39" spans="1:14" ht="15.75" customHeight="1" thickTop="1" x14ac:dyDescent="0.25">
      <c r="C39" s="79" t="s">
        <v>118</v>
      </c>
      <c r="D39" s="134">
        <f>SUM(D36,D37)</f>
        <v>10.73</v>
      </c>
      <c r="E39" s="133"/>
      <c r="F39" s="133"/>
      <c r="G39" s="133"/>
      <c r="H39" s="133"/>
      <c r="I39" s="171">
        <f>SUM(I36:I37)</f>
        <v>65.63</v>
      </c>
      <c r="J39" s="158">
        <f>SUM(J36:J37)</f>
        <v>62.260000000000005</v>
      </c>
      <c r="K39" s="171">
        <f t="shared" si="8"/>
        <v>3.3699999999999903</v>
      </c>
      <c r="L39" s="279">
        <f>SUM(L36:L37)</f>
        <v>55</v>
      </c>
      <c r="M39" s="281">
        <f t="shared" si="3"/>
        <v>5.1258154706430563</v>
      </c>
    </row>
    <row r="40" spans="1:14" s="15" customFormat="1" ht="15.75" customHeight="1" x14ac:dyDescent="0.25">
      <c r="A40" s="3" t="s">
        <v>17</v>
      </c>
      <c r="C40" s="3"/>
      <c r="D40" s="37"/>
      <c r="E40" s="105"/>
      <c r="F40" s="16"/>
      <c r="G40" s="105"/>
      <c r="H40" s="105"/>
      <c r="I40" s="99"/>
      <c r="J40" s="83"/>
      <c r="K40" s="118"/>
      <c r="L40" s="279"/>
      <c r="M40" s="281"/>
    </row>
    <row r="41" spans="1:14" ht="15.75" customHeight="1" x14ac:dyDescent="0.25">
      <c r="B41" s="9" t="s">
        <v>3</v>
      </c>
      <c r="C41" s="9" t="s">
        <v>39</v>
      </c>
      <c r="D41" s="62">
        <v>1.89</v>
      </c>
      <c r="E41" s="33">
        <f t="shared" ref="E41:E47" si="9">F41/D41</f>
        <v>3.8571428571428572</v>
      </c>
      <c r="F41" s="32">
        <v>7.29</v>
      </c>
      <c r="G41" s="33">
        <f>H41/D41</f>
        <v>3.412698412698413</v>
      </c>
      <c r="H41" s="103">
        <v>6.45</v>
      </c>
      <c r="I41" s="126">
        <v>8.3699999999999992</v>
      </c>
      <c r="J41" s="95">
        <v>9.23</v>
      </c>
      <c r="K41" s="126">
        <f>I41-J41</f>
        <v>-0.86000000000000121</v>
      </c>
      <c r="L41" s="279">
        <v>9</v>
      </c>
      <c r="M41" s="281">
        <f t="shared" si="3"/>
        <v>4.7619047619047619</v>
      </c>
      <c r="N41" s="69" t="s">
        <v>130</v>
      </c>
    </row>
    <row r="42" spans="1:14" ht="15.75" customHeight="1" x14ac:dyDescent="0.25">
      <c r="B42" s="9" t="s">
        <v>86</v>
      </c>
      <c r="C42" s="9" t="s">
        <v>31</v>
      </c>
      <c r="D42" s="62">
        <v>0.57999999999999996</v>
      </c>
      <c r="E42" s="33">
        <f t="shared" si="9"/>
        <v>1.1379310344827587</v>
      </c>
      <c r="F42" s="32">
        <v>0.66</v>
      </c>
      <c r="G42" s="33">
        <f t="shared" ref="G42:G47" si="10">H42/D42</f>
        <v>5.6551724137931032</v>
      </c>
      <c r="H42" s="103">
        <v>3.28</v>
      </c>
      <c r="I42" s="126">
        <v>3.04</v>
      </c>
      <c r="J42" s="95">
        <v>2.68</v>
      </c>
      <c r="K42" s="126">
        <f t="shared" ref="K42:K57" si="11">I42-J42</f>
        <v>0.35999999999999988</v>
      </c>
      <c r="L42" s="279">
        <v>3</v>
      </c>
      <c r="M42" s="281">
        <f t="shared" si="3"/>
        <v>5.1724137931034484</v>
      </c>
    </row>
    <row r="43" spans="1:14" ht="15.75" customHeight="1" x14ac:dyDescent="0.25">
      <c r="B43" s="72" t="s">
        <v>4</v>
      </c>
      <c r="C43" s="9" t="s">
        <v>40</v>
      </c>
      <c r="D43" s="62">
        <v>9.11</v>
      </c>
      <c r="E43" s="33">
        <f t="shared" si="9"/>
        <v>1.7069154774972559</v>
      </c>
      <c r="F43" s="32">
        <v>15.55</v>
      </c>
      <c r="G43" s="33">
        <f t="shared" si="10"/>
        <v>1.96377607025247</v>
      </c>
      <c r="H43" s="103">
        <v>17.89</v>
      </c>
      <c r="I43" s="126">
        <v>21.02</v>
      </c>
      <c r="J43" s="95">
        <v>31.83</v>
      </c>
      <c r="K43" s="126">
        <f t="shared" si="11"/>
        <v>-10.809999999999999</v>
      </c>
      <c r="L43" s="279">
        <v>25</v>
      </c>
      <c r="M43" s="281">
        <f t="shared" si="3"/>
        <v>2.7442371020856204</v>
      </c>
    </row>
    <row r="44" spans="1:14" ht="15.75" customHeight="1" x14ac:dyDescent="0.25">
      <c r="B44" s="9" t="s">
        <v>89</v>
      </c>
      <c r="C44" s="9" t="s">
        <v>90</v>
      </c>
      <c r="D44" s="62">
        <v>7.34</v>
      </c>
      <c r="E44" s="33">
        <f t="shared" si="9"/>
        <v>4.4468664850136239</v>
      </c>
      <c r="F44" s="32">
        <v>32.64</v>
      </c>
      <c r="G44" s="33">
        <f t="shared" si="10"/>
        <v>5.5871934604904627</v>
      </c>
      <c r="H44" s="103">
        <v>41.01</v>
      </c>
      <c r="I44" s="126">
        <v>51.91</v>
      </c>
      <c r="J44" s="95">
        <v>41.95</v>
      </c>
      <c r="K44" s="126">
        <f t="shared" si="11"/>
        <v>9.9599999999999937</v>
      </c>
      <c r="L44" s="279">
        <v>37.5</v>
      </c>
      <c r="M44" s="281">
        <f t="shared" si="3"/>
        <v>5.1089918256130789</v>
      </c>
    </row>
    <row r="45" spans="1:14" ht="15.75" customHeight="1" x14ac:dyDescent="0.25">
      <c r="A45" s="1"/>
      <c r="B45" s="18" t="s">
        <v>7</v>
      </c>
      <c r="C45" s="18" t="s">
        <v>41</v>
      </c>
      <c r="D45" s="129">
        <v>2</v>
      </c>
      <c r="E45" s="40">
        <f t="shared" si="9"/>
        <v>4.12</v>
      </c>
      <c r="F45" s="41">
        <v>8.24</v>
      </c>
      <c r="G45" s="40">
        <f t="shared" si="10"/>
        <v>2.93</v>
      </c>
      <c r="H45" s="107">
        <v>5.86</v>
      </c>
      <c r="I45" s="140">
        <v>5.38</v>
      </c>
      <c r="J45" s="97">
        <v>7.8</v>
      </c>
      <c r="K45" s="126">
        <f t="shared" si="11"/>
        <v>-2.42</v>
      </c>
      <c r="L45" s="279">
        <v>0</v>
      </c>
      <c r="M45" s="281">
        <f t="shared" si="3"/>
        <v>0</v>
      </c>
    </row>
    <row r="46" spans="1:14" ht="15.75" customHeight="1" x14ac:dyDescent="0.25">
      <c r="B46" s="18" t="s">
        <v>7</v>
      </c>
      <c r="C46" s="18" t="s">
        <v>42</v>
      </c>
      <c r="D46" s="129">
        <v>2</v>
      </c>
      <c r="E46" s="40">
        <f t="shared" si="9"/>
        <v>2.92</v>
      </c>
      <c r="F46" s="41">
        <v>5.84</v>
      </c>
      <c r="G46" s="40">
        <f t="shared" si="10"/>
        <v>2.9449999999999998</v>
      </c>
      <c r="H46" s="107">
        <v>5.89</v>
      </c>
      <c r="I46" s="140">
        <v>2.4</v>
      </c>
      <c r="J46" s="97">
        <v>8.4</v>
      </c>
      <c r="K46" s="126">
        <f t="shared" si="11"/>
        <v>-6</v>
      </c>
      <c r="L46" s="279">
        <v>8</v>
      </c>
      <c r="M46" s="281">
        <f t="shared" si="3"/>
        <v>4</v>
      </c>
    </row>
    <row r="47" spans="1:14" ht="15.75" customHeight="1" x14ac:dyDescent="0.25">
      <c r="B47" s="18" t="s">
        <v>7</v>
      </c>
      <c r="C47" s="18" t="s">
        <v>43</v>
      </c>
      <c r="D47" s="129">
        <v>4</v>
      </c>
      <c r="E47" s="40">
        <f t="shared" si="9"/>
        <v>1.69</v>
      </c>
      <c r="F47" s="41">
        <v>6.76</v>
      </c>
      <c r="G47" s="40">
        <f t="shared" si="10"/>
        <v>2.73</v>
      </c>
      <c r="H47" s="107">
        <v>10.92</v>
      </c>
      <c r="I47" s="140">
        <v>24.55</v>
      </c>
      <c r="J47" s="97">
        <v>16.86</v>
      </c>
      <c r="K47" s="126">
        <f t="shared" si="11"/>
        <v>7.6900000000000013</v>
      </c>
      <c r="L47" s="279">
        <v>16</v>
      </c>
      <c r="M47" s="281">
        <f t="shared" si="3"/>
        <v>4</v>
      </c>
    </row>
    <row r="48" spans="1:14" ht="15.75" customHeight="1" x14ac:dyDescent="0.25">
      <c r="B48" s="18" t="s">
        <v>7</v>
      </c>
      <c r="C48" s="18" t="s">
        <v>91</v>
      </c>
      <c r="D48" s="129">
        <v>4.25</v>
      </c>
      <c r="E48" s="40"/>
      <c r="F48" s="41"/>
      <c r="G48" s="40"/>
      <c r="H48" s="107"/>
      <c r="I48" s="140">
        <v>14.49</v>
      </c>
      <c r="J48" s="97">
        <v>17.53</v>
      </c>
      <c r="K48" s="126">
        <f t="shared" si="11"/>
        <v>-3.0400000000000009</v>
      </c>
      <c r="L48" s="279">
        <v>15</v>
      </c>
      <c r="M48" s="281">
        <f t="shared" si="3"/>
        <v>3.5294117647058822</v>
      </c>
    </row>
    <row r="49" spans="1:14" ht="15.75" customHeight="1" x14ac:dyDescent="0.25">
      <c r="B49" s="18" t="s">
        <v>7</v>
      </c>
      <c r="C49" s="72" t="s">
        <v>99</v>
      </c>
      <c r="D49" s="129">
        <v>3</v>
      </c>
      <c r="E49" s="40"/>
      <c r="F49" s="41"/>
      <c r="G49" s="40"/>
      <c r="H49" s="107"/>
      <c r="I49" s="113">
        <v>0</v>
      </c>
      <c r="J49" s="95">
        <v>16.14</v>
      </c>
      <c r="K49" s="126">
        <f t="shared" si="11"/>
        <v>-16.14</v>
      </c>
      <c r="L49" s="279">
        <v>0</v>
      </c>
      <c r="M49" s="281">
        <f t="shared" si="3"/>
        <v>0</v>
      </c>
    </row>
    <row r="50" spans="1:14" ht="15.75" customHeight="1" x14ac:dyDescent="0.25">
      <c r="B50" s="18" t="s">
        <v>7</v>
      </c>
      <c r="C50" s="72" t="s">
        <v>100</v>
      </c>
      <c r="D50" s="129">
        <v>6.5</v>
      </c>
      <c r="E50" s="40"/>
      <c r="F50" s="41"/>
      <c r="G50" s="40"/>
      <c r="H50" s="107"/>
      <c r="I50" s="113">
        <v>0</v>
      </c>
      <c r="J50" s="95">
        <v>15.06</v>
      </c>
      <c r="K50" s="126">
        <f t="shared" si="11"/>
        <v>-15.06</v>
      </c>
      <c r="L50" s="279">
        <v>15</v>
      </c>
      <c r="M50" s="281">
        <f t="shared" si="3"/>
        <v>2.3076923076923075</v>
      </c>
    </row>
    <row r="51" spans="1:14" ht="15.75" customHeight="1" x14ac:dyDescent="0.25">
      <c r="B51" s="18" t="s">
        <v>7</v>
      </c>
      <c r="C51" s="72" t="s">
        <v>102</v>
      </c>
      <c r="D51" s="129">
        <v>4</v>
      </c>
      <c r="E51" s="40"/>
      <c r="F51" s="41"/>
      <c r="G51" s="40"/>
      <c r="H51" s="107"/>
      <c r="I51" s="113">
        <v>0</v>
      </c>
      <c r="J51" s="95">
        <v>10.48</v>
      </c>
      <c r="K51" s="126">
        <f t="shared" si="11"/>
        <v>-10.48</v>
      </c>
      <c r="L51" s="279">
        <v>0</v>
      </c>
      <c r="M51" s="281">
        <f t="shared" si="3"/>
        <v>0</v>
      </c>
    </row>
    <row r="52" spans="1:14" ht="15.75" customHeight="1" x14ac:dyDescent="0.25">
      <c r="B52" s="18" t="s">
        <v>7</v>
      </c>
      <c r="C52" s="72" t="s">
        <v>101</v>
      </c>
      <c r="D52" s="129">
        <v>0.3</v>
      </c>
      <c r="E52" s="40"/>
      <c r="F52" s="41"/>
      <c r="G52" s="40"/>
      <c r="H52" s="107"/>
      <c r="I52" s="113">
        <v>0</v>
      </c>
      <c r="J52" s="95">
        <v>1.39</v>
      </c>
      <c r="K52" s="126">
        <f t="shared" si="11"/>
        <v>-1.39</v>
      </c>
      <c r="L52" s="279">
        <v>0</v>
      </c>
      <c r="M52" s="281">
        <f t="shared" si="3"/>
        <v>0</v>
      </c>
    </row>
    <row r="53" spans="1:14" ht="15.75" customHeight="1" x14ac:dyDescent="0.25">
      <c r="B53" s="143" t="s">
        <v>7</v>
      </c>
      <c r="C53" s="137" t="s">
        <v>114</v>
      </c>
      <c r="D53" s="144">
        <v>19.62</v>
      </c>
      <c r="E53" s="40"/>
      <c r="F53" s="107"/>
      <c r="G53" s="40"/>
      <c r="H53" s="107"/>
      <c r="I53" s="113">
        <v>55.72</v>
      </c>
      <c r="J53" s="142">
        <v>0</v>
      </c>
      <c r="K53" s="126">
        <f t="shared" si="11"/>
        <v>55.72</v>
      </c>
      <c r="L53" s="279">
        <v>0</v>
      </c>
      <c r="M53" s="281">
        <f t="shared" si="3"/>
        <v>0</v>
      </c>
    </row>
    <row r="54" spans="1:14" ht="15.75" customHeight="1" x14ac:dyDescent="0.25">
      <c r="A54" s="69"/>
      <c r="B54" s="12"/>
      <c r="C54" s="151" t="s">
        <v>115</v>
      </c>
      <c r="D54" s="176">
        <f>SUM(D41+D43)</f>
        <v>11</v>
      </c>
      <c r="E54" s="176"/>
      <c r="F54" s="176"/>
      <c r="G54" s="176"/>
      <c r="H54" s="176"/>
      <c r="I54" s="187">
        <f>SUM(I41,I43)</f>
        <v>29.39</v>
      </c>
      <c r="J54" s="176">
        <f>SUM(J41,J43)</f>
        <v>41.06</v>
      </c>
      <c r="K54" s="161">
        <f t="shared" si="11"/>
        <v>-11.670000000000002</v>
      </c>
      <c r="L54" s="279">
        <f>SUM(L41,L43)</f>
        <v>34</v>
      </c>
      <c r="M54" s="281">
        <f t="shared" si="3"/>
        <v>3.0909090909090908</v>
      </c>
    </row>
    <row r="55" spans="1:14" ht="15.75" customHeight="1" x14ac:dyDescent="0.25">
      <c r="B55" s="12"/>
      <c r="C55" s="145" t="s">
        <v>119</v>
      </c>
      <c r="D55" s="149">
        <f>SUM(D42,D44)</f>
        <v>7.92</v>
      </c>
      <c r="E55" s="149"/>
      <c r="F55" s="149"/>
      <c r="G55" s="149"/>
      <c r="H55" s="149"/>
      <c r="I55" s="165">
        <f>SUM(I42,I44)</f>
        <v>54.949999999999996</v>
      </c>
      <c r="J55" s="149">
        <f>SUM(J42,J44)</f>
        <v>44.63</v>
      </c>
      <c r="K55" s="171">
        <f t="shared" si="11"/>
        <v>10.319999999999993</v>
      </c>
      <c r="L55" s="279">
        <f>SUM(L42,L44)</f>
        <v>40.5</v>
      </c>
      <c r="M55" s="281">
        <f t="shared" si="3"/>
        <v>5.1136363636363633</v>
      </c>
    </row>
    <row r="56" spans="1:14" ht="15.75" customHeight="1" thickBot="1" x14ac:dyDescent="0.3">
      <c r="C56" s="150" t="s">
        <v>117</v>
      </c>
      <c r="D56" s="183">
        <f>SUM(D45:D52)</f>
        <v>26.05</v>
      </c>
      <c r="E56" s="183"/>
      <c r="F56" s="183"/>
      <c r="G56" s="183"/>
      <c r="H56" s="183"/>
      <c r="I56" s="188">
        <f>SUM(I45:I48,I53)</f>
        <v>102.53999999999999</v>
      </c>
      <c r="J56" s="183">
        <f>SUM(J45:J52)</f>
        <v>93.660000000000011</v>
      </c>
      <c r="K56" s="169">
        <f t="shared" si="11"/>
        <v>8.8799999999999812</v>
      </c>
      <c r="L56" s="279">
        <f>SUM(L45:L52)</f>
        <v>54</v>
      </c>
      <c r="M56" s="281">
        <f t="shared" si="3"/>
        <v>2.0729366602687138</v>
      </c>
    </row>
    <row r="57" spans="1:14" ht="15.75" customHeight="1" thickTop="1" x14ac:dyDescent="0.25">
      <c r="C57" s="146" t="s">
        <v>9</v>
      </c>
      <c r="D57" s="186">
        <f>SUM(D54:D56)</f>
        <v>44.97</v>
      </c>
      <c r="E57" s="185"/>
      <c r="F57" s="185"/>
      <c r="G57" s="185"/>
      <c r="H57" s="185"/>
      <c r="I57" s="165">
        <f>SUM(I54:I56)</f>
        <v>186.88</v>
      </c>
      <c r="J57" s="149">
        <f>SUM(J54:J56)</f>
        <v>179.35000000000002</v>
      </c>
      <c r="K57" s="171">
        <f t="shared" si="11"/>
        <v>7.5299999999999727</v>
      </c>
      <c r="L57" s="279">
        <f>SUM(L54:L56)</f>
        <v>128.5</v>
      </c>
      <c r="M57" s="281">
        <f t="shared" si="3"/>
        <v>2.8574605292417168</v>
      </c>
    </row>
    <row r="58" spans="1:14" s="15" customFormat="1" ht="15.75" customHeight="1" x14ac:dyDescent="0.25">
      <c r="A58" s="3" t="s">
        <v>19</v>
      </c>
      <c r="C58" s="3"/>
      <c r="D58" s="37"/>
      <c r="E58" s="105"/>
      <c r="F58" s="16"/>
      <c r="G58" s="105"/>
      <c r="H58" s="105"/>
      <c r="I58" s="99"/>
      <c r="J58" s="83"/>
      <c r="K58" s="116"/>
      <c r="L58" s="279"/>
      <c r="M58" s="281"/>
    </row>
    <row r="59" spans="1:14" ht="15.75" customHeight="1" x14ac:dyDescent="0.25">
      <c r="B59" s="9" t="s">
        <v>3</v>
      </c>
      <c r="C59" s="9" t="s">
        <v>37</v>
      </c>
      <c r="D59" s="39">
        <v>4.43</v>
      </c>
      <c r="E59" s="135">
        <f>F59/D59</f>
        <v>1.3431151241534991</v>
      </c>
      <c r="F59" s="189">
        <v>5.95</v>
      </c>
      <c r="G59" s="135">
        <f>H59/D59</f>
        <v>3.7200902934537248</v>
      </c>
      <c r="H59" s="190">
        <v>16.48</v>
      </c>
      <c r="I59" s="126">
        <v>7.02</v>
      </c>
      <c r="J59" s="95">
        <v>12.88</v>
      </c>
      <c r="K59" s="171">
        <f>I59-J59</f>
        <v>-5.8600000000000012</v>
      </c>
      <c r="L59" s="279">
        <v>10</v>
      </c>
      <c r="M59" s="281">
        <f t="shared" si="3"/>
        <v>2.2573363431151243</v>
      </c>
    </row>
    <row r="60" spans="1:14" s="15" customFormat="1" ht="15.75" customHeight="1" x14ac:dyDescent="0.25">
      <c r="A60" s="3" t="s">
        <v>21</v>
      </c>
      <c r="C60" s="3"/>
      <c r="D60" s="37"/>
      <c r="E60" s="105"/>
      <c r="F60" s="16"/>
      <c r="G60" s="105"/>
      <c r="H60" s="105"/>
      <c r="I60" s="99"/>
      <c r="J60" s="83"/>
      <c r="K60" s="118"/>
      <c r="L60" s="279"/>
      <c r="M60" s="281"/>
    </row>
    <row r="61" spans="1:14" ht="15.75" customHeight="1" x14ac:dyDescent="0.25">
      <c r="B61" s="9" t="s">
        <v>3</v>
      </c>
      <c r="C61" s="9" t="s">
        <v>44</v>
      </c>
      <c r="D61" s="39">
        <v>3.55</v>
      </c>
      <c r="E61" s="135">
        <f>F61/D61</f>
        <v>2.4281690140845069</v>
      </c>
      <c r="F61" s="189">
        <v>8.6199999999999992</v>
      </c>
      <c r="G61" s="135">
        <f>H61/D61</f>
        <v>5.7098591549295774</v>
      </c>
      <c r="H61" s="190">
        <v>20.27</v>
      </c>
      <c r="I61" s="126">
        <v>13.77</v>
      </c>
      <c r="J61" s="95">
        <v>22</v>
      </c>
      <c r="K61" s="126">
        <f>I61-J61</f>
        <v>-8.23</v>
      </c>
      <c r="L61" s="279">
        <v>20</v>
      </c>
      <c r="M61" s="281">
        <f t="shared" si="3"/>
        <v>5.6338028169014089</v>
      </c>
      <c r="N61" s="69" t="s">
        <v>131</v>
      </c>
    </row>
    <row r="62" spans="1:14" ht="15.75" customHeight="1" x14ac:dyDescent="0.25">
      <c r="B62" s="9" t="s">
        <v>86</v>
      </c>
      <c r="C62" s="9" t="s">
        <v>45</v>
      </c>
      <c r="D62" s="39">
        <v>1.9</v>
      </c>
      <c r="E62" s="135">
        <f>F62/D62</f>
        <v>2.1578947368421053</v>
      </c>
      <c r="F62" s="189">
        <v>4.0999999999999996</v>
      </c>
      <c r="G62" s="135">
        <f>H62/D62</f>
        <v>4.121052631578948</v>
      </c>
      <c r="H62" s="190">
        <v>7.83</v>
      </c>
      <c r="I62" s="126">
        <v>7.47</v>
      </c>
      <c r="J62" s="95">
        <v>8.77</v>
      </c>
      <c r="K62" s="126">
        <f t="shared" ref="K62:K67" si="12">I62-J62</f>
        <v>-1.2999999999999998</v>
      </c>
      <c r="L62" s="279">
        <v>8</v>
      </c>
      <c r="M62" s="281">
        <f t="shared" si="3"/>
        <v>4.2105263157894735</v>
      </c>
    </row>
    <row r="63" spans="1:14" ht="15.75" customHeight="1" x14ac:dyDescent="0.25">
      <c r="B63" s="18" t="s">
        <v>7</v>
      </c>
      <c r="C63" s="18" t="s">
        <v>92</v>
      </c>
      <c r="D63" s="129">
        <v>7</v>
      </c>
      <c r="E63" s="141"/>
      <c r="F63" s="192">
        <v>30.08</v>
      </c>
      <c r="G63" s="141"/>
      <c r="H63" s="193">
        <v>40.35</v>
      </c>
      <c r="I63" s="140">
        <v>40.96</v>
      </c>
      <c r="J63" s="97">
        <v>34.729999999999997</v>
      </c>
      <c r="K63" s="126">
        <f t="shared" si="12"/>
        <v>6.230000000000004</v>
      </c>
      <c r="L63" s="279">
        <v>35</v>
      </c>
      <c r="M63" s="281">
        <f t="shared" si="3"/>
        <v>5</v>
      </c>
    </row>
    <row r="64" spans="1:14" ht="15.75" customHeight="1" x14ac:dyDescent="0.25">
      <c r="B64" s="12"/>
      <c r="C64" s="151" t="s">
        <v>115</v>
      </c>
      <c r="D64" s="198">
        <v>3.55</v>
      </c>
      <c r="E64" s="176"/>
      <c r="F64" s="176"/>
      <c r="G64" s="176"/>
      <c r="H64" s="176"/>
      <c r="I64" s="187">
        <v>13.77</v>
      </c>
      <c r="J64" s="176">
        <v>22</v>
      </c>
      <c r="K64" s="161">
        <f t="shared" si="12"/>
        <v>-8.23</v>
      </c>
      <c r="L64" s="279">
        <v>22</v>
      </c>
      <c r="M64" s="281">
        <f t="shared" si="3"/>
        <v>6.1971830985915499</v>
      </c>
    </row>
    <row r="65" spans="1:14" ht="15.75" customHeight="1" x14ac:dyDescent="0.25">
      <c r="B65" s="12"/>
      <c r="C65" s="71" t="s">
        <v>119</v>
      </c>
      <c r="D65" s="199">
        <v>1.9</v>
      </c>
      <c r="E65" s="149"/>
      <c r="F65" s="149"/>
      <c r="G65" s="149"/>
      <c r="H65" s="149"/>
      <c r="I65" s="165">
        <v>7.47</v>
      </c>
      <c r="J65" s="149">
        <v>8.77</v>
      </c>
      <c r="K65" s="171">
        <f t="shared" si="12"/>
        <v>-1.2999999999999998</v>
      </c>
      <c r="L65" s="279">
        <v>8.77</v>
      </c>
      <c r="M65" s="281">
        <f t="shared" si="3"/>
        <v>4.6157894736842104</v>
      </c>
    </row>
    <row r="66" spans="1:14" ht="15.75" customHeight="1" thickBot="1" x14ac:dyDescent="0.3">
      <c r="C66" s="156" t="s">
        <v>117</v>
      </c>
      <c r="D66" s="200">
        <v>7</v>
      </c>
      <c r="E66" s="183"/>
      <c r="F66" s="183"/>
      <c r="G66" s="183"/>
      <c r="H66" s="183"/>
      <c r="I66" s="188">
        <v>40.96</v>
      </c>
      <c r="J66" s="183">
        <v>34.729999999999997</v>
      </c>
      <c r="K66" s="169">
        <f t="shared" si="12"/>
        <v>6.230000000000004</v>
      </c>
      <c r="L66" s="279">
        <v>34.729999999999997</v>
      </c>
      <c r="M66" s="281">
        <f t="shared" si="3"/>
        <v>4.9614285714285709</v>
      </c>
    </row>
    <row r="67" spans="1:14" ht="15.75" customHeight="1" thickTop="1" x14ac:dyDescent="0.25">
      <c r="B67" s="9"/>
      <c r="C67" s="79" t="s">
        <v>118</v>
      </c>
      <c r="D67" s="186">
        <f>SUM(D64:D66)</f>
        <v>12.45</v>
      </c>
      <c r="E67" s="186">
        <f t="shared" ref="E67:J67" si="13">SUM(E64:E66)</f>
        <v>0</v>
      </c>
      <c r="F67" s="186">
        <f t="shared" si="13"/>
        <v>0</v>
      </c>
      <c r="G67" s="186">
        <f t="shared" si="13"/>
        <v>0</v>
      </c>
      <c r="H67" s="186">
        <f t="shared" si="13"/>
        <v>0</v>
      </c>
      <c r="I67" s="186">
        <f t="shared" si="13"/>
        <v>62.2</v>
      </c>
      <c r="J67" s="186">
        <f t="shared" si="13"/>
        <v>65.5</v>
      </c>
      <c r="K67" s="171">
        <f t="shared" si="12"/>
        <v>-3.2999999999999972</v>
      </c>
      <c r="L67" s="279">
        <f t="shared" ref="L67" si="14">SUM(L64:L66)</f>
        <v>65.5</v>
      </c>
      <c r="M67" s="281">
        <f t="shared" si="3"/>
        <v>5.2610441767068279</v>
      </c>
    </row>
    <row r="68" spans="1:14" s="15" customFormat="1" ht="15.75" customHeight="1" x14ac:dyDescent="0.25">
      <c r="A68" s="3" t="s">
        <v>23</v>
      </c>
      <c r="D68" s="42"/>
      <c r="E68" s="105"/>
      <c r="F68" s="16"/>
      <c r="G68" s="105"/>
      <c r="H68" s="105"/>
      <c r="I68" s="99"/>
      <c r="J68" s="83"/>
      <c r="K68" s="118"/>
      <c r="L68" s="279"/>
      <c r="M68" s="281"/>
    </row>
    <row r="69" spans="1:14" ht="15.75" customHeight="1" x14ac:dyDescent="0.25">
      <c r="B69" s="18" t="s">
        <v>7</v>
      </c>
      <c r="C69" s="18" t="s">
        <v>42</v>
      </c>
      <c r="D69" s="129">
        <v>6</v>
      </c>
      <c r="E69" s="141"/>
      <c r="F69" s="192">
        <v>28.04</v>
      </c>
      <c r="G69" s="141"/>
      <c r="H69" s="193">
        <v>23.04</v>
      </c>
      <c r="I69" s="140">
        <v>16.170000000000002</v>
      </c>
      <c r="J69" s="97">
        <v>27.14</v>
      </c>
      <c r="K69" s="126">
        <f>I69-J69</f>
        <v>-10.969999999999999</v>
      </c>
      <c r="L69" s="279">
        <v>24</v>
      </c>
      <c r="M69" s="281">
        <f t="shared" ref="M69:M132" si="15">L69/D69</f>
        <v>4</v>
      </c>
      <c r="N69" s="69" t="s">
        <v>132</v>
      </c>
    </row>
    <row r="70" spans="1:14" ht="15.75" customHeight="1" x14ac:dyDescent="0.25">
      <c r="B70" s="18" t="s">
        <v>7</v>
      </c>
      <c r="C70" s="18" t="s">
        <v>46</v>
      </c>
      <c r="D70" s="129">
        <v>3.8</v>
      </c>
      <c r="E70" s="141"/>
      <c r="F70" s="192">
        <v>13.71</v>
      </c>
      <c r="G70" s="141"/>
      <c r="H70" s="193">
        <v>17.29</v>
      </c>
      <c r="I70" s="140">
        <v>11.46</v>
      </c>
      <c r="J70" s="97">
        <v>16.02</v>
      </c>
      <c r="K70" s="126">
        <f t="shared" ref="K70:K78" si="16">I70-J70</f>
        <v>-4.5599999999999987</v>
      </c>
      <c r="L70" s="279">
        <v>15</v>
      </c>
      <c r="M70" s="281">
        <f t="shared" si="15"/>
        <v>3.9473684210526319</v>
      </c>
    </row>
    <row r="71" spans="1:14" ht="15.75" customHeight="1" x14ac:dyDescent="0.25">
      <c r="B71" s="18" t="s">
        <v>7</v>
      </c>
      <c r="C71" s="18" t="s">
        <v>47</v>
      </c>
      <c r="D71" s="129">
        <v>2.5</v>
      </c>
      <c r="E71" s="141"/>
      <c r="F71" s="192"/>
      <c r="G71" s="141"/>
      <c r="H71" s="193"/>
      <c r="I71" s="140">
        <v>8.6</v>
      </c>
      <c r="J71" s="97">
        <v>11.9</v>
      </c>
      <c r="K71" s="126">
        <f t="shared" si="16"/>
        <v>-3.3000000000000007</v>
      </c>
      <c r="L71" s="279">
        <v>10</v>
      </c>
      <c r="M71" s="281">
        <f t="shared" si="15"/>
        <v>4</v>
      </c>
    </row>
    <row r="72" spans="1:14" ht="15.75" customHeight="1" x14ac:dyDescent="0.25">
      <c r="B72" s="18" t="s">
        <v>7</v>
      </c>
      <c r="C72" s="18" t="s">
        <v>91</v>
      </c>
      <c r="D72" s="129">
        <v>1</v>
      </c>
      <c r="E72" s="141"/>
      <c r="F72" s="192"/>
      <c r="G72" s="141"/>
      <c r="H72" s="193"/>
      <c r="I72" s="140">
        <v>4.2300000000000004</v>
      </c>
      <c r="J72" s="97">
        <v>7.49</v>
      </c>
      <c r="K72" s="126">
        <f t="shared" si="16"/>
        <v>-3.26</v>
      </c>
      <c r="L72" s="279">
        <v>5</v>
      </c>
      <c r="M72" s="281">
        <f t="shared" si="15"/>
        <v>5</v>
      </c>
    </row>
    <row r="73" spans="1:14" ht="15.75" customHeight="1" x14ac:dyDescent="0.25">
      <c r="B73" s="18" t="s">
        <v>7</v>
      </c>
      <c r="C73" s="18" t="s">
        <v>102</v>
      </c>
      <c r="D73" s="129">
        <v>4</v>
      </c>
      <c r="E73" s="141"/>
      <c r="F73" s="192"/>
      <c r="G73" s="141"/>
      <c r="H73" s="193"/>
      <c r="I73" s="140">
        <v>0</v>
      </c>
      <c r="J73" s="97">
        <v>12.6</v>
      </c>
      <c r="K73" s="126">
        <f t="shared" si="16"/>
        <v>-12.6</v>
      </c>
      <c r="L73" s="279">
        <v>0</v>
      </c>
      <c r="M73" s="281">
        <f t="shared" si="15"/>
        <v>0</v>
      </c>
    </row>
    <row r="74" spans="1:14" ht="15.75" customHeight="1" x14ac:dyDescent="0.25">
      <c r="B74" s="18" t="s">
        <v>7</v>
      </c>
      <c r="C74" s="201" t="s">
        <v>79</v>
      </c>
      <c r="D74" s="202">
        <v>5</v>
      </c>
      <c r="E74" s="203"/>
      <c r="F74" s="204"/>
      <c r="G74" s="203"/>
      <c r="H74" s="205"/>
      <c r="I74" s="206">
        <v>30.25</v>
      </c>
      <c r="J74" s="207">
        <v>30.74</v>
      </c>
      <c r="K74" s="126">
        <f t="shared" si="16"/>
        <v>-0.48999999999999844</v>
      </c>
      <c r="L74" s="279">
        <v>25</v>
      </c>
      <c r="M74" s="281">
        <f t="shared" si="15"/>
        <v>5</v>
      </c>
    </row>
    <row r="75" spans="1:14" ht="15.75" customHeight="1" x14ac:dyDescent="0.25">
      <c r="B75" s="12"/>
      <c r="C75" s="209" t="s">
        <v>115</v>
      </c>
      <c r="D75" s="149" t="s">
        <v>109</v>
      </c>
      <c r="E75" s="149"/>
      <c r="F75" s="149"/>
      <c r="G75" s="149"/>
      <c r="H75" s="149"/>
      <c r="I75" s="165">
        <v>0</v>
      </c>
      <c r="J75" s="149">
        <v>0</v>
      </c>
      <c r="K75" s="161">
        <f t="shared" si="16"/>
        <v>0</v>
      </c>
      <c r="L75" s="279">
        <v>0</v>
      </c>
      <c r="M75" s="281"/>
    </row>
    <row r="76" spans="1:14" ht="15.75" customHeight="1" x14ac:dyDescent="0.25">
      <c r="B76" s="12"/>
      <c r="C76" s="210" t="s">
        <v>120</v>
      </c>
      <c r="D76" s="149" t="s">
        <v>109</v>
      </c>
      <c r="E76" s="149"/>
      <c r="F76" s="149"/>
      <c r="G76" s="149"/>
      <c r="H76" s="149"/>
      <c r="I76" s="165">
        <v>0</v>
      </c>
      <c r="J76" s="149">
        <v>0</v>
      </c>
      <c r="K76" s="171">
        <f t="shared" si="16"/>
        <v>0</v>
      </c>
      <c r="L76" s="279">
        <v>0</v>
      </c>
      <c r="M76" s="281"/>
    </row>
    <row r="77" spans="1:14" ht="15.75" customHeight="1" thickBot="1" x14ac:dyDescent="0.3">
      <c r="C77" s="211" t="s">
        <v>117</v>
      </c>
      <c r="D77" s="183">
        <f>SUM(D69:D74)</f>
        <v>22.3</v>
      </c>
      <c r="E77" s="183"/>
      <c r="F77" s="183"/>
      <c r="G77" s="183"/>
      <c r="H77" s="183"/>
      <c r="I77" s="188">
        <f>SUM(I69:I72,I74)</f>
        <v>70.710000000000008</v>
      </c>
      <c r="J77" s="183">
        <f>SUM(J69:J74)</f>
        <v>105.88999999999999</v>
      </c>
      <c r="K77" s="169">
        <f t="shared" si="16"/>
        <v>-35.179999999999978</v>
      </c>
      <c r="L77" s="279">
        <f>SUM(L69:L76)</f>
        <v>79</v>
      </c>
      <c r="M77" s="281">
        <f t="shared" si="15"/>
        <v>3.5426008968609866</v>
      </c>
    </row>
    <row r="78" spans="1:14" ht="15.75" customHeight="1" thickTop="1" x14ac:dyDescent="0.25">
      <c r="C78" s="212" t="s">
        <v>118</v>
      </c>
      <c r="D78" s="186">
        <v>28.79</v>
      </c>
      <c r="E78" s="186"/>
      <c r="F78" s="186"/>
      <c r="G78" s="186"/>
      <c r="H78" s="186"/>
      <c r="I78" s="165">
        <v>70.709999999999994</v>
      </c>
      <c r="J78" s="149">
        <v>105.9</v>
      </c>
      <c r="K78" s="171">
        <f t="shared" si="16"/>
        <v>-35.190000000000012</v>
      </c>
      <c r="L78" s="279">
        <f>SUM(L69:L76)</f>
        <v>79</v>
      </c>
      <c r="M78" s="281">
        <f t="shared" si="15"/>
        <v>2.7440083362278571</v>
      </c>
    </row>
    <row r="79" spans="1:14" s="15" customFormat="1" ht="15.75" customHeight="1" x14ac:dyDescent="0.25">
      <c r="A79" s="3" t="s">
        <v>48</v>
      </c>
      <c r="C79" s="3"/>
      <c r="D79" s="37"/>
      <c r="E79" s="105"/>
      <c r="F79" s="16"/>
      <c r="G79" s="105"/>
      <c r="H79" s="105"/>
      <c r="I79" s="99"/>
      <c r="J79" s="83"/>
      <c r="K79" s="118"/>
      <c r="L79" s="279"/>
      <c r="M79" s="281"/>
    </row>
    <row r="80" spans="1:14" ht="15.75" customHeight="1" x14ac:dyDescent="0.25">
      <c r="B80" s="9" t="s">
        <v>3</v>
      </c>
      <c r="C80" s="9" t="s">
        <v>49</v>
      </c>
      <c r="D80" s="39">
        <v>5.07</v>
      </c>
      <c r="E80" s="135">
        <f>F80/D80</f>
        <v>3.8737672583826428</v>
      </c>
      <c r="F80" s="189">
        <v>19.64</v>
      </c>
      <c r="G80" s="135">
        <f t="shared" ref="G80:G87" si="17">H80/D80</f>
        <v>4.2899408284023668</v>
      </c>
      <c r="H80" s="190">
        <v>21.75</v>
      </c>
      <c r="I80" s="126">
        <v>21.98</v>
      </c>
      <c r="J80" s="95">
        <v>16.75</v>
      </c>
      <c r="K80" s="126">
        <f>I80-J80</f>
        <v>5.23</v>
      </c>
      <c r="L80" s="279">
        <v>20</v>
      </c>
      <c r="M80" s="281">
        <f t="shared" si="15"/>
        <v>3.944773175542406</v>
      </c>
      <c r="N80" s="69" t="s">
        <v>133</v>
      </c>
    </row>
    <row r="81" spans="1:13" ht="15.75" customHeight="1" x14ac:dyDescent="0.25">
      <c r="B81" s="9" t="s">
        <v>86</v>
      </c>
      <c r="C81" s="9" t="s">
        <v>50</v>
      </c>
      <c r="D81" s="39">
        <v>1.23</v>
      </c>
      <c r="E81" s="135">
        <f t="shared" ref="E81:E87" si="18">F81/D81</f>
        <v>6.6016260162601617</v>
      </c>
      <c r="F81" s="189">
        <v>8.1199999999999992</v>
      </c>
      <c r="G81" s="135">
        <f t="shared" si="17"/>
        <v>3.0081300813008132</v>
      </c>
      <c r="H81" s="190">
        <v>3.7</v>
      </c>
      <c r="I81" s="126">
        <v>6.64</v>
      </c>
      <c r="J81" s="95">
        <v>5.35</v>
      </c>
      <c r="K81" s="126">
        <f t="shared" ref="K81:K92" si="19">I81-J81</f>
        <v>1.29</v>
      </c>
      <c r="L81" s="279">
        <v>5</v>
      </c>
      <c r="M81" s="281">
        <f t="shared" si="15"/>
        <v>4.0650406504065044</v>
      </c>
    </row>
    <row r="82" spans="1:13" ht="15.75" customHeight="1" x14ac:dyDescent="0.25">
      <c r="B82" s="9" t="s">
        <v>86</v>
      </c>
      <c r="C82" s="9" t="s">
        <v>51</v>
      </c>
      <c r="D82" s="39">
        <v>1.58</v>
      </c>
      <c r="E82" s="135">
        <f t="shared" si="18"/>
        <v>4.6139240506329111</v>
      </c>
      <c r="F82" s="189">
        <v>7.29</v>
      </c>
      <c r="G82" s="135">
        <f t="shared" si="17"/>
        <v>5.3670886075949369</v>
      </c>
      <c r="H82" s="190">
        <v>8.48</v>
      </c>
      <c r="I82" s="126">
        <v>7.57</v>
      </c>
      <c r="J82" s="95">
        <v>4.91</v>
      </c>
      <c r="K82" s="126">
        <f t="shared" si="19"/>
        <v>2.66</v>
      </c>
      <c r="L82" s="279">
        <v>5</v>
      </c>
      <c r="M82" s="281">
        <f t="shared" si="15"/>
        <v>3.1645569620253164</v>
      </c>
    </row>
    <row r="83" spans="1:13" ht="15.75" customHeight="1" x14ac:dyDescent="0.25">
      <c r="B83" s="9" t="s">
        <v>86</v>
      </c>
      <c r="C83" s="9" t="s">
        <v>11</v>
      </c>
      <c r="D83" s="39">
        <v>0.21</v>
      </c>
      <c r="E83" s="135">
        <f t="shared" si="18"/>
        <v>7.4761904761904772</v>
      </c>
      <c r="F83" s="189">
        <v>1.57</v>
      </c>
      <c r="G83" s="135">
        <f t="shared" si="17"/>
        <v>7.6190476190476195</v>
      </c>
      <c r="H83" s="190">
        <v>1.6</v>
      </c>
      <c r="I83" s="126">
        <v>1.69</v>
      </c>
      <c r="J83" s="95">
        <v>0.92</v>
      </c>
      <c r="K83" s="126">
        <f t="shared" si="19"/>
        <v>0.76999999999999991</v>
      </c>
      <c r="L83" s="279">
        <v>1</v>
      </c>
      <c r="M83" s="281">
        <f t="shared" si="15"/>
        <v>4.7619047619047619</v>
      </c>
    </row>
    <row r="84" spans="1:13" ht="15.75" customHeight="1" x14ac:dyDescent="0.25">
      <c r="A84" s="1"/>
      <c r="B84" s="9" t="s">
        <v>86</v>
      </c>
      <c r="C84" s="9" t="s">
        <v>52</v>
      </c>
      <c r="D84" s="39">
        <v>0.68</v>
      </c>
      <c r="E84" s="135">
        <f t="shared" si="18"/>
        <v>7.4117647058823524</v>
      </c>
      <c r="F84" s="189">
        <v>5.04</v>
      </c>
      <c r="G84" s="135">
        <f t="shared" si="17"/>
        <v>8.602941176470587</v>
      </c>
      <c r="H84" s="190">
        <v>5.85</v>
      </c>
      <c r="I84" s="126">
        <v>2.8</v>
      </c>
      <c r="J84" s="95">
        <v>0.75</v>
      </c>
      <c r="K84" s="126">
        <f t="shared" si="19"/>
        <v>2.0499999999999998</v>
      </c>
      <c r="L84" s="279">
        <v>2</v>
      </c>
      <c r="M84" s="281">
        <f t="shared" si="15"/>
        <v>2.9411764705882351</v>
      </c>
    </row>
    <row r="85" spans="1:13" ht="15.75" customHeight="1" x14ac:dyDescent="0.25">
      <c r="B85" s="9" t="s">
        <v>86</v>
      </c>
      <c r="C85" s="9" t="s">
        <v>53</v>
      </c>
      <c r="D85" s="39">
        <v>0.74</v>
      </c>
      <c r="E85" s="135">
        <f t="shared" si="18"/>
        <v>5.6486486486486482</v>
      </c>
      <c r="F85" s="189">
        <v>4.18</v>
      </c>
      <c r="G85" s="135">
        <f t="shared" si="17"/>
        <v>10.756756756756756</v>
      </c>
      <c r="H85" s="190">
        <v>7.96</v>
      </c>
      <c r="I85" s="126">
        <v>4.0599999999999996</v>
      </c>
      <c r="J85" s="95">
        <v>6.08</v>
      </c>
      <c r="K85" s="126">
        <f t="shared" si="19"/>
        <v>-2.0200000000000005</v>
      </c>
      <c r="L85" s="279">
        <v>5</v>
      </c>
      <c r="M85" s="281">
        <f t="shared" si="15"/>
        <v>6.756756756756757</v>
      </c>
    </row>
    <row r="86" spans="1:13" ht="15.75" customHeight="1" x14ac:dyDescent="0.25">
      <c r="B86" s="9" t="s">
        <v>86</v>
      </c>
      <c r="C86" s="9" t="s">
        <v>54</v>
      </c>
      <c r="D86" s="39">
        <v>1.1299999999999999</v>
      </c>
      <c r="E86" s="135">
        <f t="shared" si="18"/>
        <v>4.6283185840707972</v>
      </c>
      <c r="F86" s="189">
        <v>5.23</v>
      </c>
      <c r="G86" s="135">
        <f t="shared" si="17"/>
        <v>4.9823008849557526</v>
      </c>
      <c r="H86" s="190">
        <v>5.63</v>
      </c>
      <c r="I86" s="126">
        <v>6.08</v>
      </c>
      <c r="J86" s="142">
        <v>4.6900000000000004</v>
      </c>
      <c r="K86" s="126">
        <f t="shared" si="19"/>
        <v>1.3899999999999997</v>
      </c>
      <c r="L86" s="279">
        <v>5</v>
      </c>
      <c r="M86" s="281">
        <f t="shared" si="15"/>
        <v>4.4247787610619476</v>
      </c>
    </row>
    <row r="87" spans="1:13" ht="15.75" customHeight="1" x14ac:dyDescent="0.25">
      <c r="B87" s="9" t="s">
        <v>89</v>
      </c>
      <c r="C87" s="9" t="s">
        <v>55</v>
      </c>
      <c r="D87" s="39">
        <v>6.15</v>
      </c>
      <c r="E87" s="135">
        <f t="shared" si="18"/>
        <v>6.3203252032520316</v>
      </c>
      <c r="F87" s="189">
        <v>38.869999999999997</v>
      </c>
      <c r="G87" s="135">
        <f t="shared" si="17"/>
        <v>5.9235772357723571</v>
      </c>
      <c r="H87" s="190">
        <v>36.43</v>
      </c>
      <c r="I87" s="126">
        <v>28.64</v>
      </c>
      <c r="J87" s="95">
        <v>18.73</v>
      </c>
      <c r="K87" s="126">
        <f t="shared" si="19"/>
        <v>9.91</v>
      </c>
      <c r="L87" s="279">
        <v>25</v>
      </c>
      <c r="M87" s="281">
        <f t="shared" si="15"/>
        <v>4.0650406504065035</v>
      </c>
    </row>
    <row r="88" spans="1:13" ht="15.75" customHeight="1" x14ac:dyDescent="0.25">
      <c r="B88" s="72" t="s">
        <v>80</v>
      </c>
      <c r="C88" s="72" t="s">
        <v>5</v>
      </c>
      <c r="D88" s="219" t="s">
        <v>109</v>
      </c>
      <c r="E88" s="135"/>
      <c r="F88" s="189"/>
      <c r="G88" s="135"/>
      <c r="H88" s="190"/>
      <c r="I88" s="126">
        <v>5.67</v>
      </c>
      <c r="J88" s="95">
        <v>16.98</v>
      </c>
      <c r="K88" s="126">
        <f t="shared" si="19"/>
        <v>-11.31</v>
      </c>
      <c r="M88" s="281"/>
    </row>
    <row r="89" spans="1:13" ht="15.75" customHeight="1" x14ac:dyDescent="0.25">
      <c r="B89" s="12"/>
      <c r="C89" s="151" t="s">
        <v>115</v>
      </c>
      <c r="D89" s="176">
        <v>5.07</v>
      </c>
      <c r="E89" s="176"/>
      <c r="F89" s="176"/>
      <c r="G89" s="176"/>
      <c r="H89" s="176"/>
      <c r="I89" s="187">
        <v>21.98</v>
      </c>
      <c r="J89" s="176">
        <v>16.75</v>
      </c>
      <c r="K89" s="161">
        <f t="shared" si="19"/>
        <v>5.23</v>
      </c>
      <c r="L89" s="279">
        <v>16.75</v>
      </c>
      <c r="M89" s="281">
        <f t="shared" si="15"/>
        <v>3.3037475345167651</v>
      </c>
    </row>
    <row r="90" spans="1:13" ht="15.75" customHeight="1" x14ac:dyDescent="0.25">
      <c r="B90" s="12"/>
      <c r="C90" s="71" t="s">
        <v>119</v>
      </c>
      <c r="D90" s="149">
        <f>SUM(D81:D87)</f>
        <v>11.72</v>
      </c>
      <c r="E90" s="149"/>
      <c r="F90" s="149"/>
      <c r="G90" s="149"/>
      <c r="H90" s="149"/>
      <c r="I90" s="165">
        <f>SUM(I81:I85,I87:I88)</f>
        <v>57.07</v>
      </c>
      <c r="J90" s="149">
        <f>SUM(J81:J85,J87:J88)</f>
        <v>53.72</v>
      </c>
      <c r="K90" s="171">
        <f t="shared" si="19"/>
        <v>3.3500000000000014</v>
      </c>
      <c r="L90" s="279">
        <f>SUM(L81:L85,L87:L88)</f>
        <v>43</v>
      </c>
      <c r="M90" s="281">
        <f t="shared" si="15"/>
        <v>3.668941979522184</v>
      </c>
    </row>
    <row r="91" spans="1:13" ht="15.75" customHeight="1" thickBot="1" x14ac:dyDescent="0.3">
      <c r="C91" s="156" t="s">
        <v>117</v>
      </c>
      <c r="D91" s="183" t="s">
        <v>109</v>
      </c>
      <c r="E91" s="183"/>
      <c r="F91" s="183"/>
      <c r="G91" s="183"/>
      <c r="H91" s="183"/>
      <c r="I91" s="188">
        <v>0</v>
      </c>
      <c r="J91" s="183">
        <v>0</v>
      </c>
      <c r="K91" s="169">
        <v>0</v>
      </c>
      <c r="L91" s="279">
        <v>0</v>
      </c>
      <c r="M91" s="281"/>
    </row>
    <row r="92" spans="1:13" ht="15.75" customHeight="1" thickTop="1" x14ac:dyDescent="0.25">
      <c r="C92" s="79" t="s">
        <v>118</v>
      </c>
      <c r="D92" s="186">
        <f>SUM(D89,D90)</f>
        <v>16.79</v>
      </c>
      <c r="E92" s="186"/>
      <c r="F92" s="186"/>
      <c r="G92" s="186"/>
      <c r="H92" s="186"/>
      <c r="I92" s="165">
        <f>SUM(I89,I90)</f>
        <v>79.05</v>
      </c>
      <c r="J92" s="149">
        <f>SUM(J89,J90)</f>
        <v>70.47</v>
      </c>
      <c r="K92" s="171">
        <f t="shared" si="19"/>
        <v>8.5799999999999983</v>
      </c>
      <c r="L92" s="279">
        <f>SUM(L89,L90)</f>
        <v>59.75</v>
      </c>
      <c r="M92" s="281">
        <f t="shared" si="15"/>
        <v>3.5586658725431808</v>
      </c>
    </row>
    <row r="93" spans="1:13" s="15" customFormat="1" ht="15.75" customHeight="1" x14ac:dyDescent="0.25">
      <c r="A93" s="3" t="s">
        <v>25</v>
      </c>
      <c r="C93" s="3"/>
      <c r="D93" s="37"/>
      <c r="E93" s="105"/>
      <c r="F93" s="16"/>
      <c r="G93" s="105"/>
      <c r="H93" s="105"/>
      <c r="I93" s="99"/>
      <c r="J93" s="83"/>
      <c r="K93" s="116"/>
      <c r="L93" s="279"/>
      <c r="M93" s="281"/>
    </row>
    <row r="94" spans="1:13" s="25" customFormat="1" ht="15.75" customHeight="1" x14ac:dyDescent="0.25">
      <c r="A94" s="44"/>
      <c r="B94" s="123" t="s">
        <v>3</v>
      </c>
      <c r="C94" s="123" t="s">
        <v>56</v>
      </c>
      <c r="D94" s="214">
        <v>1.49</v>
      </c>
      <c r="E94" s="215">
        <f>F94/D94</f>
        <v>2.6577181208053693</v>
      </c>
      <c r="F94" s="216">
        <v>3.96</v>
      </c>
      <c r="G94" s="215">
        <f>H94/D94</f>
        <v>4.6577181208053693</v>
      </c>
      <c r="H94" s="217">
        <v>6.94</v>
      </c>
      <c r="I94" s="218">
        <v>6.36</v>
      </c>
      <c r="J94" s="207">
        <v>8.1</v>
      </c>
      <c r="K94" s="230">
        <f>I94-J94</f>
        <v>-1.7399999999999993</v>
      </c>
      <c r="L94" s="279">
        <v>7</v>
      </c>
      <c r="M94" s="281">
        <f t="shared" si="15"/>
        <v>4.6979865771812079</v>
      </c>
    </row>
    <row r="95" spans="1:13" ht="15.75" customHeight="1" x14ac:dyDescent="0.25">
      <c r="A95" s="1" t="s">
        <v>93</v>
      </c>
      <c r="B95" s="8"/>
      <c r="C95" s="1"/>
      <c r="D95" s="87"/>
      <c r="E95" s="38"/>
      <c r="F95" s="17"/>
      <c r="G95" s="38"/>
      <c r="H95" s="38"/>
      <c r="I95" s="114"/>
      <c r="J95" s="65"/>
      <c r="K95" s="115"/>
      <c r="M95" s="281"/>
    </row>
    <row r="96" spans="1:13" ht="15.75" customHeight="1" x14ac:dyDescent="0.25">
      <c r="B96" s="72" t="s">
        <v>7</v>
      </c>
      <c r="C96" s="72" t="s">
        <v>99</v>
      </c>
      <c r="D96" s="36">
        <v>1</v>
      </c>
      <c r="E96" s="33">
        <f>F96/D96</f>
        <v>3.96</v>
      </c>
      <c r="F96" s="32">
        <v>3.96</v>
      </c>
      <c r="G96" s="33">
        <f>H96/D96</f>
        <v>6.94</v>
      </c>
      <c r="H96" s="103">
        <v>6.94</v>
      </c>
      <c r="I96" s="112">
        <v>0</v>
      </c>
      <c r="J96" s="95">
        <v>4.84</v>
      </c>
      <c r="K96" s="115">
        <f>I96-J96</f>
        <v>-4.84</v>
      </c>
      <c r="M96" s="281"/>
    </row>
    <row r="97" spans="1:13" s="15" customFormat="1" ht="15.75" customHeight="1" x14ac:dyDescent="0.25">
      <c r="A97" s="13" t="s">
        <v>103</v>
      </c>
      <c r="C97" s="81"/>
      <c r="D97" s="82"/>
      <c r="E97" s="83"/>
      <c r="F97" s="84"/>
      <c r="G97" s="83"/>
      <c r="H97" s="84"/>
      <c r="I97" s="116"/>
      <c r="J97" s="84"/>
      <c r="K97" s="116"/>
      <c r="L97" s="279"/>
      <c r="M97" s="281"/>
    </row>
    <row r="98" spans="1:13" ht="15.75" customHeight="1" x14ac:dyDescent="0.25">
      <c r="A98" s="43"/>
      <c r="B98" s="94" t="s">
        <v>7</v>
      </c>
      <c r="C98" s="130" t="s">
        <v>122</v>
      </c>
      <c r="D98" s="131">
        <v>1</v>
      </c>
      <c r="E98" s="66"/>
      <c r="F98" s="132"/>
      <c r="G98" s="66"/>
      <c r="H98" s="132"/>
      <c r="I98" s="113">
        <v>0</v>
      </c>
      <c r="J98" s="97">
        <v>5.52</v>
      </c>
      <c r="K98" s="115">
        <f>I98-J98</f>
        <v>-5.52</v>
      </c>
      <c r="L98" s="279">
        <v>5</v>
      </c>
      <c r="M98" s="281">
        <f t="shared" si="15"/>
        <v>5</v>
      </c>
    </row>
    <row r="99" spans="1:13" s="15" customFormat="1" ht="15.75" customHeight="1" x14ac:dyDescent="0.25">
      <c r="A99" s="13" t="s">
        <v>27</v>
      </c>
      <c r="C99" s="3"/>
      <c r="D99" s="37"/>
      <c r="E99" s="105"/>
      <c r="F99" s="16"/>
      <c r="G99" s="105"/>
      <c r="H99" s="105"/>
      <c r="I99" s="99"/>
      <c r="J99" s="83"/>
      <c r="K99" s="118"/>
      <c r="L99" s="279"/>
      <c r="M99" s="281"/>
    </row>
    <row r="100" spans="1:13" ht="15.75" customHeight="1" x14ac:dyDescent="0.25">
      <c r="B100" s="9" t="s">
        <v>3</v>
      </c>
      <c r="C100" s="9" t="s">
        <v>57</v>
      </c>
      <c r="D100" s="39">
        <v>7.0000000000000007E-2</v>
      </c>
      <c r="E100" s="135">
        <f>F100/D100</f>
        <v>4.7142857142857144</v>
      </c>
      <c r="F100" s="189">
        <v>0.33</v>
      </c>
      <c r="G100" s="135">
        <f>H100/D100</f>
        <v>3.2857142857142856</v>
      </c>
      <c r="H100" s="190">
        <v>0.23</v>
      </c>
      <c r="I100" s="126">
        <v>0.32</v>
      </c>
      <c r="J100" s="95">
        <v>0.25</v>
      </c>
      <c r="K100" s="126">
        <f>I100-J100</f>
        <v>7.0000000000000007E-2</v>
      </c>
      <c r="L100" s="279">
        <v>0.25</v>
      </c>
      <c r="M100" s="281">
        <f t="shared" si="15"/>
        <v>3.5714285714285712</v>
      </c>
    </row>
    <row r="101" spans="1:13" ht="15.75" customHeight="1" x14ac:dyDescent="0.25">
      <c r="A101" s="1"/>
      <c r="B101" s="9"/>
      <c r="C101" s="9" t="s">
        <v>58</v>
      </c>
      <c r="D101" s="39">
        <v>2.36</v>
      </c>
      <c r="E101" s="135">
        <f>F101/D101</f>
        <v>3.4745762711864407</v>
      </c>
      <c r="F101" s="189">
        <v>8.1999999999999993</v>
      </c>
      <c r="G101" s="135">
        <f>H101/D101</f>
        <v>3.4745762711864407</v>
      </c>
      <c r="H101" s="190">
        <v>8.1999999999999993</v>
      </c>
      <c r="I101" s="126">
        <v>10.74</v>
      </c>
      <c r="J101" s="95">
        <v>9.5399999999999991</v>
      </c>
      <c r="K101" s="126">
        <f t="shared" ref="K101:K108" si="20">I101-J101</f>
        <v>1.2000000000000011</v>
      </c>
      <c r="L101" s="279">
        <v>9</v>
      </c>
      <c r="M101" s="281">
        <f t="shared" si="15"/>
        <v>3.8135593220338984</v>
      </c>
    </row>
    <row r="102" spans="1:13" ht="15.75" customHeight="1" x14ac:dyDescent="0.25">
      <c r="B102" s="9"/>
      <c r="C102" s="9" t="s">
        <v>59</v>
      </c>
      <c r="D102" s="39">
        <v>1.17</v>
      </c>
      <c r="E102" s="135">
        <f>F102/D102</f>
        <v>3.4786324786324792</v>
      </c>
      <c r="F102" s="189">
        <v>4.07</v>
      </c>
      <c r="G102" s="135">
        <f>H102/D102</f>
        <v>4.8461538461538467</v>
      </c>
      <c r="H102" s="190">
        <v>5.67</v>
      </c>
      <c r="I102" s="126">
        <v>5.42</v>
      </c>
      <c r="J102" s="95">
        <v>4.26</v>
      </c>
      <c r="K102" s="126">
        <f t="shared" si="20"/>
        <v>1.1600000000000001</v>
      </c>
      <c r="L102" s="279">
        <v>4.5</v>
      </c>
      <c r="M102" s="281">
        <f t="shared" si="15"/>
        <v>3.8461538461538463</v>
      </c>
    </row>
    <row r="103" spans="1:13" ht="15.75" customHeight="1" x14ac:dyDescent="0.25">
      <c r="B103" s="9"/>
      <c r="C103" s="9" t="s">
        <v>60</v>
      </c>
      <c r="D103" s="39">
        <v>0.95</v>
      </c>
      <c r="E103" s="135">
        <f>F103/D103</f>
        <v>4.6315789473684212</v>
      </c>
      <c r="F103" s="189">
        <v>4.4000000000000004</v>
      </c>
      <c r="G103" s="135">
        <f>H103/D103</f>
        <v>4.7473684210526317</v>
      </c>
      <c r="H103" s="190">
        <v>4.51</v>
      </c>
      <c r="I103" s="126">
        <v>5.52</v>
      </c>
      <c r="J103" s="95">
        <v>3.13</v>
      </c>
      <c r="K103" s="126">
        <f t="shared" si="20"/>
        <v>2.3899999999999997</v>
      </c>
      <c r="L103" s="279">
        <v>3.5</v>
      </c>
      <c r="M103" s="281">
        <f t="shared" si="15"/>
        <v>3.6842105263157898</v>
      </c>
    </row>
    <row r="104" spans="1:13" ht="15.75" customHeight="1" x14ac:dyDescent="0.25">
      <c r="B104" s="18" t="s">
        <v>7</v>
      </c>
      <c r="C104" s="18" t="s">
        <v>122</v>
      </c>
      <c r="D104" s="129">
        <v>12.06</v>
      </c>
      <c r="E104" s="141"/>
      <c r="F104" s="192"/>
      <c r="G104" s="141"/>
      <c r="H104" s="193"/>
      <c r="I104" s="140">
        <v>0</v>
      </c>
      <c r="J104" s="97">
        <v>17.004999999999999</v>
      </c>
      <c r="K104" s="126">
        <f t="shared" si="20"/>
        <v>-17.004999999999999</v>
      </c>
      <c r="L104" s="279">
        <v>15</v>
      </c>
      <c r="M104" s="281">
        <f t="shared" si="15"/>
        <v>1.2437810945273631</v>
      </c>
    </row>
    <row r="105" spans="1:13" ht="15.75" customHeight="1" x14ac:dyDescent="0.25">
      <c r="B105" s="12"/>
      <c r="C105" s="151" t="s">
        <v>115</v>
      </c>
      <c r="D105" s="176">
        <f>SUM(D100:D103)</f>
        <v>4.55</v>
      </c>
      <c r="E105" s="176"/>
      <c r="F105" s="176"/>
      <c r="G105" s="176"/>
      <c r="H105" s="176"/>
      <c r="I105" s="187">
        <f>SUM(I100:I103)</f>
        <v>22</v>
      </c>
      <c r="J105" s="176">
        <f>SUM(J100:J103)</f>
        <v>17.18</v>
      </c>
      <c r="K105" s="161">
        <f t="shared" si="20"/>
        <v>4.82</v>
      </c>
      <c r="L105" s="279">
        <f>SUM(L100:L103)</f>
        <v>17.25</v>
      </c>
      <c r="M105" s="281">
        <f t="shared" si="15"/>
        <v>3.7912087912087915</v>
      </c>
    </row>
    <row r="106" spans="1:13" ht="15.75" customHeight="1" x14ac:dyDescent="0.25">
      <c r="B106" s="12"/>
      <c r="C106" s="71" t="s">
        <v>120</v>
      </c>
      <c r="D106" s="149" t="s">
        <v>109</v>
      </c>
      <c r="E106" s="149"/>
      <c r="F106" s="149"/>
      <c r="G106" s="149"/>
      <c r="H106" s="149"/>
      <c r="I106" s="165">
        <v>0</v>
      </c>
      <c r="J106" s="149">
        <v>0</v>
      </c>
      <c r="K106" s="171">
        <f t="shared" si="20"/>
        <v>0</v>
      </c>
      <c r="L106" s="279">
        <v>0</v>
      </c>
      <c r="M106" s="281"/>
    </row>
    <row r="107" spans="1:13" ht="15.75" customHeight="1" thickBot="1" x14ac:dyDescent="0.3">
      <c r="C107" s="156" t="s">
        <v>117</v>
      </c>
      <c r="D107" s="183">
        <v>12.06</v>
      </c>
      <c r="E107" s="183"/>
      <c r="F107" s="183"/>
      <c r="G107" s="183"/>
      <c r="H107" s="183"/>
      <c r="I107" s="188">
        <v>0</v>
      </c>
      <c r="J107" s="183">
        <v>17.010000000000002</v>
      </c>
      <c r="K107" s="169">
        <f t="shared" si="20"/>
        <v>-17.010000000000002</v>
      </c>
      <c r="L107" s="279">
        <v>15</v>
      </c>
      <c r="M107" s="281">
        <f t="shared" si="15"/>
        <v>1.2437810945273631</v>
      </c>
    </row>
    <row r="108" spans="1:13" ht="15.75" customHeight="1" thickTop="1" x14ac:dyDescent="0.25">
      <c r="C108" s="79" t="s">
        <v>118</v>
      </c>
      <c r="D108" s="186">
        <f>SUM(D105,D107)</f>
        <v>16.61</v>
      </c>
      <c r="E108" s="186"/>
      <c r="F108" s="186"/>
      <c r="G108" s="186"/>
      <c r="H108" s="186"/>
      <c r="I108" s="165">
        <v>22</v>
      </c>
      <c r="J108" s="149">
        <f>SUM(J105,J107)</f>
        <v>34.19</v>
      </c>
      <c r="K108" s="171">
        <f t="shared" si="20"/>
        <v>-12.189999999999998</v>
      </c>
      <c r="L108" s="279">
        <f>SUM(L105,L107)</f>
        <v>32.25</v>
      </c>
      <c r="M108" s="281">
        <f t="shared" si="15"/>
        <v>1.9416014449127033</v>
      </c>
    </row>
    <row r="109" spans="1:13" s="15" customFormat="1" ht="15.75" customHeight="1" x14ac:dyDescent="0.25">
      <c r="A109" s="3" t="s">
        <v>28</v>
      </c>
      <c r="C109" s="3"/>
      <c r="D109" s="37"/>
      <c r="E109" s="105"/>
      <c r="F109" s="16"/>
      <c r="G109" s="105"/>
      <c r="H109" s="105"/>
      <c r="I109" s="99"/>
      <c r="J109" s="83"/>
      <c r="K109" s="118"/>
      <c r="L109" s="279"/>
      <c r="M109" s="281"/>
    </row>
    <row r="110" spans="1:13" ht="15.75" customHeight="1" x14ac:dyDescent="0.25">
      <c r="B110" s="9" t="s">
        <v>3</v>
      </c>
      <c r="C110" s="9" t="s">
        <v>53</v>
      </c>
      <c r="D110" s="39">
        <v>1.1000000000000001</v>
      </c>
      <c r="E110" s="135">
        <f>F110/D110</f>
        <v>4.8</v>
      </c>
      <c r="F110" s="189">
        <v>5.28</v>
      </c>
      <c r="G110" s="135">
        <f>H110/D110</f>
        <v>3.8272727272727267</v>
      </c>
      <c r="H110" s="190">
        <v>4.21</v>
      </c>
      <c r="I110" s="126">
        <v>4.45</v>
      </c>
      <c r="J110" s="95">
        <v>4.53</v>
      </c>
      <c r="K110" s="126">
        <f>I110-J110</f>
        <v>-8.0000000000000071E-2</v>
      </c>
      <c r="L110" s="279">
        <v>4.5</v>
      </c>
      <c r="M110" s="281">
        <f t="shared" si="15"/>
        <v>4.0909090909090908</v>
      </c>
    </row>
    <row r="111" spans="1:13" ht="15.75" customHeight="1" x14ac:dyDescent="0.25">
      <c r="B111" s="9" t="s">
        <v>3</v>
      </c>
      <c r="C111" s="9" t="s">
        <v>61</v>
      </c>
      <c r="D111" s="39">
        <v>0.83</v>
      </c>
      <c r="E111" s="135">
        <f>F111/D111</f>
        <v>4.7951807228915664</v>
      </c>
      <c r="F111" s="189">
        <v>3.98</v>
      </c>
      <c r="G111" s="135">
        <f>H111/D111</f>
        <v>4.9156626506024104</v>
      </c>
      <c r="H111" s="190">
        <v>4.08</v>
      </c>
      <c r="I111" s="126">
        <v>4.0599999999999996</v>
      </c>
      <c r="J111" s="95">
        <v>4.49</v>
      </c>
      <c r="K111" s="126">
        <f t="shared" ref="K111:K117" si="21">I111-J111</f>
        <v>-0.4300000000000006</v>
      </c>
      <c r="L111" s="279">
        <v>4.5</v>
      </c>
      <c r="M111" s="281">
        <f t="shared" si="15"/>
        <v>5.4216867469879517</v>
      </c>
    </row>
    <row r="112" spans="1:13" ht="15.75" customHeight="1" x14ac:dyDescent="0.25">
      <c r="B112" s="72" t="s">
        <v>86</v>
      </c>
      <c r="C112" s="9"/>
      <c r="D112" s="39">
        <v>0.05</v>
      </c>
      <c r="E112" s="135"/>
      <c r="F112" s="189"/>
      <c r="G112" s="135"/>
      <c r="H112" s="190"/>
      <c r="I112" s="128">
        <v>0.24</v>
      </c>
      <c r="J112" s="95">
        <v>0.23</v>
      </c>
      <c r="K112" s="126">
        <f t="shared" si="21"/>
        <v>9.9999999999999811E-3</v>
      </c>
      <c r="L112" s="279">
        <v>0.23</v>
      </c>
      <c r="M112" s="281">
        <f t="shared" si="15"/>
        <v>4.5999999999999996</v>
      </c>
    </row>
    <row r="113" spans="1:14" ht="15.75" customHeight="1" x14ac:dyDescent="0.25">
      <c r="B113" s="9" t="s">
        <v>6</v>
      </c>
      <c r="C113" s="9"/>
      <c r="D113" s="39">
        <v>13.45</v>
      </c>
      <c r="E113" s="135">
        <f>F113/D113</f>
        <v>5.9977695167286251</v>
      </c>
      <c r="F113" s="189">
        <v>80.67</v>
      </c>
      <c r="G113" s="135">
        <f>H113/D113</f>
        <v>3.5591078066914497</v>
      </c>
      <c r="H113" s="190">
        <v>47.87</v>
      </c>
      <c r="I113" s="126">
        <v>58.79</v>
      </c>
      <c r="J113" s="95">
        <v>61.53</v>
      </c>
      <c r="K113" s="126">
        <f t="shared" si="21"/>
        <v>-2.740000000000002</v>
      </c>
      <c r="L113" s="279">
        <v>60</v>
      </c>
      <c r="M113" s="281">
        <f t="shared" si="15"/>
        <v>4.4609665427509295</v>
      </c>
    </row>
    <row r="114" spans="1:14" ht="15.75" customHeight="1" x14ac:dyDescent="0.25">
      <c r="B114" s="12"/>
      <c r="C114" s="151" t="s">
        <v>115</v>
      </c>
      <c r="D114" s="176">
        <f>SUM(D110:D111,D113)</f>
        <v>15.379999999999999</v>
      </c>
      <c r="E114" s="176">
        <f t="shared" ref="E114:J114" si="22">SUM(E110:E111,E113)</f>
        <v>15.59295023962019</v>
      </c>
      <c r="F114" s="176">
        <f t="shared" si="22"/>
        <v>89.93</v>
      </c>
      <c r="G114" s="176">
        <f t="shared" si="22"/>
        <v>12.302043184566585</v>
      </c>
      <c r="H114" s="176">
        <f t="shared" si="22"/>
        <v>56.16</v>
      </c>
      <c r="I114" s="187">
        <f t="shared" si="22"/>
        <v>67.3</v>
      </c>
      <c r="J114" s="176">
        <f t="shared" si="22"/>
        <v>70.55</v>
      </c>
      <c r="K114" s="161">
        <f t="shared" si="21"/>
        <v>-3.25</v>
      </c>
      <c r="L114" s="279">
        <f t="shared" ref="L114" si="23">SUM(L110:L111,L113)</f>
        <v>69</v>
      </c>
      <c r="M114" s="281">
        <f t="shared" si="15"/>
        <v>4.4863459037711317</v>
      </c>
    </row>
    <row r="115" spans="1:14" ht="15.75" customHeight="1" x14ac:dyDescent="0.25">
      <c r="B115" s="12"/>
      <c r="C115" s="71" t="s">
        <v>119</v>
      </c>
      <c r="D115" s="149">
        <v>0.05</v>
      </c>
      <c r="E115" s="149"/>
      <c r="F115" s="149"/>
      <c r="G115" s="149"/>
      <c r="H115" s="149"/>
      <c r="I115" s="165">
        <v>0.24</v>
      </c>
      <c r="J115" s="149">
        <v>0.23</v>
      </c>
      <c r="K115" s="171">
        <f t="shared" si="21"/>
        <v>9.9999999999999811E-3</v>
      </c>
      <c r="L115" s="279">
        <v>0.23</v>
      </c>
      <c r="M115" s="281">
        <f t="shared" si="15"/>
        <v>4.5999999999999996</v>
      </c>
    </row>
    <row r="116" spans="1:14" ht="15.75" customHeight="1" thickBot="1" x14ac:dyDescent="0.3">
      <c r="C116" s="156" t="s">
        <v>117</v>
      </c>
      <c r="D116" s="183" t="s">
        <v>109</v>
      </c>
      <c r="E116" s="183"/>
      <c r="F116" s="183"/>
      <c r="G116" s="183"/>
      <c r="H116" s="183"/>
      <c r="I116" s="188">
        <v>0</v>
      </c>
      <c r="J116" s="183">
        <v>0</v>
      </c>
      <c r="K116" s="169">
        <f t="shared" si="21"/>
        <v>0</v>
      </c>
      <c r="L116" s="279">
        <v>0</v>
      </c>
      <c r="M116" s="281"/>
    </row>
    <row r="117" spans="1:14" ht="15.75" customHeight="1" thickTop="1" x14ac:dyDescent="0.25">
      <c r="C117" s="79" t="s">
        <v>118</v>
      </c>
      <c r="D117" s="186">
        <f>SUM(D114:D115)</f>
        <v>15.43</v>
      </c>
      <c r="E117" s="185">
        <f t="shared" ref="E117:J117" si="24">SUM(E114:E115)</f>
        <v>15.59295023962019</v>
      </c>
      <c r="F117" s="185">
        <f t="shared" si="24"/>
        <v>89.93</v>
      </c>
      <c r="G117" s="185">
        <f t="shared" si="24"/>
        <v>12.302043184566585</v>
      </c>
      <c r="H117" s="185">
        <f t="shared" si="24"/>
        <v>56.16</v>
      </c>
      <c r="I117" s="165">
        <f t="shared" si="24"/>
        <v>67.539999999999992</v>
      </c>
      <c r="J117" s="149">
        <f t="shared" si="24"/>
        <v>70.78</v>
      </c>
      <c r="K117" s="171">
        <f t="shared" si="21"/>
        <v>-3.2400000000000091</v>
      </c>
      <c r="L117" s="279">
        <f t="shared" ref="L117" si="25">SUM(L114:L115)</f>
        <v>69.23</v>
      </c>
      <c r="M117" s="281">
        <f t="shared" si="15"/>
        <v>4.4867141931302656</v>
      </c>
    </row>
    <row r="118" spans="1:14" s="15" customFormat="1" ht="15.75" customHeight="1" x14ac:dyDescent="0.25">
      <c r="A118" s="3" t="s">
        <v>62</v>
      </c>
      <c r="C118" s="3"/>
      <c r="D118" s="37"/>
      <c r="E118" s="105"/>
      <c r="F118" s="16"/>
      <c r="G118" s="105"/>
      <c r="H118" s="105"/>
      <c r="I118" s="99"/>
      <c r="J118" s="83"/>
      <c r="K118" s="118"/>
      <c r="L118" s="279"/>
      <c r="M118" s="281"/>
    </row>
    <row r="119" spans="1:14" ht="15.75" customHeight="1" x14ac:dyDescent="0.25">
      <c r="B119" s="18" t="s">
        <v>7</v>
      </c>
      <c r="C119" s="18" t="s">
        <v>46</v>
      </c>
      <c r="D119" s="129">
        <v>11.2</v>
      </c>
      <c r="E119" s="141"/>
      <c r="F119" s="192">
        <v>63.69</v>
      </c>
      <c r="G119" s="141"/>
      <c r="H119" s="193">
        <v>63.84</v>
      </c>
      <c r="I119" s="140">
        <v>59.91</v>
      </c>
      <c r="J119" s="97">
        <v>66.959999999999994</v>
      </c>
      <c r="K119" s="126">
        <f>I119-J119</f>
        <v>-7.0499999999999972</v>
      </c>
      <c r="L119" s="279">
        <v>60</v>
      </c>
      <c r="M119" s="281">
        <f t="shared" si="15"/>
        <v>5.3571428571428577</v>
      </c>
      <c r="N119" s="69" t="s">
        <v>134</v>
      </c>
    </row>
    <row r="120" spans="1:14" ht="15.75" customHeight="1" x14ac:dyDescent="0.25">
      <c r="B120" s="18" t="s">
        <v>7</v>
      </c>
      <c r="C120" s="72" t="s">
        <v>99</v>
      </c>
      <c r="D120" s="129">
        <v>7</v>
      </c>
      <c r="E120" s="141"/>
      <c r="F120" s="192"/>
      <c r="G120" s="141"/>
      <c r="H120" s="193"/>
      <c r="I120" s="140">
        <v>0</v>
      </c>
      <c r="J120" s="95">
        <v>48.88</v>
      </c>
      <c r="K120" s="126">
        <f t="shared" ref="K120:K124" si="26">I120-J120</f>
        <v>-48.88</v>
      </c>
      <c r="L120" s="279">
        <v>0</v>
      </c>
      <c r="M120" s="281">
        <f t="shared" si="15"/>
        <v>0</v>
      </c>
    </row>
    <row r="121" spans="1:14" ht="15.75" customHeight="1" x14ac:dyDescent="0.25">
      <c r="B121" s="12"/>
      <c r="C121" s="151" t="s">
        <v>115</v>
      </c>
      <c r="D121" s="195" t="s">
        <v>109</v>
      </c>
      <c r="E121" s="191"/>
      <c r="F121" s="191"/>
      <c r="G121" s="191"/>
      <c r="H121" s="191"/>
      <c r="I121" s="196">
        <v>0</v>
      </c>
      <c r="J121" s="195">
        <v>0</v>
      </c>
      <c r="K121" s="161">
        <f t="shared" si="26"/>
        <v>0</v>
      </c>
      <c r="L121" s="279">
        <v>0</v>
      </c>
      <c r="M121" s="281"/>
    </row>
    <row r="122" spans="1:14" ht="15.75" customHeight="1" x14ac:dyDescent="0.25">
      <c r="B122" s="12"/>
      <c r="C122" s="71" t="s">
        <v>120</v>
      </c>
      <c r="D122" s="142" t="s">
        <v>109</v>
      </c>
      <c r="E122" s="95"/>
      <c r="F122" s="197"/>
      <c r="G122" s="95"/>
      <c r="H122" s="197"/>
      <c r="I122" s="140">
        <v>0</v>
      </c>
      <c r="J122" s="97">
        <v>0</v>
      </c>
      <c r="K122" s="171">
        <f t="shared" si="26"/>
        <v>0</v>
      </c>
      <c r="L122" s="279">
        <v>0</v>
      </c>
      <c r="M122" s="281"/>
    </row>
    <row r="123" spans="1:14" ht="15.75" customHeight="1" thickBot="1" x14ac:dyDescent="0.3">
      <c r="C123" s="156" t="s">
        <v>117</v>
      </c>
      <c r="D123" s="194">
        <f>SUM(D119:D120)</f>
        <v>18.2</v>
      </c>
      <c r="E123" s="194"/>
      <c r="F123" s="170"/>
      <c r="G123" s="194"/>
      <c r="H123" s="170"/>
      <c r="I123" s="169">
        <v>59.91</v>
      </c>
      <c r="J123" s="170">
        <f>SUM(J119:J120)</f>
        <v>115.84</v>
      </c>
      <c r="K123" s="169">
        <f t="shared" si="26"/>
        <v>-55.930000000000007</v>
      </c>
      <c r="L123" s="279">
        <f>SUM(L119:L120)</f>
        <v>60</v>
      </c>
      <c r="M123" s="281">
        <f t="shared" si="15"/>
        <v>3.296703296703297</v>
      </c>
    </row>
    <row r="124" spans="1:14" ht="15.75" customHeight="1" thickTop="1" x14ac:dyDescent="0.25">
      <c r="C124" s="79" t="s">
        <v>118</v>
      </c>
      <c r="D124" s="134">
        <v>18.2</v>
      </c>
      <c r="E124" s="133"/>
      <c r="F124" s="133"/>
      <c r="G124" s="133"/>
      <c r="H124" s="133"/>
      <c r="I124" s="171">
        <v>59.91</v>
      </c>
      <c r="J124" s="158">
        <v>115.84</v>
      </c>
      <c r="K124" s="171">
        <f t="shared" si="26"/>
        <v>-55.930000000000007</v>
      </c>
      <c r="L124" s="279">
        <f>L123</f>
        <v>60</v>
      </c>
      <c r="M124" s="281">
        <f t="shared" si="15"/>
        <v>3.296703296703297</v>
      </c>
    </row>
    <row r="125" spans="1:14" s="15" customFormat="1" ht="15.75" customHeight="1" x14ac:dyDescent="0.25">
      <c r="A125" s="13" t="s">
        <v>30</v>
      </c>
      <c r="C125" s="3"/>
      <c r="D125" s="37"/>
      <c r="E125" s="105"/>
      <c r="F125" s="16"/>
      <c r="G125" s="105"/>
      <c r="H125" s="105"/>
      <c r="I125" s="99"/>
      <c r="J125" s="83"/>
      <c r="K125" s="118"/>
      <c r="L125" s="279"/>
      <c r="M125" s="281"/>
    </row>
    <row r="126" spans="1:14" ht="15.75" customHeight="1" x14ac:dyDescent="0.25">
      <c r="B126" s="9" t="s">
        <v>3</v>
      </c>
      <c r="C126" s="9" t="s">
        <v>57</v>
      </c>
      <c r="D126" s="39">
        <v>0.66</v>
      </c>
      <c r="E126" s="135">
        <f t="shared" ref="E126:E131" si="27">F126/D126</f>
        <v>3.6515151515151514</v>
      </c>
      <c r="F126" s="189">
        <v>2.41</v>
      </c>
      <c r="G126" s="135">
        <f t="shared" ref="G126:G131" si="28">H126/D126</f>
        <v>5.3484848484848477</v>
      </c>
      <c r="H126" s="190">
        <v>3.53</v>
      </c>
      <c r="I126" s="126">
        <v>3.36</v>
      </c>
      <c r="J126" s="95">
        <v>2.82</v>
      </c>
      <c r="K126" s="126">
        <f>I126-J126</f>
        <v>0.54</v>
      </c>
      <c r="L126" s="279">
        <v>2</v>
      </c>
      <c r="M126" s="281">
        <f t="shared" si="15"/>
        <v>3.0303030303030303</v>
      </c>
      <c r="N126" s="69" t="s">
        <v>135</v>
      </c>
    </row>
    <row r="127" spans="1:14" ht="15.75" customHeight="1" x14ac:dyDescent="0.25">
      <c r="A127" s="1"/>
      <c r="B127" s="9" t="s">
        <v>3</v>
      </c>
      <c r="C127" s="9" t="s">
        <v>51</v>
      </c>
      <c r="D127" s="39">
        <v>2.79</v>
      </c>
      <c r="E127" s="135">
        <f t="shared" si="27"/>
        <v>3.5197132616487457</v>
      </c>
      <c r="F127" s="189">
        <v>9.82</v>
      </c>
      <c r="G127" s="135">
        <f t="shared" si="28"/>
        <v>4.6810035842293907</v>
      </c>
      <c r="H127" s="190">
        <v>13.06</v>
      </c>
      <c r="I127" s="126">
        <v>13.42</v>
      </c>
      <c r="J127" s="95">
        <v>16.260000000000002</v>
      </c>
      <c r="K127" s="126">
        <f t="shared" ref="K127:K136" si="29">I127-J127</f>
        <v>-2.8400000000000016</v>
      </c>
      <c r="L127" s="279">
        <v>10</v>
      </c>
      <c r="M127" s="281">
        <f t="shared" si="15"/>
        <v>3.5842293906810037</v>
      </c>
    </row>
    <row r="128" spans="1:14" ht="15.75" customHeight="1" x14ac:dyDescent="0.25">
      <c r="B128" s="9" t="s">
        <v>3</v>
      </c>
      <c r="C128" s="9" t="s">
        <v>63</v>
      </c>
      <c r="D128" s="39">
        <v>2.7</v>
      </c>
      <c r="E128" s="135">
        <f t="shared" si="27"/>
        <v>2.4518518518518517</v>
      </c>
      <c r="F128" s="189">
        <v>6.62</v>
      </c>
      <c r="G128" s="135">
        <f t="shared" si="28"/>
        <v>3.903703703703703</v>
      </c>
      <c r="H128" s="190">
        <v>10.54</v>
      </c>
      <c r="I128" s="126">
        <v>10.86</v>
      </c>
      <c r="J128" s="95">
        <v>8.07</v>
      </c>
      <c r="K128" s="126">
        <f t="shared" si="29"/>
        <v>2.7899999999999991</v>
      </c>
      <c r="L128" s="279">
        <v>8</v>
      </c>
      <c r="M128" s="281">
        <f t="shared" si="15"/>
        <v>2.9629629629629628</v>
      </c>
    </row>
    <row r="129" spans="1:14" ht="15.75" customHeight="1" x14ac:dyDescent="0.25">
      <c r="B129" s="9" t="s">
        <v>3</v>
      </c>
      <c r="C129" s="9" t="s">
        <v>64</v>
      </c>
      <c r="D129" s="39">
        <v>0.85</v>
      </c>
      <c r="E129" s="135">
        <f t="shared" si="27"/>
        <v>3.5529411764705885</v>
      </c>
      <c r="F129" s="189">
        <v>3.02</v>
      </c>
      <c r="G129" s="135">
        <f t="shared" si="28"/>
        <v>6.8588235294117652</v>
      </c>
      <c r="H129" s="190">
        <v>5.83</v>
      </c>
      <c r="I129" s="126">
        <v>3.21</v>
      </c>
      <c r="J129" s="95">
        <v>1.4</v>
      </c>
      <c r="K129" s="126">
        <f t="shared" si="29"/>
        <v>1.81</v>
      </c>
      <c r="L129" s="279">
        <v>2</v>
      </c>
      <c r="M129" s="281">
        <f t="shared" si="15"/>
        <v>2.3529411764705883</v>
      </c>
    </row>
    <row r="130" spans="1:14" ht="15.75" customHeight="1" x14ac:dyDescent="0.25">
      <c r="B130" s="9" t="s">
        <v>3</v>
      </c>
      <c r="C130" s="9" t="s">
        <v>45</v>
      </c>
      <c r="D130" s="39">
        <v>0.78</v>
      </c>
      <c r="E130" s="135">
        <f t="shared" si="27"/>
        <v>3.8589743589743586</v>
      </c>
      <c r="F130" s="189">
        <v>3.01</v>
      </c>
      <c r="G130" s="135">
        <f t="shared" si="28"/>
        <v>2.7692307692307692</v>
      </c>
      <c r="H130" s="190">
        <v>2.16</v>
      </c>
      <c r="I130" s="126">
        <v>2.7</v>
      </c>
      <c r="J130" s="95">
        <v>1.67</v>
      </c>
      <c r="K130" s="126">
        <f t="shared" si="29"/>
        <v>1.0300000000000002</v>
      </c>
      <c r="L130" s="279">
        <v>1.67</v>
      </c>
      <c r="M130" s="281">
        <f t="shared" si="15"/>
        <v>2.141025641025641</v>
      </c>
    </row>
    <row r="131" spans="1:14" ht="15.75" customHeight="1" x14ac:dyDescent="0.25">
      <c r="A131" s="1"/>
      <c r="B131" s="9" t="s">
        <v>3</v>
      </c>
      <c r="C131" s="9" t="s">
        <v>65</v>
      </c>
      <c r="D131" s="39">
        <v>4.92</v>
      </c>
      <c r="E131" s="135">
        <f t="shared" si="27"/>
        <v>4.0040650406504064</v>
      </c>
      <c r="F131" s="189">
        <v>19.7</v>
      </c>
      <c r="G131" s="135">
        <f t="shared" si="28"/>
        <v>3.9146341463414638</v>
      </c>
      <c r="H131" s="190">
        <v>19.260000000000002</v>
      </c>
      <c r="I131" s="126">
        <v>19.28</v>
      </c>
      <c r="J131" s="95">
        <v>21.55</v>
      </c>
      <c r="K131" s="126">
        <f t="shared" si="29"/>
        <v>-2.2699999999999996</v>
      </c>
      <c r="L131" s="279">
        <v>18</v>
      </c>
      <c r="M131" s="281">
        <f t="shared" si="15"/>
        <v>3.6585365853658538</v>
      </c>
    </row>
    <row r="132" spans="1:14" ht="15.75" customHeight="1" x14ac:dyDescent="0.25">
      <c r="A132" s="1"/>
      <c r="B132" s="18" t="s">
        <v>7</v>
      </c>
      <c r="C132" s="18" t="s">
        <v>87</v>
      </c>
      <c r="D132" s="129">
        <v>6.41</v>
      </c>
      <c r="E132" s="141"/>
      <c r="F132" s="192"/>
      <c r="G132" s="141"/>
      <c r="H132" s="193"/>
      <c r="I132" s="140">
        <v>0</v>
      </c>
      <c r="J132" s="97">
        <v>23.13</v>
      </c>
      <c r="K132" s="126">
        <f t="shared" si="29"/>
        <v>-23.13</v>
      </c>
      <c r="L132" s="279">
        <v>23.13</v>
      </c>
      <c r="M132" s="281">
        <f t="shared" si="15"/>
        <v>3.6084243369734788</v>
      </c>
    </row>
    <row r="133" spans="1:14" ht="15.75" customHeight="1" x14ac:dyDescent="0.25">
      <c r="B133" s="12"/>
      <c r="C133" s="151" t="s">
        <v>115</v>
      </c>
      <c r="D133" s="176">
        <f>SUM(D126:D131)</f>
        <v>12.7</v>
      </c>
      <c r="E133" s="176">
        <f t="shared" ref="E133:H133" si="30">SUM(E126:E131)</f>
        <v>21.039060841111102</v>
      </c>
      <c r="F133" s="176">
        <f t="shared" si="30"/>
        <v>44.58</v>
      </c>
      <c r="G133" s="176">
        <f t="shared" si="30"/>
        <v>27.475880581401942</v>
      </c>
      <c r="H133" s="176">
        <f t="shared" si="30"/>
        <v>54.38000000000001</v>
      </c>
      <c r="I133" s="187">
        <f>SUM(I126:I131)</f>
        <v>52.830000000000005</v>
      </c>
      <c r="J133" s="176">
        <f>SUM(J126:J131)</f>
        <v>51.769999999999996</v>
      </c>
      <c r="K133" s="161">
        <f t="shared" si="29"/>
        <v>1.0600000000000094</v>
      </c>
      <c r="L133" s="279">
        <f>SUM(L126:L131)</f>
        <v>41.67</v>
      </c>
      <c r="M133" s="281">
        <f t="shared" ref="M133:M179" si="31">L133/D133</f>
        <v>3.2811023622047246</v>
      </c>
    </row>
    <row r="134" spans="1:14" ht="15.75" customHeight="1" x14ac:dyDescent="0.25">
      <c r="B134" s="12"/>
      <c r="C134" s="71" t="s">
        <v>121</v>
      </c>
      <c r="D134" s="149" t="s">
        <v>109</v>
      </c>
      <c r="E134" s="149"/>
      <c r="F134" s="149"/>
      <c r="G134" s="149"/>
      <c r="H134" s="149"/>
      <c r="I134" s="165">
        <v>0</v>
      </c>
      <c r="J134" s="149">
        <v>0</v>
      </c>
      <c r="K134" s="171">
        <f t="shared" si="29"/>
        <v>0</v>
      </c>
      <c r="L134" s="279">
        <v>0</v>
      </c>
      <c r="M134" s="281"/>
    </row>
    <row r="135" spans="1:14" ht="15.75" customHeight="1" thickBot="1" x14ac:dyDescent="0.3">
      <c r="C135" s="156" t="s">
        <v>117</v>
      </c>
      <c r="D135" s="183">
        <v>6.41</v>
      </c>
      <c r="E135" s="183"/>
      <c r="F135" s="183"/>
      <c r="G135" s="183"/>
      <c r="H135" s="183"/>
      <c r="I135" s="188">
        <v>0</v>
      </c>
      <c r="J135" s="183">
        <v>23.13</v>
      </c>
      <c r="K135" s="169">
        <f t="shared" si="29"/>
        <v>-23.13</v>
      </c>
      <c r="L135" s="279">
        <v>23.13</v>
      </c>
      <c r="M135" s="281">
        <f t="shared" si="31"/>
        <v>3.6084243369734788</v>
      </c>
    </row>
    <row r="136" spans="1:14" ht="15.75" customHeight="1" thickTop="1" x14ac:dyDescent="0.25">
      <c r="C136" s="79" t="s">
        <v>118</v>
      </c>
      <c r="D136" s="186">
        <f>SUM(D133,D135)</f>
        <v>19.11</v>
      </c>
      <c r="E136" s="186"/>
      <c r="F136" s="186"/>
      <c r="G136" s="186"/>
      <c r="H136" s="186"/>
      <c r="I136" s="165">
        <v>52.8</v>
      </c>
      <c r="J136" s="149">
        <f>SUM(J133,J135)</f>
        <v>74.899999999999991</v>
      </c>
      <c r="K136" s="171">
        <f t="shared" si="29"/>
        <v>-22.099999999999994</v>
      </c>
      <c r="L136" s="279">
        <f>SUM(L133,L135)</f>
        <v>64.8</v>
      </c>
      <c r="M136" s="281">
        <f t="shared" si="31"/>
        <v>3.390894819466248</v>
      </c>
    </row>
    <row r="137" spans="1:14" s="15" customFormat="1" ht="15.75" customHeight="1" x14ac:dyDescent="0.25">
      <c r="A137" s="3" t="s">
        <v>33</v>
      </c>
      <c r="D137" s="42"/>
      <c r="E137" s="105"/>
      <c r="F137" s="16"/>
      <c r="G137" s="105"/>
      <c r="H137" s="105"/>
      <c r="I137" s="99"/>
      <c r="J137" s="83"/>
      <c r="K137" s="118"/>
      <c r="L137" s="279"/>
      <c r="M137" s="281"/>
    </row>
    <row r="138" spans="1:14" ht="15.75" customHeight="1" x14ac:dyDescent="0.25">
      <c r="B138" s="72" t="s">
        <v>3</v>
      </c>
      <c r="C138" s="72" t="s">
        <v>52</v>
      </c>
      <c r="D138" s="39">
        <v>1.79</v>
      </c>
      <c r="E138" s="135"/>
      <c r="F138" s="189"/>
      <c r="G138" s="135"/>
      <c r="H138" s="190"/>
      <c r="I138" s="126">
        <v>5.91</v>
      </c>
      <c r="J138" s="95">
        <v>8.6199999999999992</v>
      </c>
      <c r="K138" s="126">
        <f>I138-J138</f>
        <v>-2.7099999999999991</v>
      </c>
      <c r="L138" s="279">
        <v>6</v>
      </c>
      <c r="M138" s="281">
        <f t="shared" si="31"/>
        <v>3.3519553072625698</v>
      </c>
      <c r="N138" s="69" t="s">
        <v>136</v>
      </c>
    </row>
    <row r="139" spans="1:14" ht="15.75" customHeight="1" x14ac:dyDescent="0.25">
      <c r="B139" s="72" t="s">
        <v>3</v>
      </c>
      <c r="C139" s="72" t="s">
        <v>32</v>
      </c>
      <c r="D139" s="39">
        <v>2.4700000000000002</v>
      </c>
      <c r="E139" s="135"/>
      <c r="F139" s="189"/>
      <c r="G139" s="135"/>
      <c r="H139" s="190"/>
      <c r="I139" s="126">
        <v>7.04</v>
      </c>
      <c r="J139" s="95">
        <v>11.47</v>
      </c>
      <c r="K139" s="126">
        <f t="shared" ref="K139:K165" si="32">I139-J139</f>
        <v>-4.4300000000000006</v>
      </c>
      <c r="L139" s="279">
        <v>8</v>
      </c>
      <c r="M139" s="281">
        <f t="shared" si="31"/>
        <v>3.2388663967611335</v>
      </c>
    </row>
    <row r="140" spans="1:14" ht="15.75" customHeight="1" x14ac:dyDescent="0.25">
      <c r="B140" s="9" t="s">
        <v>3</v>
      </c>
      <c r="C140" s="9" t="s">
        <v>54</v>
      </c>
      <c r="D140" s="39">
        <v>0.92</v>
      </c>
      <c r="E140" s="135">
        <f t="shared" ref="E140:E159" si="33">F140/D140</f>
        <v>4.0108695652173907</v>
      </c>
      <c r="F140" s="189">
        <v>3.69</v>
      </c>
      <c r="G140" s="135">
        <f t="shared" ref="G140:G159" si="34">H140/D140</f>
        <v>3.4239130434782608</v>
      </c>
      <c r="H140" s="190">
        <v>3.15</v>
      </c>
      <c r="I140" s="126">
        <v>2.96</v>
      </c>
      <c r="J140" s="95">
        <v>4.32</v>
      </c>
      <c r="K140" s="126">
        <f t="shared" si="32"/>
        <v>-1.3600000000000003</v>
      </c>
      <c r="L140" s="279">
        <v>3</v>
      </c>
      <c r="M140" s="281">
        <f t="shared" si="31"/>
        <v>3.2608695652173911</v>
      </c>
    </row>
    <row r="141" spans="1:14" ht="15.75" customHeight="1" x14ac:dyDescent="0.25">
      <c r="B141" s="9" t="s">
        <v>3</v>
      </c>
      <c r="C141" s="9" t="s">
        <v>66</v>
      </c>
      <c r="D141" s="39">
        <v>0.55000000000000004</v>
      </c>
      <c r="E141" s="135">
        <f t="shared" si="33"/>
        <v>2.5818181818181816</v>
      </c>
      <c r="F141" s="189">
        <v>1.42</v>
      </c>
      <c r="G141" s="135">
        <f t="shared" si="34"/>
        <v>2.8</v>
      </c>
      <c r="H141" s="190">
        <v>1.54</v>
      </c>
      <c r="I141" s="126">
        <v>1.84</v>
      </c>
      <c r="J141" s="95">
        <v>1.72</v>
      </c>
      <c r="K141" s="126">
        <f t="shared" si="32"/>
        <v>0.12000000000000011</v>
      </c>
      <c r="L141" s="279">
        <v>2</v>
      </c>
      <c r="M141" s="281">
        <f t="shared" si="31"/>
        <v>3.6363636363636362</v>
      </c>
    </row>
    <row r="142" spans="1:14" ht="15.75" customHeight="1" x14ac:dyDescent="0.25">
      <c r="A142" s="1"/>
      <c r="B142" s="9" t="s">
        <v>3</v>
      </c>
      <c r="C142" s="9" t="s">
        <v>67</v>
      </c>
      <c r="D142" s="39">
        <v>0.96</v>
      </c>
      <c r="E142" s="135">
        <f t="shared" si="33"/>
        <v>2.166666666666667</v>
      </c>
      <c r="F142" s="189">
        <v>2.08</v>
      </c>
      <c r="G142" s="135">
        <f t="shared" si="34"/>
        <v>2.5208333333333335</v>
      </c>
      <c r="H142" s="190">
        <v>2.42</v>
      </c>
      <c r="I142" s="126">
        <v>2.36</v>
      </c>
      <c r="J142" s="95">
        <v>2.88</v>
      </c>
      <c r="K142" s="126">
        <f t="shared" si="32"/>
        <v>-0.52</v>
      </c>
      <c r="L142" s="279">
        <v>2.5</v>
      </c>
      <c r="M142" s="281">
        <f t="shared" si="31"/>
        <v>2.604166666666667</v>
      </c>
    </row>
    <row r="143" spans="1:14" ht="15.75" customHeight="1" x14ac:dyDescent="0.25">
      <c r="B143" s="9" t="s">
        <v>3</v>
      </c>
      <c r="C143" s="9" t="s">
        <v>68</v>
      </c>
      <c r="D143" s="39">
        <v>0.56999999999999995</v>
      </c>
      <c r="E143" s="135">
        <f t="shared" si="33"/>
        <v>4.5964912280701764</v>
      </c>
      <c r="F143" s="189">
        <v>2.62</v>
      </c>
      <c r="G143" s="135">
        <f t="shared" si="34"/>
        <v>2.929824561403509</v>
      </c>
      <c r="H143" s="190">
        <v>1.67</v>
      </c>
      <c r="I143" s="126">
        <v>1.82</v>
      </c>
      <c r="J143" s="95">
        <v>2.1800000000000002</v>
      </c>
      <c r="K143" s="126">
        <f t="shared" si="32"/>
        <v>-0.3600000000000001</v>
      </c>
      <c r="L143" s="279">
        <v>2</v>
      </c>
      <c r="M143" s="281">
        <f t="shared" si="31"/>
        <v>3.5087719298245617</v>
      </c>
    </row>
    <row r="144" spans="1:14" ht="15.75" customHeight="1" x14ac:dyDescent="0.25">
      <c r="B144" s="9" t="s">
        <v>3</v>
      </c>
      <c r="C144" s="72" t="s">
        <v>69</v>
      </c>
      <c r="D144" s="39">
        <v>0.9</v>
      </c>
      <c r="E144" s="135">
        <f t="shared" si="33"/>
        <v>4.9444444444444446</v>
      </c>
      <c r="F144" s="189">
        <v>4.45</v>
      </c>
      <c r="G144" s="135">
        <f t="shared" si="34"/>
        <v>3.3444444444444441</v>
      </c>
      <c r="H144" s="190">
        <v>3.01</v>
      </c>
      <c r="I144" s="126">
        <v>3.33</v>
      </c>
      <c r="J144" s="95">
        <v>5.25</v>
      </c>
      <c r="K144" s="126">
        <f t="shared" si="32"/>
        <v>-1.92</v>
      </c>
      <c r="L144" s="279">
        <v>3.5</v>
      </c>
      <c r="M144" s="281">
        <f t="shared" si="31"/>
        <v>3.8888888888888888</v>
      </c>
    </row>
    <row r="145" spans="1:13" ht="15.75" customHeight="1" x14ac:dyDescent="0.25">
      <c r="B145" s="9" t="s">
        <v>3</v>
      </c>
      <c r="C145" s="9" t="s">
        <v>70</v>
      </c>
      <c r="D145" s="39">
        <v>2.68</v>
      </c>
      <c r="E145" s="135">
        <f t="shared" si="33"/>
        <v>2.9141791044776117</v>
      </c>
      <c r="F145" s="189">
        <v>7.81</v>
      </c>
      <c r="G145" s="135">
        <f t="shared" si="34"/>
        <v>3.4664179104477606</v>
      </c>
      <c r="H145" s="190">
        <v>9.2899999999999991</v>
      </c>
      <c r="I145" s="126">
        <v>8.52</v>
      </c>
      <c r="J145" s="95">
        <v>12</v>
      </c>
      <c r="K145" s="126">
        <f t="shared" si="32"/>
        <v>-3.4800000000000004</v>
      </c>
      <c r="L145" s="279">
        <v>10</v>
      </c>
      <c r="M145" s="281">
        <f t="shared" si="31"/>
        <v>3.7313432835820892</v>
      </c>
    </row>
    <row r="146" spans="1:13" ht="15.75" customHeight="1" x14ac:dyDescent="0.25">
      <c r="A146" s="1"/>
      <c r="B146" s="9" t="s">
        <v>3</v>
      </c>
      <c r="C146" s="9" t="s">
        <v>71</v>
      </c>
      <c r="D146" s="39">
        <v>0.53</v>
      </c>
      <c r="E146" s="135">
        <f t="shared" si="33"/>
        <v>4.5849056603773581</v>
      </c>
      <c r="F146" s="189">
        <v>2.4300000000000002</v>
      </c>
      <c r="G146" s="135">
        <f t="shared" si="34"/>
        <v>3.6037735849056602</v>
      </c>
      <c r="H146" s="190">
        <v>1.91</v>
      </c>
      <c r="I146" s="126">
        <v>2.74</v>
      </c>
      <c r="J146" s="95">
        <v>2.84</v>
      </c>
      <c r="K146" s="126">
        <f t="shared" si="32"/>
        <v>-9.9999999999999645E-2</v>
      </c>
      <c r="L146" s="279">
        <v>2.5</v>
      </c>
      <c r="M146" s="281">
        <f t="shared" si="31"/>
        <v>4.7169811320754711</v>
      </c>
    </row>
    <row r="147" spans="1:13" ht="15.75" customHeight="1" x14ac:dyDescent="0.25">
      <c r="B147" s="9" t="s">
        <v>3</v>
      </c>
      <c r="C147" s="9" t="s">
        <v>72</v>
      </c>
      <c r="D147" s="39">
        <v>1.25</v>
      </c>
      <c r="E147" s="135">
        <f t="shared" si="33"/>
        <v>4.2320000000000002</v>
      </c>
      <c r="F147" s="189">
        <v>5.29</v>
      </c>
      <c r="G147" s="135">
        <f t="shared" si="34"/>
        <v>4.1680000000000001</v>
      </c>
      <c r="H147" s="190">
        <v>5.21</v>
      </c>
      <c r="I147" s="126">
        <v>5.41</v>
      </c>
      <c r="J147" s="95">
        <v>6.22</v>
      </c>
      <c r="K147" s="126">
        <f t="shared" si="32"/>
        <v>-0.80999999999999961</v>
      </c>
      <c r="L147" s="279">
        <v>5</v>
      </c>
      <c r="M147" s="281">
        <f t="shared" si="31"/>
        <v>4</v>
      </c>
    </row>
    <row r="148" spans="1:13" ht="15.75" customHeight="1" x14ac:dyDescent="0.25">
      <c r="B148" s="9" t="s">
        <v>3</v>
      </c>
      <c r="C148" s="9" t="s">
        <v>73</v>
      </c>
      <c r="D148" s="39">
        <v>1.63</v>
      </c>
      <c r="E148" s="135">
        <f t="shared" si="33"/>
        <v>4.073619631901841</v>
      </c>
      <c r="F148" s="189">
        <v>6.64</v>
      </c>
      <c r="G148" s="135">
        <f t="shared" si="34"/>
        <v>4.3496932515337425</v>
      </c>
      <c r="H148" s="190">
        <v>7.09</v>
      </c>
      <c r="I148" s="126">
        <v>6.38</v>
      </c>
      <c r="J148" s="95">
        <v>8.42</v>
      </c>
      <c r="K148" s="126">
        <f t="shared" si="32"/>
        <v>-2.04</v>
      </c>
      <c r="L148" s="279">
        <v>6</v>
      </c>
      <c r="M148" s="281">
        <f t="shared" si="31"/>
        <v>3.6809815950920246</v>
      </c>
    </row>
    <row r="149" spans="1:13" ht="15.75" customHeight="1" x14ac:dyDescent="0.25">
      <c r="B149" s="9" t="s">
        <v>3</v>
      </c>
      <c r="C149" s="9" t="s">
        <v>74</v>
      </c>
      <c r="D149" s="39">
        <v>1.72</v>
      </c>
      <c r="E149" s="135">
        <f t="shared" si="33"/>
        <v>3.7965116279069768</v>
      </c>
      <c r="F149" s="189">
        <v>6.53</v>
      </c>
      <c r="G149" s="135">
        <f t="shared" si="34"/>
        <v>2.9127906976744184</v>
      </c>
      <c r="H149" s="190">
        <v>5.01</v>
      </c>
      <c r="I149" s="126">
        <v>5.4</v>
      </c>
      <c r="J149" s="95">
        <v>6.16</v>
      </c>
      <c r="K149" s="126">
        <f t="shared" si="32"/>
        <v>-0.75999999999999979</v>
      </c>
      <c r="L149" s="279">
        <v>6</v>
      </c>
      <c r="M149" s="281">
        <f t="shared" si="31"/>
        <v>3.4883720930232558</v>
      </c>
    </row>
    <row r="150" spans="1:13" ht="15.75" customHeight="1" x14ac:dyDescent="0.25">
      <c r="A150" s="1"/>
      <c r="B150" s="9" t="s">
        <v>3</v>
      </c>
      <c r="C150" s="9" t="s">
        <v>75</v>
      </c>
      <c r="D150" s="39">
        <v>1.57</v>
      </c>
      <c r="E150" s="135">
        <f t="shared" si="33"/>
        <v>3.3503184713375793</v>
      </c>
      <c r="F150" s="189">
        <v>5.26</v>
      </c>
      <c r="G150" s="135">
        <f t="shared" si="34"/>
        <v>2.6942675159235669</v>
      </c>
      <c r="H150" s="190">
        <v>4.2300000000000004</v>
      </c>
      <c r="I150" s="126">
        <v>3.86</v>
      </c>
      <c r="J150" s="95">
        <v>6.93</v>
      </c>
      <c r="K150" s="126">
        <f t="shared" si="32"/>
        <v>-3.07</v>
      </c>
      <c r="L150" s="279">
        <v>6</v>
      </c>
      <c r="M150" s="281">
        <f t="shared" si="31"/>
        <v>3.8216560509554141</v>
      </c>
    </row>
    <row r="151" spans="1:13" ht="15.75" customHeight="1" x14ac:dyDescent="0.25">
      <c r="B151" s="9" t="s">
        <v>3</v>
      </c>
      <c r="C151" s="9" t="s">
        <v>76</v>
      </c>
      <c r="D151" s="39">
        <v>1.01</v>
      </c>
      <c r="E151" s="135">
        <f t="shared" si="33"/>
        <v>4.7128712871287126</v>
      </c>
      <c r="F151" s="189">
        <v>4.76</v>
      </c>
      <c r="G151" s="135">
        <f t="shared" si="34"/>
        <v>4.1287128712871288</v>
      </c>
      <c r="H151" s="190">
        <v>4.17</v>
      </c>
      <c r="I151" s="126">
        <v>3.65</v>
      </c>
      <c r="J151" s="95">
        <v>6.29</v>
      </c>
      <c r="K151" s="126">
        <f t="shared" si="32"/>
        <v>-2.64</v>
      </c>
      <c r="L151" s="279">
        <v>4</v>
      </c>
      <c r="M151" s="281">
        <f t="shared" si="31"/>
        <v>3.9603960396039604</v>
      </c>
    </row>
    <row r="152" spans="1:13" ht="15.75" customHeight="1" x14ac:dyDescent="0.25">
      <c r="B152" s="9" t="s">
        <v>3</v>
      </c>
      <c r="C152" s="9" t="s">
        <v>77</v>
      </c>
      <c r="D152" s="39">
        <v>1.5</v>
      </c>
      <c r="E152" s="135">
        <f t="shared" si="33"/>
        <v>5.4466666666666663</v>
      </c>
      <c r="F152" s="189">
        <v>8.17</v>
      </c>
      <c r="G152" s="135">
        <f t="shared" si="34"/>
        <v>3.34</v>
      </c>
      <c r="H152" s="190">
        <v>5.01</v>
      </c>
      <c r="I152" s="126">
        <v>4.58</v>
      </c>
      <c r="J152" s="95">
        <v>8.81</v>
      </c>
      <c r="K152" s="126">
        <f t="shared" si="32"/>
        <v>-4.2300000000000004</v>
      </c>
      <c r="L152" s="279">
        <v>5</v>
      </c>
      <c r="M152" s="281">
        <f t="shared" si="31"/>
        <v>3.3333333333333335</v>
      </c>
    </row>
    <row r="153" spans="1:13" ht="15.75" customHeight="1" x14ac:dyDescent="0.25">
      <c r="B153" s="9" t="s">
        <v>86</v>
      </c>
      <c r="C153" s="9" t="s">
        <v>49</v>
      </c>
      <c r="D153" s="39">
        <v>2.71</v>
      </c>
      <c r="E153" s="135">
        <f t="shared" si="33"/>
        <v>3.2509225092250924</v>
      </c>
      <c r="F153" s="189">
        <v>8.81</v>
      </c>
      <c r="G153" s="135">
        <f t="shared" si="34"/>
        <v>2.9188191881918821</v>
      </c>
      <c r="H153" s="190">
        <v>7.91</v>
      </c>
      <c r="I153" s="126">
        <v>10.52</v>
      </c>
      <c r="J153" s="95">
        <v>10.26</v>
      </c>
      <c r="K153" s="126">
        <f t="shared" si="32"/>
        <v>0.25999999999999979</v>
      </c>
      <c r="L153" s="279">
        <v>10</v>
      </c>
      <c r="M153" s="281">
        <f t="shared" si="31"/>
        <v>3.6900369003690039</v>
      </c>
    </row>
    <row r="154" spans="1:13" ht="15.75" customHeight="1" x14ac:dyDescent="0.25">
      <c r="A154" s="1"/>
      <c r="B154" s="9" t="s">
        <v>86</v>
      </c>
      <c r="C154" s="9" t="s">
        <v>44</v>
      </c>
      <c r="D154" s="39">
        <v>1.04</v>
      </c>
      <c r="E154" s="135">
        <f t="shared" si="33"/>
        <v>5.4423076923076925</v>
      </c>
      <c r="F154" s="189">
        <v>5.66</v>
      </c>
      <c r="G154" s="135">
        <f t="shared" si="34"/>
        <v>3.125</v>
      </c>
      <c r="H154" s="190">
        <v>3.25</v>
      </c>
      <c r="I154" s="126">
        <v>2.92</v>
      </c>
      <c r="J154" s="95">
        <v>3.6</v>
      </c>
      <c r="K154" s="126">
        <f t="shared" si="32"/>
        <v>-0.68000000000000016</v>
      </c>
      <c r="L154" s="279">
        <v>3</v>
      </c>
      <c r="M154" s="281">
        <f t="shared" si="31"/>
        <v>2.8846153846153846</v>
      </c>
    </row>
    <row r="155" spans="1:13" ht="15.75" customHeight="1" x14ac:dyDescent="0.25">
      <c r="B155" s="9" t="s">
        <v>86</v>
      </c>
      <c r="C155" s="9" t="s">
        <v>12</v>
      </c>
      <c r="D155" s="39">
        <v>1.31</v>
      </c>
      <c r="E155" s="135">
        <f t="shared" si="33"/>
        <v>2.6946564885496183</v>
      </c>
      <c r="F155" s="189">
        <v>3.53</v>
      </c>
      <c r="G155" s="135">
        <f t="shared" si="34"/>
        <v>3.5496183206106871</v>
      </c>
      <c r="H155" s="190">
        <v>4.6500000000000004</v>
      </c>
      <c r="I155" s="126">
        <v>4.51</v>
      </c>
      <c r="J155" s="95">
        <v>6.61</v>
      </c>
      <c r="K155" s="126">
        <f t="shared" si="32"/>
        <v>-2.1000000000000005</v>
      </c>
      <c r="L155" s="279">
        <v>4.5</v>
      </c>
      <c r="M155" s="281">
        <f t="shared" si="31"/>
        <v>3.4351145038167936</v>
      </c>
    </row>
    <row r="156" spans="1:13" ht="15.75" customHeight="1" x14ac:dyDescent="0.25">
      <c r="B156" s="9" t="s">
        <v>86</v>
      </c>
      <c r="C156" s="9" t="s">
        <v>36</v>
      </c>
      <c r="D156" s="39">
        <v>1.22</v>
      </c>
      <c r="E156" s="135">
        <f t="shared" si="33"/>
        <v>3.4754098360655741</v>
      </c>
      <c r="F156" s="189">
        <v>4.24</v>
      </c>
      <c r="G156" s="135">
        <f t="shared" si="34"/>
        <v>4.1065573770491799</v>
      </c>
      <c r="H156" s="190">
        <v>5.01</v>
      </c>
      <c r="I156" s="126">
        <v>3.83</v>
      </c>
      <c r="J156" s="95">
        <v>1.38</v>
      </c>
      <c r="K156" s="126">
        <f t="shared" si="32"/>
        <v>2.4500000000000002</v>
      </c>
      <c r="L156" s="279">
        <v>3</v>
      </c>
      <c r="M156" s="281">
        <f t="shared" si="31"/>
        <v>2.459016393442623</v>
      </c>
    </row>
    <row r="157" spans="1:13" ht="15.75" customHeight="1" x14ac:dyDescent="0.25">
      <c r="B157" s="9" t="s">
        <v>86</v>
      </c>
      <c r="C157" s="9" t="s">
        <v>63</v>
      </c>
      <c r="D157" s="39">
        <v>0.45</v>
      </c>
      <c r="E157" s="135">
        <f t="shared" si="33"/>
        <v>7.0444444444444443</v>
      </c>
      <c r="F157" s="189">
        <v>3.17</v>
      </c>
      <c r="G157" s="135">
        <f t="shared" si="34"/>
        <v>4.2444444444444445</v>
      </c>
      <c r="H157" s="190">
        <v>1.91</v>
      </c>
      <c r="I157" s="126">
        <v>3.21</v>
      </c>
      <c r="J157" s="95">
        <v>1.1000000000000001</v>
      </c>
      <c r="K157" s="126">
        <f t="shared" si="32"/>
        <v>2.11</v>
      </c>
      <c r="L157" s="279">
        <v>2</v>
      </c>
      <c r="M157" s="281">
        <f t="shared" si="31"/>
        <v>4.4444444444444446</v>
      </c>
    </row>
    <row r="158" spans="1:13" ht="15.75" customHeight="1" x14ac:dyDescent="0.25">
      <c r="A158" s="1"/>
      <c r="B158" s="9" t="s">
        <v>86</v>
      </c>
      <c r="C158" s="9" t="s">
        <v>64</v>
      </c>
      <c r="D158" s="39">
        <v>0.32</v>
      </c>
      <c r="E158" s="135">
        <f t="shared" si="33"/>
        <v>1.09375</v>
      </c>
      <c r="F158" s="189">
        <v>0.35</v>
      </c>
      <c r="G158" s="135">
        <f t="shared" si="34"/>
        <v>3.7187499999999996</v>
      </c>
      <c r="H158" s="190">
        <v>1.19</v>
      </c>
      <c r="I158" s="126">
        <v>0.41</v>
      </c>
      <c r="J158" s="95">
        <v>3.22</v>
      </c>
      <c r="K158" s="126">
        <f t="shared" si="32"/>
        <v>-2.81</v>
      </c>
      <c r="L158" s="279">
        <v>1</v>
      </c>
      <c r="M158" s="281">
        <f t="shared" si="31"/>
        <v>3.125</v>
      </c>
    </row>
    <row r="159" spans="1:13" ht="15.75" customHeight="1" x14ac:dyDescent="0.25">
      <c r="B159" s="18" t="s">
        <v>7</v>
      </c>
      <c r="C159" s="18" t="s">
        <v>46</v>
      </c>
      <c r="D159" s="129">
        <v>5.0999999999999996</v>
      </c>
      <c r="E159" s="141">
        <f t="shared" si="33"/>
        <v>3.5627450980392164</v>
      </c>
      <c r="F159" s="192">
        <v>18.170000000000002</v>
      </c>
      <c r="G159" s="141">
        <f t="shared" si="34"/>
        <v>5.7313725490196079</v>
      </c>
      <c r="H159" s="193">
        <v>29.23</v>
      </c>
      <c r="I159" s="140">
        <v>15.46</v>
      </c>
      <c r="J159" s="97">
        <v>29.34</v>
      </c>
      <c r="K159" s="126">
        <f t="shared" si="32"/>
        <v>-13.879999999999999</v>
      </c>
      <c r="L159" s="279">
        <v>20</v>
      </c>
      <c r="M159" s="281">
        <f t="shared" si="31"/>
        <v>3.9215686274509807</v>
      </c>
    </row>
    <row r="160" spans="1:13" ht="15.75" customHeight="1" x14ac:dyDescent="0.25">
      <c r="B160" s="18" t="s">
        <v>7</v>
      </c>
      <c r="C160" s="18" t="s">
        <v>42</v>
      </c>
      <c r="D160" s="129">
        <v>4</v>
      </c>
      <c r="E160" s="141"/>
      <c r="F160" s="192">
        <v>12.81</v>
      </c>
      <c r="G160" s="141"/>
      <c r="H160" s="193">
        <v>11.41</v>
      </c>
      <c r="I160" s="140">
        <v>7.7</v>
      </c>
      <c r="J160" s="97">
        <v>18.02</v>
      </c>
      <c r="K160" s="126">
        <f t="shared" si="32"/>
        <v>-10.32</v>
      </c>
      <c r="L160" s="279">
        <v>12</v>
      </c>
      <c r="M160" s="281">
        <f t="shared" si="31"/>
        <v>3</v>
      </c>
    </row>
    <row r="161" spans="1:13" ht="15.75" customHeight="1" x14ac:dyDescent="0.25">
      <c r="B161" s="18" t="s">
        <v>7</v>
      </c>
      <c r="C161" s="18" t="s">
        <v>47</v>
      </c>
      <c r="D161" s="129">
        <v>4.5</v>
      </c>
      <c r="E161" s="141"/>
      <c r="F161" s="192"/>
      <c r="G161" s="141"/>
      <c r="H161" s="193"/>
      <c r="I161" s="140">
        <v>16.260000000000002</v>
      </c>
      <c r="J161" s="97">
        <v>23.8</v>
      </c>
      <c r="K161" s="126">
        <f t="shared" si="32"/>
        <v>-7.5399999999999991</v>
      </c>
      <c r="L161" s="279">
        <v>16</v>
      </c>
      <c r="M161" s="281">
        <f t="shared" si="31"/>
        <v>3.5555555555555554</v>
      </c>
    </row>
    <row r="162" spans="1:13" ht="15.75" customHeight="1" x14ac:dyDescent="0.25">
      <c r="B162" s="12"/>
      <c r="C162" s="151" t="s">
        <v>115</v>
      </c>
      <c r="D162" s="176">
        <f>SUM(D138:D152)</f>
        <v>20.05</v>
      </c>
      <c r="E162" s="176"/>
      <c r="F162" s="176"/>
      <c r="G162" s="176"/>
      <c r="H162" s="176"/>
      <c r="I162" s="187">
        <f>SUM(I138:I152)</f>
        <v>65.800000000000011</v>
      </c>
      <c r="J162" s="176">
        <f>SUM(J138:J152)</f>
        <v>94.11</v>
      </c>
      <c r="K162" s="161">
        <f t="shared" si="32"/>
        <v>-28.309999999999988</v>
      </c>
      <c r="L162" s="279">
        <f>SUM(L138:L152)</f>
        <v>71.5</v>
      </c>
      <c r="M162" s="281">
        <f t="shared" si="31"/>
        <v>3.5660847880299249</v>
      </c>
    </row>
    <row r="163" spans="1:13" ht="15.75" customHeight="1" x14ac:dyDescent="0.25">
      <c r="B163" s="12"/>
      <c r="C163" s="71" t="s">
        <v>119</v>
      </c>
      <c r="D163" s="149">
        <f>SUM(D153:D158)</f>
        <v>7.0500000000000007</v>
      </c>
      <c r="E163" s="149"/>
      <c r="F163" s="149"/>
      <c r="G163" s="149"/>
      <c r="H163" s="149"/>
      <c r="I163" s="165">
        <f>SUM(I153:I158)</f>
        <v>25.400000000000002</v>
      </c>
      <c r="J163" s="149">
        <f>SUM(J153:J158)</f>
        <v>26.169999999999998</v>
      </c>
      <c r="K163" s="171">
        <f t="shared" si="32"/>
        <v>-0.76999999999999602</v>
      </c>
      <c r="L163" s="279">
        <f>SUM(L153:L158)</f>
        <v>23.5</v>
      </c>
      <c r="M163" s="281">
        <f t="shared" si="31"/>
        <v>3.333333333333333</v>
      </c>
    </row>
    <row r="164" spans="1:13" ht="15.75" customHeight="1" thickBot="1" x14ac:dyDescent="0.3">
      <c r="C164" s="156" t="s">
        <v>117</v>
      </c>
      <c r="D164" s="183">
        <f>SUM(D159:D161)</f>
        <v>13.6</v>
      </c>
      <c r="E164" s="183"/>
      <c r="F164" s="183"/>
      <c r="G164" s="183"/>
      <c r="H164" s="183"/>
      <c r="I164" s="188">
        <f>SUM(I159:I161)</f>
        <v>39.42</v>
      </c>
      <c r="J164" s="183">
        <f>SUM(J159:J161)</f>
        <v>71.16</v>
      </c>
      <c r="K164" s="169">
        <f t="shared" si="32"/>
        <v>-31.739999999999995</v>
      </c>
      <c r="L164" s="279">
        <f>SUM(L159:L161)</f>
        <v>48</v>
      </c>
      <c r="M164" s="281">
        <f t="shared" si="31"/>
        <v>3.5294117647058822</v>
      </c>
    </row>
    <row r="165" spans="1:13" ht="15.75" customHeight="1" thickTop="1" x14ac:dyDescent="0.25">
      <c r="A165" s="43"/>
      <c r="B165" s="8"/>
      <c r="C165" s="79" t="s">
        <v>118</v>
      </c>
      <c r="D165" s="186">
        <f>SUM(D162:D164)</f>
        <v>40.700000000000003</v>
      </c>
      <c r="E165" s="186"/>
      <c r="F165" s="186"/>
      <c r="G165" s="186"/>
      <c r="H165" s="186"/>
      <c r="I165" s="165">
        <f>SUM(I162:I164)</f>
        <v>130.62</v>
      </c>
      <c r="J165" s="149">
        <f>SUM(J162:J164)</f>
        <v>191.44</v>
      </c>
      <c r="K165" s="171">
        <f t="shared" si="32"/>
        <v>-60.819999999999993</v>
      </c>
      <c r="L165" s="279">
        <f>SUM(L162:L164)</f>
        <v>143</v>
      </c>
      <c r="M165" s="281">
        <f t="shared" si="31"/>
        <v>3.5135135135135132</v>
      </c>
    </row>
    <row r="166" spans="1:13" s="15" customFormat="1" ht="15.75" customHeight="1" x14ac:dyDescent="0.25">
      <c r="A166" s="3" t="s">
        <v>34</v>
      </c>
      <c r="C166" s="3"/>
      <c r="D166" s="37"/>
      <c r="E166" s="105"/>
      <c r="F166" s="16"/>
      <c r="G166" s="105"/>
      <c r="H166" s="105"/>
      <c r="I166" s="99"/>
      <c r="J166" s="83"/>
      <c r="K166" s="118"/>
      <c r="L166" s="279"/>
      <c r="M166" s="281"/>
    </row>
    <row r="167" spans="1:13" ht="15.75" customHeight="1" x14ac:dyDescent="0.25">
      <c r="B167" s="9" t="s">
        <v>3</v>
      </c>
      <c r="C167" s="9" t="s">
        <v>50</v>
      </c>
      <c r="D167" s="39">
        <v>2.69</v>
      </c>
      <c r="E167" s="135">
        <f>F167/D167</f>
        <v>0</v>
      </c>
      <c r="F167" s="189">
        <v>0</v>
      </c>
      <c r="G167" s="135">
        <f>H167/D167</f>
        <v>1.970260223048327</v>
      </c>
      <c r="H167" s="190">
        <v>5.3</v>
      </c>
      <c r="I167" s="126">
        <v>5.45</v>
      </c>
      <c r="J167" s="95">
        <v>10.72</v>
      </c>
      <c r="K167" s="126">
        <f t="shared" ref="K167:K173" si="35">I167-J167</f>
        <v>-5.2700000000000005</v>
      </c>
      <c r="L167" s="279">
        <v>8</v>
      </c>
      <c r="M167" s="281">
        <f t="shared" si="31"/>
        <v>2.9739776951672865</v>
      </c>
    </row>
    <row r="168" spans="1:13" ht="15.75" customHeight="1" x14ac:dyDescent="0.25">
      <c r="B168" s="9" t="s">
        <v>6</v>
      </c>
      <c r="C168" s="9" t="s">
        <v>38</v>
      </c>
      <c r="D168" s="39">
        <v>1.6</v>
      </c>
      <c r="E168" s="135">
        <f>F168/D168</f>
        <v>1.9312499999999999</v>
      </c>
      <c r="F168" s="189">
        <v>3.09</v>
      </c>
      <c r="G168" s="135">
        <f>H168/D168</f>
        <v>1.9124999999999999</v>
      </c>
      <c r="H168" s="190">
        <v>3.06</v>
      </c>
      <c r="I168" s="126">
        <v>3.47</v>
      </c>
      <c r="J168" s="95">
        <v>2.33</v>
      </c>
      <c r="K168" s="126">
        <f t="shared" si="35"/>
        <v>1.1400000000000001</v>
      </c>
      <c r="L168" s="279">
        <v>3</v>
      </c>
      <c r="M168" s="281">
        <f t="shared" si="31"/>
        <v>1.875</v>
      </c>
    </row>
    <row r="169" spans="1:13" ht="15.75" customHeight="1" x14ac:dyDescent="0.25">
      <c r="B169" s="18" t="s">
        <v>7</v>
      </c>
      <c r="C169" s="18" t="s">
        <v>122</v>
      </c>
      <c r="D169" s="39">
        <v>8.5500000000000007</v>
      </c>
      <c r="E169" s="135"/>
      <c r="F169" s="189"/>
      <c r="G169" s="135"/>
      <c r="H169" s="190"/>
      <c r="I169" s="128">
        <v>0</v>
      </c>
      <c r="J169" s="95">
        <v>9.82</v>
      </c>
      <c r="K169" s="126">
        <f t="shared" si="35"/>
        <v>-9.82</v>
      </c>
      <c r="L169" s="279">
        <v>10</v>
      </c>
      <c r="M169" s="281">
        <f t="shared" si="31"/>
        <v>1.1695906432748537</v>
      </c>
    </row>
    <row r="170" spans="1:13" ht="15.75" customHeight="1" x14ac:dyDescent="0.25">
      <c r="B170" s="12"/>
      <c r="C170" s="151" t="s">
        <v>115</v>
      </c>
      <c r="D170" s="163">
        <f>SUM(D167:D168)</f>
        <v>4.29</v>
      </c>
      <c r="E170" s="163">
        <f t="shared" ref="E170:J170" si="36">SUM(E167:E168)</f>
        <v>1.9312499999999999</v>
      </c>
      <c r="F170" s="163">
        <f t="shared" si="36"/>
        <v>3.09</v>
      </c>
      <c r="G170" s="163">
        <f t="shared" si="36"/>
        <v>3.8827602230483267</v>
      </c>
      <c r="H170" s="163">
        <f t="shared" si="36"/>
        <v>8.36</v>
      </c>
      <c r="I170" s="161">
        <f t="shared" si="36"/>
        <v>8.92</v>
      </c>
      <c r="J170" s="163">
        <f t="shared" si="36"/>
        <v>13.05</v>
      </c>
      <c r="K170" s="161">
        <f t="shared" si="35"/>
        <v>-4.1300000000000008</v>
      </c>
      <c r="L170" s="279">
        <f t="shared" ref="L170" si="37">SUM(L167:L168)</f>
        <v>11</v>
      </c>
      <c r="M170" s="281">
        <f t="shared" si="31"/>
        <v>2.5641025641025639</v>
      </c>
    </row>
    <row r="171" spans="1:13" ht="15.75" customHeight="1" x14ac:dyDescent="0.25">
      <c r="B171" s="12"/>
      <c r="C171" s="71" t="s">
        <v>116</v>
      </c>
      <c r="D171" s="158">
        <v>0</v>
      </c>
      <c r="E171" s="158"/>
      <c r="F171" s="213"/>
      <c r="G171" s="158"/>
      <c r="H171" s="213"/>
      <c r="I171" s="165">
        <v>0</v>
      </c>
      <c r="J171" s="149">
        <v>0</v>
      </c>
      <c r="K171" s="171">
        <f t="shared" si="35"/>
        <v>0</v>
      </c>
      <c r="L171" s="279">
        <v>0</v>
      </c>
      <c r="M171" s="281">
        <v>0</v>
      </c>
    </row>
    <row r="172" spans="1:13" ht="15.75" customHeight="1" thickBot="1" x14ac:dyDescent="0.3">
      <c r="C172" s="156" t="s">
        <v>117</v>
      </c>
      <c r="D172" s="170">
        <v>8.5500000000000007</v>
      </c>
      <c r="E172" s="170"/>
      <c r="F172" s="170"/>
      <c r="G172" s="170"/>
      <c r="H172" s="170"/>
      <c r="I172" s="169">
        <v>0</v>
      </c>
      <c r="J172" s="170">
        <v>9.92</v>
      </c>
      <c r="K172" s="169">
        <f t="shared" si="35"/>
        <v>-9.92</v>
      </c>
      <c r="L172" s="279">
        <v>10</v>
      </c>
      <c r="M172" s="281">
        <f t="shared" si="31"/>
        <v>1.1695906432748537</v>
      </c>
    </row>
    <row r="173" spans="1:13" ht="15.75" customHeight="1" thickTop="1" x14ac:dyDescent="0.25">
      <c r="C173" s="79" t="s">
        <v>9</v>
      </c>
      <c r="D173" s="158">
        <f>SUM(D170,D172)</f>
        <v>12.84</v>
      </c>
      <c r="E173" s="158"/>
      <c r="F173" s="158"/>
      <c r="G173" s="158"/>
      <c r="H173" s="158"/>
      <c r="I173" s="171">
        <v>8.92</v>
      </c>
      <c r="J173" s="158">
        <f>SUM(J170,J172)</f>
        <v>22.97</v>
      </c>
      <c r="K173" s="171">
        <f t="shared" si="35"/>
        <v>-14.049999999999999</v>
      </c>
      <c r="L173" s="279">
        <f>SUM(L170,L172)</f>
        <v>21</v>
      </c>
      <c r="M173" s="281">
        <f t="shared" si="31"/>
        <v>1.6355140186915889</v>
      </c>
    </row>
    <row r="174" spans="1:13" s="15" customFormat="1" ht="15.75" customHeight="1" x14ac:dyDescent="0.25">
      <c r="A174" s="13"/>
      <c r="C174" s="81"/>
      <c r="D174" s="82"/>
      <c r="E174" s="83"/>
      <c r="F174" s="84"/>
      <c r="G174" s="83"/>
      <c r="H174" s="84"/>
      <c r="I174" s="116"/>
      <c r="J174" s="84"/>
      <c r="K174" s="118"/>
      <c r="L174" s="279"/>
      <c r="M174" s="281"/>
    </row>
    <row r="175" spans="1:13" ht="15.75" customHeight="1" x14ac:dyDescent="0.25">
      <c r="A175" s="43"/>
      <c r="B175" s="85"/>
      <c r="C175" s="86"/>
      <c r="D175" s="64"/>
      <c r="E175" s="65"/>
      <c r="F175" s="80"/>
      <c r="G175" s="65"/>
      <c r="H175" s="80"/>
      <c r="I175" s="115"/>
      <c r="J175" s="65"/>
      <c r="K175" s="111"/>
      <c r="M175" s="281"/>
    </row>
    <row r="176" spans="1:13" ht="15.75" customHeight="1" x14ac:dyDescent="0.25">
      <c r="C176" s="1"/>
      <c r="D176" s="1"/>
      <c r="E176" s="19"/>
      <c r="F176" s="19"/>
      <c r="G176" s="19"/>
      <c r="H176" s="19"/>
      <c r="I176" s="117"/>
      <c r="J176" s="64"/>
      <c r="K176" s="111"/>
      <c r="M176" s="281"/>
    </row>
    <row r="177" spans="1:13" ht="15.75" customHeight="1" x14ac:dyDescent="0.25">
      <c r="A177" s="20"/>
      <c r="B177" s="15"/>
      <c r="C177" s="59" t="s">
        <v>124</v>
      </c>
      <c r="D177" s="224">
        <f>SUM(D19:D20,D28:D29,D36:D37,D54:D55,D64:D65,D89:D90,D94,D105,D114:D115,D133,D162:D163,D59)</f>
        <v>146.39000000000001</v>
      </c>
      <c r="F177" s="21" t="e">
        <f>F170+F162+F133+F121+F114+F105+#REF!+F89+F75+F64+#REF!+#REF!+F54+F36+F19+F28</f>
        <v>#REF!</v>
      </c>
      <c r="G177" s="46" t="e">
        <f>F177/F$179</f>
        <v>#REF!</v>
      </c>
      <c r="H177" s="108" t="e">
        <f>H170+H162+H133+H121+H114+H105+#REF!+H89+H75+H64+#REF!+#REF!+H54+H36+H19+H28</f>
        <v>#REF!</v>
      </c>
      <c r="I177" s="187">
        <f>SUM(I19,I28:I29,I36:I37,I54:I55,I64:I65,I89:I90,I94,I105,I114:I115,I133,I162:I163,I59,I170)</f>
        <v>640.31999999999994</v>
      </c>
      <c r="J177" s="227">
        <f>SUM(J19:J20,J28:J29,J36:J37,J54:J55,J64:J65,J59,J89:J90,J94,J105,J114:J115,J133,J162:J163,J170)</f>
        <v>725.83999999999992</v>
      </c>
      <c r="K177" s="231">
        <f>SUM(K19:K20,K28:K29,K36:K37,K54:K55,K64:K65,K89:K90,K105,K114:K115,K94,K133,K162:K163,K170,K59)</f>
        <v>-85.519999999999953</v>
      </c>
      <c r="L177" s="280">
        <f>SUM(L19:L20,L28:L29,L36:L37,L54:L55,L64:L65,L59,L89:L90,L94,L105,L114:L115,L133,L162:L163,L170)</f>
        <v>618.66999999999996</v>
      </c>
      <c r="M177" s="281">
        <f t="shared" si="31"/>
        <v>4.2261766514106149</v>
      </c>
    </row>
    <row r="178" spans="1:13" ht="15.75" customHeight="1" x14ac:dyDescent="0.25">
      <c r="A178" s="22"/>
      <c r="C178" s="223" t="s">
        <v>123</v>
      </c>
      <c r="D178" s="225">
        <f>SUM(D21,D56,D66,D77,D96,D98,D107,D123,D135,D164,D172)</f>
        <v>131.41999999999999</v>
      </c>
      <c r="F178" s="14" t="e">
        <f>F171+F163+F134+F122+F115+F106+#REF!+F90+F76+F65+#REF!+#REF!+F55+F37+F20+F29</f>
        <v>#REF!</v>
      </c>
      <c r="G178" s="47" t="e">
        <f>F178/F$179</f>
        <v>#REF!</v>
      </c>
      <c r="H178" s="106" t="e">
        <f>H171+H163+H134+H122+H115+H106+#REF!+H90+H76+H65+#REF!+#REF!+H55+H37+H20+H29</f>
        <v>#REF!</v>
      </c>
      <c r="I178" s="165">
        <f>SUM(I21,I56,I66,I77,I123,I164)</f>
        <v>414.84</v>
      </c>
      <c r="J178" s="228">
        <f>SUM(J21,J30,J56,J66,J77,J96,J98,J107,J123,J135,J164,J172)</f>
        <v>575.18999999999983</v>
      </c>
      <c r="K178" s="232">
        <f>SUM(K21,K30,K56,K66,K77,K96,K98,K107,K123,K135,K164,K172)</f>
        <v>-160.35</v>
      </c>
      <c r="L178" s="280">
        <f>SUM(L21,L30,L56,L66,L77,L96,L98,L107,L123,L135,L164,L172)</f>
        <v>421.53</v>
      </c>
      <c r="M178" s="281">
        <f t="shared" si="31"/>
        <v>3.2075026632171664</v>
      </c>
    </row>
    <row r="179" spans="1:13" ht="15.75" customHeight="1" thickBot="1" x14ac:dyDescent="0.3">
      <c r="A179" s="23"/>
      <c r="B179" s="10"/>
      <c r="C179" s="60" t="s">
        <v>97</v>
      </c>
      <c r="D179" s="226">
        <f>SUM(D177,D178)</f>
        <v>277.81</v>
      </c>
      <c r="E179" s="10"/>
      <c r="F179" s="24" t="e">
        <f>F177+F178</f>
        <v>#REF!</v>
      </c>
      <c r="G179" s="48"/>
      <c r="H179" s="109" t="e">
        <f>H177+H178</f>
        <v>#REF!</v>
      </c>
      <c r="I179" s="188">
        <f>SUM(I177:I178)</f>
        <v>1055.1599999999999</v>
      </c>
      <c r="J179" s="229">
        <f>SUM(J177:J178)</f>
        <v>1301.0299999999997</v>
      </c>
      <c r="K179" s="233">
        <f>I179-J179</f>
        <v>-245.86999999999989</v>
      </c>
      <c r="L179" s="279">
        <f>SUM(L177:L178)</f>
        <v>1040.1999999999998</v>
      </c>
      <c r="M179" s="281">
        <f t="shared" si="31"/>
        <v>3.7442856628631072</v>
      </c>
    </row>
    <row r="180" spans="1:13" ht="15.75" customHeight="1" thickTop="1" x14ac:dyDescent="0.25">
      <c r="K180" s="111"/>
    </row>
    <row r="181" spans="1:13" ht="15.75" customHeight="1" x14ac:dyDescent="0.25">
      <c r="A181" s="20"/>
      <c r="B181" s="15"/>
      <c r="C181" s="59" t="s">
        <v>26</v>
      </c>
      <c r="D181" s="45"/>
      <c r="E181" s="15"/>
      <c r="F181" s="51"/>
      <c r="G181" s="52"/>
      <c r="H181" s="53"/>
      <c r="I181" s="100"/>
      <c r="J181" s="120"/>
      <c r="K181" s="102"/>
    </row>
    <row r="182" spans="1:13" ht="15.75" customHeight="1" thickBot="1" x14ac:dyDescent="0.3">
      <c r="A182" s="43"/>
      <c r="B182" s="8"/>
      <c r="C182" s="58" t="s">
        <v>35</v>
      </c>
      <c r="D182" s="63"/>
      <c r="E182" s="8"/>
      <c r="F182" s="54"/>
      <c r="G182" s="50"/>
      <c r="H182" s="49"/>
      <c r="I182" s="101"/>
      <c r="J182" s="121"/>
      <c r="K182" s="98"/>
    </row>
    <row r="183" spans="1:13" ht="15.75" customHeight="1" thickTop="1" x14ac:dyDescent="0.25"/>
    <row r="184" spans="1:13" ht="15.75" customHeight="1" x14ac:dyDescent="0.25">
      <c r="F184" s="11"/>
    </row>
    <row r="185" spans="1:13" ht="15.75" customHeight="1" x14ac:dyDescent="0.25">
      <c r="A185" s="71" t="s">
        <v>94</v>
      </c>
    </row>
    <row r="186" spans="1:13" ht="15.75" customHeight="1" x14ac:dyDescent="0.25">
      <c r="A186" s="71" t="s">
        <v>95</v>
      </c>
    </row>
    <row r="187" spans="1:13" ht="15.75" customHeight="1" x14ac:dyDescent="0.25">
      <c r="A187" s="71" t="s">
        <v>96</v>
      </c>
    </row>
    <row r="189" spans="1:13" ht="15.75" customHeight="1" x14ac:dyDescent="0.25">
      <c r="A189" s="55"/>
    </row>
    <row r="190" spans="1:13" ht="15.75" customHeight="1" x14ac:dyDescent="0.25">
      <c r="A190" s="56"/>
    </row>
    <row r="191" spans="1:13" ht="15.75" customHeight="1" x14ac:dyDescent="0.25">
      <c r="A191" s="57"/>
    </row>
  </sheetData>
  <customSheetViews>
    <customSheetView guid="{F76F088D-E257-4637-81FB-2D037F8BCE3A}" hiddenColumns="1">
      <pane xSplit="11" ySplit="2" topLeftCell="L102" activePane="bottomRight" state="frozen"/>
      <selection pane="bottomRight" activeCell="M148" sqref="M148"/>
      <rowBreaks count="2" manualBreakCount="2">
        <brk id="59" max="16383" man="1"/>
        <brk id="106" max="16383" man="1"/>
      </rowBreaks>
      <colBreaks count="1" manualBreakCount="1">
        <brk id="13" max="1048575" man="1"/>
      </colBreaks>
      <pageMargins left="0.70866141732283472" right="0.70866141732283472" top="0.74803149606299213" bottom="0.74803149606299213" header="0.31496062992125984" footer="0.31496062992125984"/>
      <pageSetup scale="65" orientation="portrait" r:id="rId1"/>
    </customSheetView>
  </customSheetViews>
  <mergeCells count="12">
    <mergeCell ref="AK3:AL3"/>
    <mergeCell ref="Y3:Z3"/>
    <mergeCell ref="AA3:AB3"/>
    <mergeCell ref="AC3:AD3"/>
    <mergeCell ref="AE3:AF3"/>
    <mergeCell ref="AG3:AH3"/>
    <mergeCell ref="AI3:AJ3"/>
    <mergeCell ref="W3:X3"/>
    <mergeCell ref="E1:F1"/>
    <mergeCell ref="G1:H1"/>
    <mergeCell ref="B2:C2"/>
    <mergeCell ref="U3:V3"/>
  </mergeCells>
  <pageMargins left="0.70866141732283472" right="0.70866141732283472" top="0.74803149606299213" bottom="0.74803149606299213" header="0.31496062992125984" footer="0.31496062992125984"/>
  <pageSetup scale="65" orientation="portrait" r:id="rId2"/>
  <rowBreaks count="2" manualBreakCount="2">
    <brk id="59" max="16383" man="1"/>
    <brk id="106" max="16383" man="1"/>
  </rowBreaks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3"/>
  <sheetViews>
    <sheetView workbookViewId="0">
      <pane xSplit="4" ySplit="3" topLeftCell="E9" activePane="bottomRight" state="frozen"/>
      <selection pane="topRight" activeCell="E1" sqref="E1"/>
      <selection pane="bottomLeft" activeCell="A4" sqref="A4"/>
      <selection pane="bottomRight" activeCell="Q22" sqref="Q22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27.7109375" bestFit="1" customWidth="1"/>
    <col min="4" max="4" width="16.28515625" customWidth="1"/>
    <col min="6" max="6" width="20.42578125" hidden="1" customWidth="1"/>
    <col min="7" max="7" width="17.140625" hidden="1" customWidth="1"/>
    <col min="8" max="8" width="27.85546875" bestFit="1" customWidth="1"/>
    <col min="9" max="9" width="24.85546875" hidden="1" customWidth="1"/>
    <col min="10" max="10" width="25" bestFit="1" customWidth="1"/>
    <col min="11" max="11" width="10.5703125" style="732" bestFit="1" customWidth="1"/>
    <col min="12" max="12" width="23.42578125" bestFit="1" customWidth="1"/>
  </cols>
  <sheetData>
    <row r="1" spans="1:12" ht="19.5" thickBot="1" x14ac:dyDescent="0.35">
      <c r="A1" s="688"/>
      <c r="B1" s="689"/>
      <c r="C1" s="689"/>
      <c r="D1" s="689"/>
      <c r="E1" s="690"/>
      <c r="F1" s="623">
        <v>2017</v>
      </c>
      <c r="G1" s="624"/>
      <c r="H1" s="623">
        <v>2018</v>
      </c>
      <c r="I1" s="654"/>
      <c r="J1" s="655">
        <v>2018</v>
      </c>
      <c r="K1" s="727"/>
      <c r="L1" s="655">
        <v>2018</v>
      </c>
    </row>
    <row r="2" spans="1:12" ht="18.75" x14ac:dyDescent="0.3">
      <c r="A2" s="593" t="s">
        <v>0</v>
      </c>
      <c r="B2" s="766" t="s">
        <v>1</v>
      </c>
      <c r="C2" s="766"/>
      <c r="D2" s="702" t="s">
        <v>230</v>
      </c>
      <c r="E2" s="702" t="s">
        <v>82</v>
      </c>
      <c r="F2" s="626" t="s">
        <v>339</v>
      </c>
      <c r="G2" s="702" t="s">
        <v>338</v>
      </c>
      <c r="H2" s="626" t="s">
        <v>227</v>
      </c>
      <c r="I2" s="667" t="s">
        <v>343</v>
      </c>
      <c r="J2" s="594" t="s">
        <v>352</v>
      </c>
      <c r="K2" s="728" t="s">
        <v>353</v>
      </c>
      <c r="L2" s="740" t="s">
        <v>355</v>
      </c>
    </row>
    <row r="3" spans="1:12" x14ac:dyDescent="0.25">
      <c r="A3" s="669" t="s">
        <v>2</v>
      </c>
      <c r="B3" s="4"/>
      <c r="C3" s="4"/>
      <c r="D3" s="4"/>
      <c r="E3" s="601"/>
      <c r="F3" s="588"/>
      <c r="G3" s="551"/>
      <c r="H3" s="656"/>
      <c r="I3" s="471"/>
      <c r="J3" s="467"/>
      <c r="K3" s="729"/>
      <c r="L3" s="648"/>
    </row>
    <row r="4" spans="1:12" x14ac:dyDescent="0.25">
      <c r="A4" s="671"/>
      <c r="B4" s="35" t="s">
        <v>7</v>
      </c>
      <c r="C4" s="72" t="s">
        <v>110</v>
      </c>
      <c r="D4" s="9" t="s">
        <v>289</v>
      </c>
      <c r="E4" s="579">
        <v>2</v>
      </c>
      <c r="F4" s="584">
        <v>12.964</v>
      </c>
      <c r="G4" s="575">
        <f>F4*1.10231</f>
        <v>14.29034684</v>
      </c>
      <c r="H4" s="657">
        <v>13</v>
      </c>
      <c r="I4" s="471"/>
      <c r="J4" s="703">
        <v>12.25</v>
      </c>
      <c r="K4" s="729">
        <f t="shared" ref="K4:K22" si="0">J4/H4</f>
        <v>0.94230769230769229</v>
      </c>
      <c r="L4" s="741">
        <f t="shared" ref="L4:L23" si="1">J4*1.10231</f>
        <v>13.503297499999999</v>
      </c>
    </row>
    <row r="5" spans="1:12" x14ac:dyDescent="0.25">
      <c r="A5" s="671"/>
      <c r="B5" s="35" t="s">
        <v>7</v>
      </c>
      <c r="C5" s="72" t="s">
        <v>111</v>
      </c>
      <c r="D5" s="9" t="s">
        <v>290</v>
      </c>
      <c r="E5" s="579">
        <v>1.5</v>
      </c>
      <c r="F5" s="584">
        <v>7.8579999999999997</v>
      </c>
      <c r="G5" s="575">
        <f>F5*1.10231</f>
        <v>8.6619519799999996</v>
      </c>
      <c r="H5" s="657">
        <v>8</v>
      </c>
      <c r="I5" s="471"/>
      <c r="J5" s="703">
        <v>6.9889999999999999</v>
      </c>
      <c r="K5" s="729">
        <f t="shared" si="0"/>
        <v>0.87362499999999998</v>
      </c>
      <c r="L5" s="741">
        <f t="shared" si="1"/>
        <v>7.7040445899999987</v>
      </c>
    </row>
    <row r="6" spans="1:12" ht="15.75" thickBot="1" x14ac:dyDescent="0.3">
      <c r="A6" s="671"/>
      <c r="B6" s="35" t="s">
        <v>7</v>
      </c>
      <c r="C6" s="130" t="s">
        <v>114</v>
      </c>
      <c r="D6" s="9" t="s">
        <v>314</v>
      </c>
      <c r="E6" s="604">
        <v>12</v>
      </c>
      <c r="F6" s="585">
        <v>43.735999999999997</v>
      </c>
      <c r="G6" s="578">
        <f>F6*1.10231</f>
        <v>48.210630159999994</v>
      </c>
      <c r="H6" s="659">
        <v>0</v>
      </c>
      <c r="I6" s="516"/>
      <c r="J6" s="578"/>
      <c r="K6" s="730"/>
      <c r="L6" s="742"/>
    </row>
    <row r="7" spans="1:12" ht="15.75" thickTop="1" x14ac:dyDescent="0.25">
      <c r="A7" s="672"/>
      <c r="B7" s="25"/>
      <c r="C7" s="473" t="s">
        <v>118</v>
      </c>
      <c r="D7" s="123"/>
      <c r="E7" s="605">
        <f>SUM(E4:E6)</f>
        <v>15.5</v>
      </c>
      <c r="F7" s="633">
        <f>SUM(F4:F6)</f>
        <v>64.557999999999993</v>
      </c>
      <c r="G7" s="592">
        <f>SUM(G4:G6)</f>
        <v>71.16292897999999</v>
      </c>
      <c r="H7" s="682">
        <f>SUM(H4:H6)</f>
        <v>21</v>
      </c>
      <c r="I7" s="546"/>
      <c r="J7" s="547">
        <f>SUM(J4:J6)</f>
        <v>19.239000000000001</v>
      </c>
      <c r="K7" s="714">
        <f>J7/H7</f>
        <v>0.91614285714285715</v>
      </c>
      <c r="L7" s="743">
        <f t="shared" si="1"/>
        <v>21.207342089999997</v>
      </c>
    </row>
    <row r="8" spans="1:12" x14ac:dyDescent="0.25">
      <c r="A8" s="670" t="s">
        <v>17</v>
      </c>
      <c r="B8" s="8"/>
      <c r="C8" s="1"/>
      <c r="D8" s="1"/>
      <c r="E8" s="1"/>
      <c r="F8" s="584"/>
      <c r="G8" s="574"/>
      <c r="H8" s="584"/>
      <c r="I8" s="471"/>
      <c r="J8" s="575"/>
      <c r="K8" s="729"/>
      <c r="L8" s="741"/>
    </row>
    <row r="9" spans="1:12" x14ac:dyDescent="0.25">
      <c r="A9" s="670"/>
      <c r="B9" s="18" t="s">
        <v>7</v>
      </c>
      <c r="C9" s="18" t="s">
        <v>41</v>
      </c>
      <c r="D9" s="9" t="s">
        <v>247</v>
      </c>
      <c r="E9" s="576">
        <v>2</v>
      </c>
      <c r="F9" s="584">
        <v>7.38</v>
      </c>
      <c r="G9" s="574">
        <f t="shared" ref="G9:G29" si="2">F9*1.10231</f>
        <v>8.1350477999999988</v>
      </c>
      <c r="H9" s="661">
        <v>0</v>
      </c>
      <c r="I9" s="471"/>
      <c r="J9" s="695"/>
      <c r="K9" s="729"/>
      <c r="L9" s="741"/>
    </row>
    <row r="10" spans="1:12" x14ac:dyDescent="0.25">
      <c r="A10" s="671"/>
      <c r="B10" s="18" t="s">
        <v>7</v>
      </c>
      <c r="C10" s="18" t="s">
        <v>42</v>
      </c>
      <c r="D10" s="9" t="s">
        <v>248</v>
      </c>
      <c r="E10" s="576">
        <v>2</v>
      </c>
      <c r="F10" s="584">
        <v>5.8739999999999997</v>
      </c>
      <c r="G10" s="574">
        <f t="shared" si="2"/>
        <v>6.4749689399999992</v>
      </c>
      <c r="H10" s="660">
        <v>12</v>
      </c>
      <c r="I10" s="471"/>
      <c r="J10" s="703">
        <v>10.877000000000001</v>
      </c>
      <c r="K10" s="729">
        <f t="shared" si="0"/>
        <v>0.90641666666666676</v>
      </c>
      <c r="L10" s="741">
        <f t="shared" si="1"/>
        <v>11.989825869999999</v>
      </c>
    </row>
    <row r="11" spans="1:12" x14ac:dyDescent="0.25">
      <c r="A11" s="671"/>
      <c r="B11" s="18" t="s">
        <v>7</v>
      </c>
      <c r="C11" s="18" t="s">
        <v>43</v>
      </c>
      <c r="D11" s="9" t="s">
        <v>249</v>
      </c>
      <c r="E11" s="576">
        <v>4</v>
      </c>
      <c r="F11" s="584">
        <v>22.763999999999999</v>
      </c>
      <c r="G11" s="574">
        <f t="shared" si="2"/>
        <v>25.092984839999996</v>
      </c>
      <c r="H11" s="660">
        <f>F11*0.9</f>
        <v>20.4876</v>
      </c>
      <c r="I11" s="471"/>
      <c r="J11" s="703">
        <v>21.260999999999999</v>
      </c>
      <c r="K11" s="729">
        <f t="shared" si="0"/>
        <v>1.0377496632109178</v>
      </c>
      <c r="L11" s="741">
        <f t="shared" si="1"/>
        <v>23.436212909999998</v>
      </c>
    </row>
    <row r="12" spans="1:12" ht="15.75" thickBot="1" x14ac:dyDescent="0.3">
      <c r="A12" s="671"/>
      <c r="B12" s="18" t="s">
        <v>7</v>
      </c>
      <c r="C12" s="18" t="s">
        <v>91</v>
      </c>
      <c r="D12" s="9" t="s">
        <v>263</v>
      </c>
      <c r="E12" s="581">
        <v>4.25</v>
      </c>
      <c r="F12" s="585">
        <v>15.669</v>
      </c>
      <c r="G12" s="596">
        <f t="shared" si="2"/>
        <v>17.27209539</v>
      </c>
      <c r="H12" s="717">
        <v>21.1</v>
      </c>
      <c r="I12" s="516"/>
      <c r="J12" s="716">
        <v>16.582999999999998</v>
      </c>
      <c r="K12" s="730">
        <f t="shared" si="0"/>
        <v>0.78592417061611364</v>
      </c>
      <c r="L12" s="742">
        <f t="shared" si="1"/>
        <v>18.279606729999998</v>
      </c>
    </row>
    <row r="13" spans="1:12" ht="15.75" thickTop="1" x14ac:dyDescent="0.25">
      <c r="A13" s="671"/>
      <c r="B13" s="8"/>
      <c r="C13" s="146" t="s">
        <v>9</v>
      </c>
      <c r="D13" s="9"/>
      <c r="E13" s="609">
        <f>SUM(E9:E12)</f>
        <v>12.25</v>
      </c>
      <c r="F13" s="587">
        <f>SUM(F9:F12)</f>
        <v>51.686999999999998</v>
      </c>
      <c r="G13" s="599">
        <f t="shared" si="2"/>
        <v>56.975096969999996</v>
      </c>
      <c r="H13" s="519">
        <f>SUM(H9:H12)</f>
        <v>53.587600000000002</v>
      </c>
      <c r="I13" s="519">
        <f>SUM(I9:I12)</f>
        <v>0</v>
      </c>
      <c r="J13" s="547">
        <f>SUM(J9:J12)</f>
        <v>48.720999999999997</v>
      </c>
      <c r="K13" s="714">
        <f>J13/H13</f>
        <v>0.90918421425852236</v>
      </c>
      <c r="L13" s="743">
        <f t="shared" si="1"/>
        <v>53.705645509999989</v>
      </c>
    </row>
    <row r="14" spans="1:12" x14ac:dyDescent="0.25">
      <c r="A14" s="669" t="s">
        <v>21</v>
      </c>
      <c r="B14" s="15"/>
      <c r="C14" s="3"/>
      <c r="D14" s="3"/>
      <c r="E14" s="3"/>
      <c r="F14" s="588"/>
      <c r="G14" s="577"/>
      <c r="H14" s="683"/>
      <c r="I14" s="471"/>
      <c r="J14" s="575"/>
      <c r="K14" s="729"/>
      <c r="L14" s="741"/>
    </row>
    <row r="15" spans="1:12" ht="15.75" thickBot="1" x14ac:dyDescent="0.3">
      <c r="A15" s="671"/>
      <c r="B15" s="18" t="s">
        <v>7</v>
      </c>
      <c r="C15" s="18" t="s">
        <v>92</v>
      </c>
      <c r="D15" s="9" t="s">
        <v>255</v>
      </c>
      <c r="E15" s="721">
        <v>9.1</v>
      </c>
      <c r="F15" s="722">
        <v>25.035</v>
      </c>
      <c r="G15" s="723">
        <f t="shared" si="2"/>
        <v>27.596330849999998</v>
      </c>
      <c r="H15" s="724">
        <f>F15*0.9</f>
        <v>22.531500000000001</v>
      </c>
      <c r="I15" s="725"/>
      <c r="J15" s="726">
        <v>3.8319999999999999</v>
      </c>
      <c r="K15" s="731">
        <f t="shared" si="0"/>
        <v>0.17007300889865298</v>
      </c>
      <c r="L15" s="744">
        <f t="shared" si="1"/>
        <v>4.2240519199999991</v>
      </c>
    </row>
    <row r="16" spans="1:12" ht="15.75" thickTop="1" x14ac:dyDescent="0.25">
      <c r="A16" s="669" t="s">
        <v>23</v>
      </c>
      <c r="B16" s="15"/>
      <c r="C16" s="15"/>
      <c r="D16" s="15"/>
      <c r="E16" s="580"/>
      <c r="F16" s="588"/>
      <c r="G16" s="577"/>
      <c r="H16" s="683"/>
      <c r="I16" s="471"/>
      <c r="J16" s="575"/>
      <c r="K16" s="729"/>
      <c r="L16" s="741"/>
    </row>
    <row r="17" spans="1:12" x14ac:dyDescent="0.25">
      <c r="A17" s="670"/>
      <c r="B17" s="155" t="s">
        <v>7</v>
      </c>
      <c r="C17" s="155" t="s">
        <v>349</v>
      </c>
      <c r="D17" s="9"/>
      <c r="E17" s="612"/>
      <c r="F17" s="584"/>
      <c r="G17" s="574"/>
      <c r="H17" s="658">
        <v>8</v>
      </c>
      <c r="I17" s="471"/>
      <c r="J17" s="703">
        <v>8.32</v>
      </c>
      <c r="K17" s="729">
        <f t="shared" si="0"/>
        <v>1.04</v>
      </c>
      <c r="L17" s="741">
        <f t="shared" si="1"/>
        <v>9.1712191999999995</v>
      </c>
    </row>
    <row r="18" spans="1:12" x14ac:dyDescent="0.25">
      <c r="A18" s="671"/>
      <c r="B18" s="18" t="s">
        <v>7</v>
      </c>
      <c r="C18" s="18" t="s">
        <v>42</v>
      </c>
      <c r="D18" s="9" t="s">
        <v>259</v>
      </c>
      <c r="E18" s="576">
        <v>6</v>
      </c>
      <c r="F18" s="584">
        <v>27.283999999999999</v>
      </c>
      <c r="G18" s="574">
        <f t="shared" si="2"/>
        <v>30.075426039999996</v>
      </c>
      <c r="H18" s="657">
        <v>30</v>
      </c>
      <c r="I18" s="471"/>
      <c r="J18" s="703">
        <v>17.132000000000001</v>
      </c>
      <c r="K18" s="729">
        <f t="shared" si="0"/>
        <v>0.57106666666666672</v>
      </c>
      <c r="L18" s="741">
        <f t="shared" si="1"/>
        <v>18.884774919999998</v>
      </c>
    </row>
    <row r="19" spans="1:12" x14ac:dyDescent="0.25">
      <c r="A19" s="671"/>
      <c r="B19" s="18" t="s">
        <v>7</v>
      </c>
      <c r="C19" s="18" t="s">
        <v>46</v>
      </c>
      <c r="D19" s="9" t="s">
        <v>260</v>
      </c>
      <c r="E19" s="576">
        <v>3.8</v>
      </c>
      <c r="F19" s="584">
        <v>17.901</v>
      </c>
      <c r="G19" s="574">
        <f t="shared" si="2"/>
        <v>19.732451309999998</v>
      </c>
      <c r="H19" s="657">
        <v>12</v>
      </c>
      <c r="I19" s="471"/>
      <c r="J19" s="703">
        <v>6.7480000000000002</v>
      </c>
      <c r="K19" s="729">
        <f t="shared" si="0"/>
        <v>0.56233333333333335</v>
      </c>
      <c r="L19" s="741">
        <f t="shared" si="1"/>
        <v>7.4383878799999996</v>
      </c>
    </row>
    <row r="20" spans="1:12" x14ac:dyDescent="0.25">
      <c r="A20" s="671"/>
      <c r="B20" s="18" t="s">
        <v>7</v>
      </c>
      <c r="C20" s="18" t="s">
        <v>47</v>
      </c>
      <c r="D20" s="9" t="s">
        <v>261</v>
      </c>
      <c r="E20" s="576">
        <v>2.5</v>
      </c>
      <c r="F20" s="584">
        <v>8.718</v>
      </c>
      <c r="G20" s="574">
        <f t="shared" si="2"/>
        <v>9.6099385799999997</v>
      </c>
      <c r="H20" s="657">
        <v>10.7</v>
      </c>
      <c r="I20" s="471"/>
      <c r="J20" s="703">
        <v>12.394</v>
      </c>
      <c r="K20" s="729">
        <f t="shared" si="0"/>
        <v>1.1583177570093459</v>
      </c>
      <c r="L20" s="741">
        <f t="shared" si="1"/>
        <v>13.662030139999999</v>
      </c>
    </row>
    <row r="21" spans="1:12" x14ac:dyDescent="0.25">
      <c r="A21" s="671"/>
      <c r="B21" s="18" t="s">
        <v>7</v>
      </c>
      <c r="C21" s="18" t="s">
        <v>91</v>
      </c>
      <c r="D21" s="9" t="s">
        <v>262</v>
      </c>
      <c r="E21" s="576">
        <v>1.75</v>
      </c>
      <c r="F21" s="584">
        <v>6.4349999999999996</v>
      </c>
      <c r="G21" s="574">
        <f t="shared" si="2"/>
        <v>7.0933648499999986</v>
      </c>
      <c r="H21" s="657">
        <v>3.3</v>
      </c>
      <c r="I21" s="471"/>
      <c r="J21" s="703">
        <v>3.4039999999999999</v>
      </c>
      <c r="K21" s="729">
        <f t="shared" si="0"/>
        <v>1.0315151515151515</v>
      </c>
      <c r="L21" s="741">
        <f t="shared" si="1"/>
        <v>3.7522632399999996</v>
      </c>
    </row>
    <row r="22" spans="1:12" ht="15.75" thickBot="1" x14ac:dyDescent="0.3">
      <c r="A22" s="671"/>
      <c r="B22" s="18" t="s">
        <v>7</v>
      </c>
      <c r="C22" s="18" t="s">
        <v>79</v>
      </c>
      <c r="D22" s="9" t="s">
        <v>264</v>
      </c>
      <c r="E22" s="581">
        <v>5</v>
      </c>
      <c r="F22" s="585">
        <v>20.155999999999999</v>
      </c>
      <c r="G22" s="596">
        <f t="shared" si="2"/>
        <v>22.218160359999995</v>
      </c>
      <c r="H22" s="715">
        <v>20</v>
      </c>
      <c r="I22" s="516"/>
      <c r="J22" s="716">
        <v>27.376000000000001</v>
      </c>
      <c r="K22" s="730">
        <f t="shared" si="0"/>
        <v>1.3688</v>
      </c>
      <c r="L22" s="742">
        <f t="shared" si="1"/>
        <v>30.17683856</v>
      </c>
    </row>
    <row r="23" spans="1:12" ht="15.75" thickTop="1" x14ac:dyDescent="0.25">
      <c r="A23" s="672"/>
      <c r="B23" s="25"/>
      <c r="C23" s="600" t="s">
        <v>118</v>
      </c>
      <c r="D23" s="123"/>
      <c r="E23" s="605">
        <f>SUM(E17:E22)</f>
        <v>19.05</v>
      </c>
      <c r="F23" s="586">
        <f>SUM(F17:F22)</f>
        <v>80.494</v>
      </c>
      <c r="G23" s="598">
        <f t="shared" si="2"/>
        <v>88.729341139999988</v>
      </c>
      <c r="H23" s="519">
        <f>SUM(H17:H22)</f>
        <v>84</v>
      </c>
      <c r="I23" s="519">
        <f>SUM(I17:I22)</f>
        <v>0</v>
      </c>
      <c r="J23" s="547">
        <f>SUM(J17:J22)</f>
        <v>75.374000000000009</v>
      </c>
      <c r="K23" s="714">
        <f>J23/H23</f>
        <v>0.89730952380952389</v>
      </c>
      <c r="L23" s="743">
        <f t="shared" si="1"/>
        <v>83.085513939999998</v>
      </c>
    </row>
    <row r="24" spans="1:12" x14ac:dyDescent="0.25">
      <c r="A24" s="671" t="s">
        <v>103</v>
      </c>
      <c r="B24" s="8"/>
      <c r="C24" s="79"/>
      <c r="D24" s="79"/>
      <c r="E24" s="64"/>
      <c r="F24" s="584"/>
      <c r="G24" s="574"/>
      <c r="H24" s="584"/>
      <c r="I24" s="471"/>
      <c r="J24" s="575"/>
      <c r="K24" s="729"/>
      <c r="L24" s="741"/>
    </row>
    <row r="25" spans="1:12" x14ac:dyDescent="0.25">
      <c r="A25" s="671"/>
      <c r="B25" s="8" t="s">
        <v>7</v>
      </c>
      <c r="C25" s="124" t="s">
        <v>350</v>
      </c>
      <c r="D25" s="9" t="s">
        <v>273</v>
      </c>
      <c r="E25" s="718">
        <v>1</v>
      </c>
      <c r="F25" s="719">
        <v>2.54</v>
      </c>
      <c r="G25" s="720">
        <f t="shared" si="2"/>
        <v>2.7998673999999997</v>
      </c>
      <c r="H25" s="663">
        <v>5</v>
      </c>
      <c r="I25" s="733"/>
      <c r="J25" s="734">
        <v>5.9729999999999999</v>
      </c>
      <c r="K25" s="735">
        <f t="shared" ref="K25:K39" si="3">J25/H25</f>
        <v>1.1945999999999999</v>
      </c>
      <c r="L25" s="743">
        <f t="shared" ref="L25:L40" si="4">J25*1.10231</f>
        <v>6.5840976299999996</v>
      </c>
    </row>
    <row r="26" spans="1:12" x14ac:dyDescent="0.25">
      <c r="A26" s="673" t="s">
        <v>159</v>
      </c>
      <c r="B26" s="245"/>
      <c r="C26" s="245"/>
      <c r="D26" s="245"/>
      <c r="E26" s="616"/>
      <c r="F26" s="588"/>
      <c r="G26" s="577"/>
      <c r="H26" s="736"/>
      <c r="I26" s="13"/>
      <c r="J26" s="28"/>
      <c r="K26" s="737"/>
      <c r="L26" s="745"/>
    </row>
    <row r="27" spans="1:12" x14ac:dyDescent="0.25">
      <c r="A27" s="671"/>
      <c r="B27" s="130" t="s">
        <v>160</v>
      </c>
      <c r="C27" s="130" t="s">
        <v>206</v>
      </c>
      <c r="D27" s="9" t="s">
        <v>276</v>
      </c>
      <c r="E27" s="618">
        <v>2</v>
      </c>
      <c r="F27" s="587">
        <v>8.0359999999999996</v>
      </c>
      <c r="G27" s="599">
        <f t="shared" si="2"/>
        <v>8.8581631599999984</v>
      </c>
      <c r="H27" s="663">
        <v>5</v>
      </c>
      <c r="I27" s="512"/>
      <c r="J27" s="547">
        <v>5.093</v>
      </c>
      <c r="K27" s="714">
        <f>J27/H27</f>
        <v>1.0185999999999999</v>
      </c>
      <c r="L27" s="743">
        <f t="shared" si="4"/>
        <v>5.6140648299999993</v>
      </c>
    </row>
    <row r="28" spans="1:12" x14ac:dyDescent="0.25">
      <c r="A28" s="673" t="s">
        <v>27</v>
      </c>
      <c r="B28" s="15"/>
      <c r="C28" s="3"/>
      <c r="D28" s="3"/>
      <c r="E28" s="3"/>
      <c r="F28" s="588"/>
      <c r="G28" s="577"/>
      <c r="H28" s="738"/>
      <c r="I28" s="43"/>
      <c r="J28" s="73"/>
      <c r="K28" s="739"/>
      <c r="L28" s="746"/>
    </row>
    <row r="29" spans="1:12" ht="15.75" thickBot="1" x14ac:dyDescent="0.3">
      <c r="A29" s="671"/>
      <c r="B29" s="124" t="s">
        <v>7</v>
      </c>
      <c r="C29" s="208" t="s">
        <v>206</v>
      </c>
      <c r="D29" s="9" t="s">
        <v>282</v>
      </c>
      <c r="E29" s="721">
        <v>2.78</v>
      </c>
      <c r="F29" s="722">
        <v>3.484</v>
      </c>
      <c r="G29" s="723">
        <f t="shared" si="2"/>
        <v>3.8404480399999996</v>
      </c>
      <c r="H29" s="724">
        <v>3</v>
      </c>
      <c r="I29" s="725"/>
      <c r="J29" s="726">
        <v>3.2349999999999999</v>
      </c>
      <c r="K29" s="731">
        <f t="shared" ref="K29" si="5">J29/H29</f>
        <v>1.0783333333333334</v>
      </c>
      <c r="L29" s="744">
        <f t="shared" si="4"/>
        <v>3.5659728499999996</v>
      </c>
    </row>
    <row r="30" spans="1:12" ht="15.75" thickTop="1" x14ac:dyDescent="0.25">
      <c r="A30" s="669" t="s">
        <v>62</v>
      </c>
      <c r="B30" s="15"/>
      <c r="C30" s="3"/>
      <c r="D30" s="3"/>
      <c r="E30" s="1"/>
      <c r="F30" s="584"/>
      <c r="G30" s="574"/>
      <c r="H30" s="584"/>
      <c r="I30" s="471"/>
      <c r="J30" s="575"/>
      <c r="K30" s="729"/>
      <c r="L30" s="741"/>
    </row>
    <row r="31" spans="1:12" x14ac:dyDescent="0.25">
      <c r="A31" s="671"/>
      <c r="B31" s="18" t="s">
        <v>7</v>
      </c>
      <c r="C31" s="18" t="s">
        <v>46</v>
      </c>
      <c r="D31" s="9" t="s">
        <v>287</v>
      </c>
      <c r="E31" s="576">
        <v>11.2</v>
      </c>
      <c r="F31" s="584">
        <v>59.654000000000003</v>
      </c>
      <c r="G31" s="574">
        <f t="shared" ref="G31:G40" si="6">F31*1.10231</f>
        <v>65.757200740000002</v>
      </c>
      <c r="H31" s="660">
        <v>64</v>
      </c>
      <c r="I31" s="471"/>
      <c r="J31" s="703">
        <f>40.135</f>
        <v>40.134999999999998</v>
      </c>
      <c r="K31" s="729">
        <f t="shared" si="3"/>
        <v>0.62710937499999997</v>
      </c>
      <c r="L31" s="741">
        <f t="shared" si="4"/>
        <v>44.241211849999992</v>
      </c>
    </row>
    <row r="32" spans="1:12" ht="15.75" thickBot="1" x14ac:dyDescent="0.3">
      <c r="A32" s="671"/>
      <c r="B32" s="18" t="s">
        <v>7</v>
      </c>
      <c r="C32" s="72" t="s">
        <v>99</v>
      </c>
      <c r="D32" s="9" t="s">
        <v>288</v>
      </c>
      <c r="E32" s="581">
        <v>6.5</v>
      </c>
      <c r="F32" s="585">
        <v>19.102</v>
      </c>
      <c r="G32" s="596">
        <f t="shared" si="6"/>
        <v>21.056325619999999</v>
      </c>
      <c r="H32" s="717">
        <v>25</v>
      </c>
      <c r="I32" s="516"/>
      <c r="J32" s="716">
        <v>13.4</v>
      </c>
      <c r="K32" s="730">
        <f t="shared" si="3"/>
        <v>0.53600000000000003</v>
      </c>
      <c r="L32" s="742">
        <f t="shared" si="4"/>
        <v>14.770954</v>
      </c>
    </row>
    <row r="33" spans="1:12" ht="15.75" thickTop="1" x14ac:dyDescent="0.25">
      <c r="A33" s="671"/>
      <c r="B33" s="8"/>
      <c r="C33" s="79" t="s">
        <v>118</v>
      </c>
      <c r="D33" s="9"/>
      <c r="E33" s="619">
        <f>SUM(E31:E32)</f>
        <v>17.7</v>
      </c>
      <c r="F33" s="587">
        <f>SUM(F31:F32)</f>
        <v>78.756</v>
      </c>
      <c r="G33" s="599">
        <f t="shared" si="6"/>
        <v>86.813526359999997</v>
      </c>
      <c r="H33" s="519">
        <f>SUM(H31:H32)</f>
        <v>89</v>
      </c>
      <c r="I33" s="519">
        <f t="shared" ref="I33" si="7">SUM(I31:I32)</f>
        <v>0</v>
      </c>
      <c r="J33" s="547">
        <f>SUM(J31:J32)</f>
        <v>53.534999999999997</v>
      </c>
      <c r="K33" s="714">
        <f>J33/H33</f>
        <v>0.60151685393258425</v>
      </c>
      <c r="L33" s="743">
        <f t="shared" si="4"/>
        <v>59.012165849999988</v>
      </c>
    </row>
    <row r="34" spans="1:12" x14ac:dyDescent="0.25">
      <c r="A34" s="673" t="s">
        <v>30</v>
      </c>
      <c r="B34" s="15"/>
      <c r="C34" s="3"/>
      <c r="D34" s="3"/>
      <c r="E34" s="3"/>
      <c r="F34" s="588"/>
      <c r="G34" s="577"/>
      <c r="H34" s="683"/>
      <c r="I34" s="471"/>
      <c r="J34" s="575"/>
      <c r="K34" s="729"/>
      <c r="L34" s="741"/>
    </row>
    <row r="35" spans="1:12" ht="15.75" thickBot="1" x14ac:dyDescent="0.3">
      <c r="A35" s="670"/>
      <c r="B35" s="9" t="s">
        <v>7</v>
      </c>
      <c r="C35" s="9" t="s">
        <v>206</v>
      </c>
      <c r="D35" s="9" t="s">
        <v>294</v>
      </c>
      <c r="E35" s="721">
        <v>3</v>
      </c>
      <c r="F35" s="722">
        <v>9.9540000000000006</v>
      </c>
      <c r="G35" s="723">
        <f t="shared" si="6"/>
        <v>10.972393739999999</v>
      </c>
      <c r="H35" s="724">
        <v>5</v>
      </c>
      <c r="I35" s="725"/>
      <c r="J35" s="726">
        <v>4.085</v>
      </c>
      <c r="K35" s="731">
        <f t="shared" si="3"/>
        <v>0.81699999999999995</v>
      </c>
      <c r="L35" s="744">
        <f t="shared" si="4"/>
        <v>4.5029363499999997</v>
      </c>
    </row>
    <row r="36" spans="1:12" ht="15.75" thickTop="1" x14ac:dyDescent="0.25">
      <c r="A36" s="669" t="s">
        <v>33</v>
      </c>
      <c r="B36" s="15"/>
      <c r="C36" s="15"/>
      <c r="D36" s="15"/>
      <c r="E36" s="580"/>
      <c r="F36" s="588"/>
      <c r="G36" s="577"/>
      <c r="H36" s="683"/>
      <c r="I36" s="471"/>
      <c r="J36" s="575"/>
      <c r="K36" s="729"/>
      <c r="L36" s="741"/>
    </row>
    <row r="37" spans="1:12" x14ac:dyDescent="0.25">
      <c r="A37" s="671"/>
      <c r="B37" s="18" t="s">
        <v>7</v>
      </c>
      <c r="C37" s="18" t="s">
        <v>46</v>
      </c>
      <c r="D37" s="9" t="s">
        <v>307</v>
      </c>
      <c r="E37" s="576">
        <v>5.0999999999999996</v>
      </c>
      <c r="F37" s="584">
        <v>26.939</v>
      </c>
      <c r="G37" s="574">
        <f t="shared" si="6"/>
        <v>29.695129089999998</v>
      </c>
      <c r="H37" s="657">
        <v>20</v>
      </c>
      <c r="I37" s="471"/>
      <c r="J37" s="703">
        <v>11.047000000000001</v>
      </c>
      <c r="K37" s="729">
        <f t="shared" si="3"/>
        <v>0.55235000000000001</v>
      </c>
      <c r="L37" s="741">
        <f t="shared" si="4"/>
        <v>12.177218569999999</v>
      </c>
    </row>
    <row r="38" spans="1:12" x14ac:dyDescent="0.25">
      <c r="A38" s="671"/>
      <c r="B38" s="18" t="s">
        <v>7</v>
      </c>
      <c r="C38" s="18" t="s">
        <v>42</v>
      </c>
      <c r="D38" s="9" t="s">
        <v>308</v>
      </c>
      <c r="E38" s="576">
        <v>4</v>
      </c>
      <c r="F38" s="584">
        <v>17.166</v>
      </c>
      <c r="G38" s="574">
        <f t="shared" si="6"/>
        <v>18.92225346</v>
      </c>
      <c r="H38" s="657">
        <v>20</v>
      </c>
      <c r="I38" s="471"/>
      <c r="J38" s="703">
        <v>14.403</v>
      </c>
      <c r="K38" s="729">
        <f t="shared" si="3"/>
        <v>0.72015000000000007</v>
      </c>
      <c r="L38" s="741">
        <f t="shared" si="4"/>
        <v>15.87657093</v>
      </c>
    </row>
    <row r="39" spans="1:12" ht="15.75" thickBot="1" x14ac:dyDescent="0.3">
      <c r="A39" s="671"/>
      <c r="B39" s="18" t="s">
        <v>7</v>
      </c>
      <c r="C39" s="18" t="s">
        <v>47</v>
      </c>
      <c r="D39" s="9" t="s">
        <v>309</v>
      </c>
      <c r="E39" s="581">
        <v>4.5</v>
      </c>
      <c r="F39" s="585">
        <v>24.36</v>
      </c>
      <c r="G39" s="596">
        <f t="shared" si="6"/>
        <v>26.852271599999998</v>
      </c>
      <c r="H39" s="715">
        <v>16.600000000000001</v>
      </c>
      <c r="I39" s="516"/>
      <c r="J39" s="716">
        <v>23.257000000000001</v>
      </c>
      <c r="K39" s="730">
        <f t="shared" si="3"/>
        <v>1.401024096385542</v>
      </c>
      <c r="L39" s="742">
        <f t="shared" si="4"/>
        <v>25.636423669999999</v>
      </c>
    </row>
    <row r="40" spans="1:12" ht="15.75" thickTop="1" x14ac:dyDescent="0.25">
      <c r="A40" s="672"/>
      <c r="B40" s="25"/>
      <c r="C40" s="591" t="s">
        <v>118</v>
      </c>
      <c r="D40" s="123"/>
      <c r="E40" s="605">
        <f>SUM(E37:E39)</f>
        <v>13.6</v>
      </c>
      <c r="F40" s="586">
        <f>SUM(F37:F39)</f>
        <v>68.465000000000003</v>
      </c>
      <c r="G40" s="598">
        <f t="shared" si="6"/>
        <v>75.469654149999997</v>
      </c>
      <c r="H40" s="519">
        <f>SUM(H37:H39)</f>
        <v>56.6</v>
      </c>
      <c r="I40" s="519">
        <f>SUM(I37:I39)</f>
        <v>0</v>
      </c>
      <c r="J40" s="547">
        <f>SUM(J37:J39)</f>
        <v>48.707000000000008</v>
      </c>
      <c r="K40" s="714">
        <f>J40/H40</f>
        <v>0.86054770318021212</v>
      </c>
      <c r="L40" s="743">
        <f t="shared" si="4"/>
        <v>53.690213170000007</v>
      </c>
    </row>
    <row r="41" spans="1:12" ht="15.75" thickBot="1" x14ac:dyDescent="0.3">
      <c r="A41" s="675"/>
      <c r="B41" s="471"/>
      <c r="C41" s="471"/>
      <c r="D41" s="471"/>
      <c r="E41" s="471"/>
      <c r="F41" s="471"/>
      <c r="G41" s="471"/>
      <c r="H41" s="471"/>
      <c r="I41" s="471"/>
      <c r="J41" s="471"/>
      <c r="K41" s="747"/>
      <c r="L41" s="648"/>
    </row>
    <row r="42" spans="1:12" x14ac:dyDescent="0.25">
      <c r="A42" s="748"/>
      <c r="B42" s="654"/>
      <c r="C42" s="654"/>
      <c r="D42" s="752" t="s">
        <v>342</v>
      </c>
      <c r="E42" s="756" t="s">
        <v>359</v>
      </c>
      <c r="F42" s="654"/>
      <c r="G42" s="654"/>
      <c r="H42" s="749">
        <f>SUM(H7,H13,H15,H23,H25,H27,H29,H33,H35,H40)</f>
        <v>344.71910000000003</v>
      </c>
      <c r="I42" s="749">
        <f t="shared" ref="I42" si="8">SUM(I7,I13,I15,I23,I25,I27,I29,I33,I35,I40)</f>
        <v>0</v>
      </c>
      <c r="J42" s="749">
        <f>SUM(J7,J13,J15,J23,J25,J27,J29,J33,J35,J40)</f>
        <v>267.79400000000004</v>
      </c>
      <c r="K42" s="750">
        <f>J42/H42</f>
        <v>0.7768470038358769</v>
      </c>
      <c r="L42" s="751"/>
    </row>
    <row r="43" spans="1:12" ht="15.75" thickBot="1" x14ac:dyDescent="0.3">
      <c r="A43" s="676"/>
      <c r="B43" s="664"/>
      <c r="C43" s="664"/>
      <c r="D43" s="664"/>
      <c r="E43" s="696" t="s">
        <v>360</v>
      </c>
      <c r="F43" s="664"/>
      <c r="G43" s="664"/>
      <c r="H43" s="755">
        <f>H42*1.10231</f>
        <v>379.987311121</v>
      </c>
      <c r="I43" s="755">
        <f t="shared" ref="I43:J43" si="9">I42*1.10231</f>
        <v>0</v>
      </c>
      <c r="J43" s="755">
        <f t="shared" si="9"/>
        <v>295.19200413999999</v>
      </c>
      <c r="K43" s="757">
        <f>J43/H43</f>
        <v>0.77684700383587679</v>
      </c>
      <c r="L43" s="755">
        <f>J42*1.10231</f>
        <v>295.19200413999999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4"/>
  <sheetViews>
    <sheetView workbookViewId="0">
      <pane ySplit="2" topLeftCell="A39" activePane="bottomLeft" state="frozen"/>
      <selection pane="bottomLeft" activeCell="F10" sqref="F10"/>
    </sheetView>
  </sheetViews>
  <sheetFormatPr defaultRowHeight="15" x14ac:dyDescent="0.25"/>
  <cols>
    <col min="2" max="2" width="16.5703125" customWidth="1"/>
    <col min="3" max="3" width="17.85546875" style="234" customWidth="1"/>
    <col min="4" max="4" width="8.85546875" style="268"/>
    <col min="5" max="5" width="8.85546875" style="237"/>
    <col min="6" max="6" width="8.85546875" style="260"/>
    <col min="7" max="7" width="15" style="235" customWidth="1"/>
  </cols>
  <sheetData>
    <row r="1" spans="1:7" ht="14.45" x14ac:dyDescent="0.3">
      <c r="A1" s="145" t="s">
        <v>105</v>
      </c>
      <c r="B1" s="94"/>
      <c r="C1" s="147"/>
      <c r="D1" s="261"/>
      <c r="E1" s="241">
        <v>2013</v>
      </c>
      <c r="F1" s="269">
        <v>2013</v>
      </c>
      <c r="G1" s="270">
        <v>2014</v>
      </c>
    </row>
    <row r="2" spans="1:7" s="255" customFormat="1" ht="14.45" x14ac:dyDescent="0.3">
      <c r="A2" s="253" t="s">
        <v>0</v>
      </c>
      <c r="B2" s="763" t="s">
        <v>1</v>
      </c>
      <c r="C2" s="763"/>
      <c r="D2" s="262" t="s">
        <v>82</v>
      </c>
      <c r="E2" s="254" t="s">
        <v>106</v>
      </c>
      <c r="F2" s="271" t="s">
        <v>107</v>
      </c>
      <c r="G2" s="272" t="s">
        <v>107</v>
      </c>
    </row>
    <row r="3" spans="1:7" ht="14.45" x14ac:dyDescent="0.3">
      <c r="A3" s="184" t="s">
        <v>2</v>
      </c>
      <c r="B3" s="18"/>
      <c r="C3" s="136"/>
      <c r="D3" s="259"/>
      <c r="E3" s="243"/>
      <c r="F3" s="165"/>
      <c r="G3" s="177"/>
    </row>
    <row r="4" spans="1:7" ht="14.45" x14ac:dyDescent="0.3">
      <c r="A4" s="184"/>
      <c r="B4" s="18" t="s">
        <v>3</v>
      </c>
      <c r="C4" s="136" t="s">
        <v>10</v>
      </c>
      <c r="D4" s="274">
        <v>0.75</v>
      </c>
      <c r="E4" s="239">
        <v>1.57</v>
      </c>
      <c r="F4" s="259">
        <f>$E4/$D4</f>
        <v>2.0933333333333333</v>
      </c>
      <c r="G4" s="249">
        <v>5.26</v>
      </c>
    </row>
    <row r="5" spans="1:7" ht="14.45" x14ac:dyDescent="0.3">
      <c r="A5" s="184"/>
      <c r="B5" s="18" t="s">
        <v>3</v>
      </c>
      <c r="C5" s="136" t="s">
        <v>11</v>
      </c>
      <c r="D5" s="274">
        <v>1.4</v>
      </c>
      <c r="E5" s="239">
        <v>8</v>
      </c>
      <c r="F5" s="259">
        <f t="shared" ref="F5:F18" si="0">$E5/$D5</f>
        <v>5.7142857142857144</v>
      </c>
      <c r="G5" s="249">
        <v>2.62</v>
      </c>
    </row>
    <row r="6" spans="1:7" ht="14.45" x14ac:dyDescent="0.3">
      <c r="A6" s="145"/>
      <c r="B6" s="18" t="s">
        <v>3</v>
      </c>
      <c r="C6" s="136" t="s">
        <v>12</v>
      </c>
      <c r="D6" s="274">
        <v>0.72</v>
      </c>
      <c r="E6" s="239">
        <v>4.84</v>
      </c>
      <c r="F6" s="259">
        <f t="shared" si="0"/>
        <v>6.7222222222222223</v>
      </c>
      <c r="G6" s="249">
        <v>18.32</v>
      </c>
    </row>
    <row r="7" spans="1:7" ht="14.45" x14ac:dyDescent="0.3">
      <c r="A7" s="145"/>
      <c r="B7" s="18" t="s">
        <v>3</v>
      </c>
      <c r="C7" s="136" t="s">
        <v>14</v>
      </c>
      <c r="D7" s="274">
        <v>2.39</v>
      </c>
      <c r="E7" s="239">
        <v>15.51</v>
      </c>
      <c r="F7" s="259">
        <f t="shared" si="0"/>
        <v>6.4895397489539741</v>
      </c>
      <c r="G7" s="249">
        <v>6.68</v>
      </c>
    </row>
    <row r="8" spans="1:7" ht="14.45" x14ac:dyDescent="0.3">
      <c r="A8" s="145"/>
      <c r="B8" s="18" t="s">
        <v>3</v>
      </c>
      <c r="C8" s="136" t="s">
        <v>16</v>
      </c>
      <c r="D8" s="274">
        <v>2.35</v>
      </c>
      <c r="E8" s="239">
        <v>13.53</v>
      </c>
      <c r="F8" s="259">
        <f t="shared" si="0"/>
        <v>5.7574468085106378</v>
      </c>
      <c r="G8" s="249">
        <v>5.98</v>
      </c>
    </row>
    <row r="9" spans="1:7" ht="14.45" x14ac:dyDescent="0.3">
      <c r="A9" s="145"/>
      <c r="B9" s="18" t="s">
        <v>3</v>
      </c>
      <c r="C9" s="136" t="s">
        <v>18</v>
      </c>
      <c r="D9" s="274">
        <v>1.8</v>
      </c>
      <c r="E9" s="239">
        <v>11.45</v>
      </c>
      <c r="F9" s="259">
        <f t="shared" si="0"/>
        <v>6.3611111111111107</v>
      </c>
      <c r="G9" s="249">
        <v>6.73</v>
      </c>
    </row>
    <row r="10" spans="1:7" ht="14.45" x14ac:dyDescent="0.3">
      <c r="A10" s="145"/>
      <c r="B10" s="18" t="s">
        <v>3</v>
      </c>
      <c r="C10" s="136" t="s">
        <v>20</v>
      </c>
      <c r="D10" s="274">
        <v>1.92</v>
      </c>
      <c r="E10" s="239">
        <v>10.74</v>
      </c>
      <c r="F10" s="259">
        <f t="shared" si="0"/>
        <v>5.59375</v>
      </c>
      <c r="G10" s="249">
        <v>4.76</v>
      </c>
    </row>
    <row r="11" spans="1:7" ht="14.45" x14ac:dyDescent="0.3">
      <c r="A11" s="145"/>
      <c r="B11" s="18" t="s">
        <v>3</v>
      </c>
      <c r="C11" s="136" t="s">
        <v>22</v>
      </c>
      <c r="D11" s="274">
        <v>1.43</v>
      </c>
      <c r="E11" s="239">
        <v>9.11</v>
      </c>
      <c r="F11" s="259">
        <f t="shared" si="0"/>
        <v>6.3706293706293708</v>
      </c>
      <c r="G11" s="249">
        <v>6.85</v>
      </c>
    </row>
    <row r="12" spans="1:7" ht="14.45" x14ac:dyDescent="0.3">
      <c r="A12" s="145"/>
      <c r="B12" s="18" t="s">
        <v>3</v>
      </c>
      <c r="C12" s="136" t="s">
        <v>24</v>
      </c>
      <c r="D12" s="274">
        <v>1.03</v>
      </c>
      <c r="E12" s="239">
        <v>5</v>
      </c>
      <c r="F12" s="259">
        <f t="shared" si="0"/>
        <v>4.8543689320388346</v>
      </c>
      <c r="G12" s="249">
        <v>3.8</v>
      </c>
    </row>
    <row r="13" spans="1:7" ht="14.45" x14ac:dyDescent="0.3">
      <c r="A13" s="145"/>
      <c r="B13" s="136" t="s">
        <v>84</v>
      </c>
      <c r="C13" s="136" t="s">
        <v>85</v>
      </c>
      <c r="D13" s="274">
        <v>0.85</v>
      </c>
      <c r="E13" s="238">
        <v>0</v>
      </c>
      <c r="F13" s="259">
        <f t="shared" si="0"/>
        <v>0</v>
      </c>
      <c r="G13" s="249">
        <v>2.39</v>
      </c>
    </row>
    <row r="14" spans="1:7" ht="14.45" x14ac:dyDescent="0.3">
      <c r="A14" s="145"/>
      <c r="B14" s="136" t="s">
        <v>7</v>
      </c>
      <c r="C14" s="136" t="s">
        <v>99</v>
      </c>
      <c r="D14" s="111">
        <v>2</v>
      </c>
      <c r="E14" s="238">
        <v>0</v>
      </c>
      <c r="F14" s="259">
        <f t="shared" si="0"/>
        <v>0</v>
      </c>
      <c r="G14" s="249">
        <v>5.3</v>
      </c>
    </row>
    <row r="15" spans="1:7" ht="14.45" x14ac:dyDescent="0.3">
      <c r="A15" s="145"/>
      <c r="B15" s="136" t="s">
        <v>7</v>
      </c>
      <c r="C15" s="136" t="s">
        <v>98</v>
      </c>
      <c r="D15" s="111">
        <v>1.5</v>
      </c>
      <c r="E15" s="238">
        <v>0</v>
      </c>
      <c r="F15" s="259">
        <f t="shared" si="0"/>
        <v>0</v>
      </c>
      <c r="G15" s="249">
        <v>5</v>
      </c>
    </row>
    <row r="16" spans="1:7" ht="14.45" x14ac:dyDescent="0.3">
      <c r="A16" s="145"/>
      <c r="B16" s="136" t="s">
        <v>7</v>
      </c>
      <c r="C16" s="136" t="s">
        <v>100</v>
      </c>
      <c r="D16" s="111">
        <v>6.5</v>
      </c>
      <c r="E16" s="238">
        <v>0</v>
      </c>
      <c r="F16" s="259">
        <f t="shared" si="0"/>
        <v>0</v>
      </c>
      <c r="G16" s="249">
        <v>4.18</v>
      </c>
    </row>
    <row r="17" spans="1:7" ht="14.45" x14ac:dyDescent="0.3">
      <c r="A17" s="145"/>
      <c r="B17" s="136" t="s">
        <v>7</v>
      </c>
      <c r="C17" s="147" t="s">
        <v>87</v>
      </c>
      <c r="D17" s="111">
        <v>10.5</v>
      </c>
      <c r="E17" s="236">
        <v>0</v>
      </c>
      <c r="F17" s="259">
        <f t="shared" si="0"/>
        <v>0</v>
      </c>
      <c r="G17" s="249">
        <v>5.37</v>
      </c>
    </row>
    <row r="18" spans="1:7" s="70" customFormat="1" ht="14.45" x14ac:dyDescent="0.3">
      <c r="A18" s="145"/>
      <c r="B18" s="143" t="s">
        <v>7</v>
      </c>
      <c r="C18" s="138" t="s">
        <v>114</v>
      </c>
      <c r="D18" s="111">
        <v>19.21</v>
      </c>
      <c r="E18" s="236">
        <v>101.3</v>
      </c>
      <c r="F18" s="259">
        <f t="shared" si="0"/>
        <v>5.2732951587714725</v>
      </c>
      <c r="G18" s="249">
        <v>0</v>
      </c>
    </row>
    <row r="19" spans="1:7" s="256" customFormat="1" ht="14.45" x14ac:dyDescent="0.3">
      <c r="A19" s="242" t="s">
        <v>13</v>
      </c>
      <c r="B19" s="245"/>
      <c r="C19" s="246"/>
      <c r="D19" s="265"/>
      <c r="E19" s="248"/>
      <c r="F19" s="187"/>
      <c r="G19" s="257"/>
    </row>
    <row r="20" spans="1:7" ht="14.45" x14ac:dyDescent="0.3">
      <c r="A20" s="145"/>
      <c r="B20" s="18" t="s">
        <v>3</v>
      </c>
      <c r="C20" s="136" t="s">
        <v>29</v>
      </c>
      <c r="D20" s="126">
        <v>4.32</v>
      </c>
      <c r="E20" s="239">
        <v>23.12</v>
      </c>
      <c r="F20" s="259">
        <f>E20/D20</f>
        <v>5.3518518518518521</v>
      </c>
      <c r="G20" s="249">
        <v>11.83</v>
      </c>
    </row>
    <row r="21" spans="1:7" ht="14.45" x14ac:dyDescent="0.3">
      <c r="A21" s="145"/>
      <c r="B21" s="18" t="s">
        <v>3</v>
      </c>
      <c r="C21" s="136" t="s">
        <v>31</v>
      </c>
      <c r="D21" s="126">
        <v>1.92</v>
      </c>
      <c r="E21" s="239">
        <v>8.64</v>
      </c>
      <c r="F21" s="259">
        <f t="shared" ref="F21:F23" si="1">E21/D21</f>
        <v>4.5000000000000009</v>
      </c>
      <c r="G21" s="249">
        <v>8.94</v>
      </c>
    </row>
    <row r="22" spans="1:7" ht="14.45" x14ac:dyDescent="0.3">
      <c r="A22" s="145"/>
      <c r="B22" s="18" t="s">
        <v>86</v>
      </c>
      <c r="C22" s="136" t="s">
        <v>32</v>
      </c>
      <c r="D22" s="126">
        <v>3.29</v>
      </c>
      <c r="E22" s="239">
        <v>22.68</v>
      </c>
      <c r="F22" s="259">
        <f t="shared" si="1"/>
        <v>6.8936170212765955</v>
      </c>
      <c r="G22" s="249">
        <v>11.57</v>
      </c>
    </row>
    <row r="23" spans="1:7" ht="14.45" x14ac:dyDescent="0.3">
      <c r="A23" s="145"/>
      <c r="B23" s="18" t="s">
        <v>84</v>
      </c>
      <c r="C23" s="136" t="s">
        <v>88</v>
      </c>
      <c r="D23" s="126">
        <v>4.63</v>
      </c>
      <c r="E23" s="273">
        <v>0</v>
      </c>
      <c r="F23" s="259">
        <f t="shared" si="1"/>
        <v>0</v>
      </c>
      <c r="G23" s="249">
        <v>2.98</v>
      </c>
    </row>
    <row r="24" spans="1:7" s="256" customFormat="1" ht="14.45" x14ac:dyDescent="0.3">
      <c r="A24" s="242" t="s">
        <v>15</v>
      </c>
      <c r="B24" s="245"/>
      <c r="C24" s="247"/>
      <c r="D24" s="265"/>
      <c r="E24" s="248"/>
      <c r="F24" s="187"/>
      <c r="G24" s="257"/>
    </row>
    <row r="25" spans="1:7" ht="14.45" x14ac:dyDescent="0.3">
      <c r="A25" s="145"/>
      <c r="B25" s="18" t="s">
        <v>3</v>
      </c>
      <c r="C25" s="136" t="s">
        <v>36</v>
      </c>
      <c r="D25" s="140">
        <v>4.04</v>
      </c>
      <c r="E25" s="249">
        <v>23.62</v>
      </c>
      <c r="F25" s="259">
        <f>E25/D25</f>
        <v>5.8465346534653468</v>
      </c>
      <c r="G25" s="249">
        <v>5.01</v>
      </c>
    </row>
    <row r="26" spans="1:7" ht="14.45" x14ac:dyDescent="0.3">
      <c r="A26" s="145"/>
      <c r="B26" s="18" t="s">
        <v>86</v>
      </c>
      <c r="C26" s="136" t="s">
        <v>37</v>
      </c>
      <c r="D26" s="140">
        <v>5.04</v>
      </c>
      <c r="E26" s="249">
        <v>27.94</v>
      </c>
      <c r="F26" s="259">
        <f t="shared" ref="F26:F27" si="2">E26/D26</f>
        <v>5.5436507936507935</v>
      </c>
      <c r="G26" s="249">
        <v>5.94</v>
      </c>
    </row>
    <row r="27" spans="1:7" ht="14.45" x14ac:dyDescent="0.3">
      <c r="A27" s="145"/>
      <c r="B27" s="18" t="s">
        <v>6</v>
      </c>
      <c r="C27" s="136" t="s">
        <v>38</v>
      </c>
      <c r="D27" s="140">
        <v>1.65</v>
      </c>
      <c r="E27" s="249">
        <v>14.07</v>
      </c>
      <c r="F27" s="259">
        <f t="shared" si="2"/>
        <v>8.5272727272727273</v>
      </c>
      <c r="G27" s="249">
        <v>7.32</v>
      </c>
    </row>
    <row r="28" spans="1:7" s="256" customFormat="1" ht="14.45" x14ac:dyDescent="0.3">
      <c r="A28" s="242" t="s">
        <v>17</v>
      </c>
      <c r="B28" s="245"/>
      <c r="C28" s="247"/>
      <c r="D28" s="275"/>
      <c r="E28" s="248"/>
      <c r="F28" s="187"/>
      <c r="G28" s="257"/>
    </row>
    <row r="29" spans="1:7" ht="14.45" x14ac:dyDescent="0.3">
      <c r="A29" s="145"/>
      <c r="B29" s="18" t="s">
        <v>3</v>
      </c>
      <c r="C29" s="136" t="s">
        <v>39</v>
      </c>
      <c r="D29" s="274">
        <v>1.89</v>
      </c>
      <c r="E29" s="239">
        <v>8.3699999999999992</v>
      </c>
      <c r="F29" s="259">
        <f>E29/D29</f>
        <v>4.4285714285714288</v>
      </c>
      <c r="G29" s="249">
        <v>4.8600000000000003</v>
      </c>
    </row>
    <row r="30" spans="1:7" ht="14.45" x14ac:dyDescent="0.3">
      <c r="A30" s="145"/>
      <c r="B30" s="18" t="s">
        <v>86</v>
      </c>
      <c r="C30" s="136" t="s">
        <v>31</v>
      </c>
      <c r="D30" s="274">
        <v>0.57999999999999996</v>
      </c>
      <c r="E30" s="239">
        <v>3.04</v>
      </c>
      <c r="F30" s="259">
        <f t="shared" ref="F30:F41" si="3">E30/D29</f>
        <v>1.6084656084656086</v>
      </c>
      <c r="G30" s="249">
        <v>4.62</v>
      </c>
    </row>
    <row r="31" spans="1:7" ht="14.45" x14ac:dyDescent="0.3">
      <c r="A31" s="145"/>
      <c r="B31" s="18" t="s">
        <v>4</v>
      </c>
      <c r="C31" s="136" t="s">
        <v>40</v>
      </c>
      <c r="D31" s="274">
        <v>9.11</v>
      </c>
      <c r="E31" s="239">
        <v>21.02</v>
      </c>
      <c r="F31" s="259">
        <f t="shared" si="3"/>
        <v>36.241379310344833</v>
      </c>
      <c r="G31" s="249">
        <v>3.5</v>
      </c>
    </row>
    <row r="32" spans="1:7" ht="14.45" x14ac:dyDescent="0.3">
      <c r="A32" s="145"/>
      <c r="B32" s="18" t="s">
        <v>89</v>
      </c>
      <c r="C32" s="136" t="s">
        <v>90</v>
      </c>
      <c r="D32" s="274">
        <v>7.34</v>
      </c>
      <c r="E32" s="239">
        <v>51.91</v>
      </c>
      <c r="F32" s="259">
        <f t="shared" si="3"/>
        <v>5.6981339187705817</v>
      </c>
      <c r="G32" s="249">
        <v>5.72</v>
      </c>
    </row>
    <row r="33" spans="1:7" ht="14.45" x14ac:dyDescent="0.3">
      <c r="A33" s="184"/>
      <c r="B33" s="18" t="s">
        <v>7</v>
      </c>
      <c r="C33" s="136" t="s">
        <v>41</v>
      </c>
      <c r="D33" s="140">
        <v>2</v>
      </c>
      <c r="E33" s="249">
        <v>5.38</v>
      </c>
      <c r="F33" s="259">
        <f t="shared" si="3"/>
        <v>0.73297002724795646</v>
      </c>
      <c r="G33" s="249">
        <v>3.9</v>
      </c>
    </row>
    <row r="34" spans="1:7" ht="14.45" x14ac:dyDescent="0.3">
      <c r="A34" s="145"/>
      <c r="B34" s="18" t="s">
        <v>7</v>
      </c>
      <c r="C34" s="136" t="s">
        <v>42</v>
      </c>
      <c r="D34" s="140">
        <v>2</v>
      </c>
      <c r="E34" s="249">
        <v>2.4</v>
      </c>
      <c r="F34" s="259">
        <f t="shared" si="3"/>
        <v>1.2</v>
      </c>
      <c r="G34" s="249">
        <v>4.2</v>
      </c>
    </row>
    <row r="35" spans="1:7" ht="14.45" x14ac:dyDescent="0.3">
      <c r="A35" s="145"/>
      <c r="B35" s="18" t="s">
        <v>7</v>
      </c>
      <c r="C35" s="136" t="s">
        <v>43</v>
      </c>
      <c r="D35" s="140">
        <v>4</v>
      </c>
      <c r="E35" s="249">
        <v>24.55</v>
      </c>
      <c r="F35" s="259">
        <f t="shared" si="3"/>
        <v>12.275</v>
      </c>
      <c r="G35" s="249">
        <v>4.22</v>
      </c>
    </row>
    <row r="36" spans="1:7" ht="14.45" x14ac:dyDescent="0.3">
      <c r="A36" s="145"/>
      <c r="B36" s="18" t="s">
        <v>7</v>
      </c>
      <c r="C36" s="136" t="s">
        <v>91</v>
      </c>
      <c r="D36" s="140">
        <v>4.25</v>
      </c>
      <c r="E36" s="249">
        <v>14.49</v>
      </c>
      <c r="F36" s="259">
        <f t="shared" si="3"/>
        <v>3.6225000000000001</v>
      </c>
      <c r="G36" s="249">
        <v>4.0999999999999996</v>
      </c>
    </row>
    <row r="37" spans="1:7" ht="14.45" x14ac:dyDescent="0.3">
      <c r="A37" s="145"/>
      <c r="B37" s="18" t="s">
        <v>7</v>
      </c>
      <c r="C37" s="136" t="s">
        <v>99</v>
      </c>
      <c r="D37" s="140">
        <v>3</v>
      </c>
      <c r="E37" s="236">
        <v>0</v>
      </c>
      <c r="F37" s="259">
        <f t="shared" si="3"/>
        <v>0</v>
      </c>
      <c r="G37" s="249">
        <v>5.38</v>
      </c>
    </row>
    <row r="38" spans="1:7" ht="14.45" x14ac:dyDescent="0.3">
      <c r="A38" s="145"/>
      <c r="B38" s="18" t="s">
        <v>7</v>
      </c>
      <c r="C38" s="136" t="s">
        <v>100</v>
      </c>
      <c r="D38" s="140">
        <v>15.06</v>
      </c>
      <c r="E38" s="236">
        <v>0</v>
      </c>
      <c r="F38" s="259">
        <f t="shared" si="3"/>
        <v>0</v>
      </c>
      <c r="G38" s="249">
        <v>6.5</v>
      </c>
    </row>
    <row r="39" spans="1:7" ht="14.45" x14ac:dyDescent="0.3">
      <c r="A39" s="145"/>
      <c r="B39" s="18" t="s">
        <v>7</v>
      </c>
      <c r="C39" s="136" t="s">
        <v>102</v>
      </c>
      <c r="D39" s="140">
        <v>4</v>
      </c>
      <c r="E39" s="236">
        <v>0</v>
      </c>
      <c r="F39" s="259">
        <f t="shared" si="3"/>
        <v>0</v>
      </c>
      <c r="G39" s="249">
        <v>2.62</v>
      </c>
    </row>
    <row r="40" spans="1:7" ht="14.45" x14ac:dyDescent="0.3">
      <c r="A40" s="145"/>
      <c r="B40" s="18" t="s">
        <v>7</v>
      </c>
      <c r="C40" s="136" t="s">
        <v>101</v>
      </c>
      <c r="D40" s="140">
        <v>0.3</v>
      </c>
      <c r="E40" s="236">
        <v>0</v>
      </c>
      <c r="F40" s="259">
        <f t="shared" si="3"/>
        <v>0</v>
      </c>
      <c r="G40" s="249">
        <v>4.63</v>
      </c>
    </row>
    <row r="41" spans="1:7" s="70" customFormat="1" ht="14.45" x14ac:dyDescent="0.3">
      <c r="A41" s="145"/>
      <c r="B41" s="143" t="s">
        <v>7</v>
      </c>
      <c r="C41" s="143" t="s">
        <v>114</v>
      </c>
      <c r="D41" s="140">
        <v>19.62</v>
      </c>
      <c r="E41" s="236">
        <v>55.72</v>
      </c>
      <c r="F41" s="259">
        <f t="shared" si="3"/>
        <v>185.73333333333335</v>
      </c>
      <c r="G41" s="249"/>
    </row>
    <row r="42" spans="1:7" s="256" customFormat="1" ht="14.45" x14ac:dyDescent="0.3">
      <c r="A42" s="242" t="s">
        <v>19</v>
      </c>
      <c r="B42" s="245"/>
      <c r="C42" s="247"/>
      <c r="D42" s="265"/>
      <c r="E42" s="248"/>
      <c r="F42" s="187"/>
      <c r="G42" s="257"/>
    </row>
    <row r="43" spans="1:7" ht="14.45" x14ac:dyDescent="0.3">
      <c r="A43" s="145"/>
      <c r="B43" s="18" t="s">
        <v>3</v>
      </c>
      <c r="C43" s="136" t="s">
        <v>37</v>
      </c>
      <c r="D43" s="140">
        <v>4.43</v>
      </c>
      <c r="E43" s="249">
        <v>7.02</v>
      </c>
      <c r="F43" s="259">
        <f>E43/D43</f>
        <v>1.5846501128668171</v>
      </c>
      <c r="G43" s="249">
        <v>2.91</v>
      </c>
    </row>
    <row r="44" spans="1:7" s="256" customFormat="1" ht="14.45" x14ac:dyDescent="0.3">
      <c r="A44" s="242" t="s">
        <v>21</v>
      </c>
      <c r="B44" s="245"/>
      <c r="C44" s="247"/>
      <c r="D44" s="265"/>
      <c r="E44" s="248"/>
      <c r="F44" s="187"/>
      <c r="G44" s="257"/>
    </row>
    <row r="45" spans="1:7" ht="14.45" x14ac:dyDescent="0.3">
      <c r="A45" s="145"/>
      <c r="B45" s="18" t="s">
        <v>3</v>
      </c>
      <c r="C45" s="136" t="s">
        <v>44</v>
      </c>
      <c r="D45" s="126">
        <v>3.55</v>
      </c>
      <c r="E45" s="239">
        <v>13.77</v>
      </c>
      <c r="F45" s="259">
        <f>E45/D45</f>
        <v>3.8788732394366199</v>
      </c>
      <c r="G45" s="249">
        <v>6.2</v>
      </c>
    </row>
    <row r="46" spans="1:7" ht="14.45" x14ac:dyDescent="0.3">
      <c r="A46" s="145"/>
      <c r="B46" s="18" t="s">
        <v>86</v>
      </c>
      <c r="C46" s="136" t="s">
        <v>45</v>
      </c>
      <c r="D46" s="126">
        <v>1.9</v>
      </c>
      <c r="E46" s="239">
        <v>7.47</v>
      </c>
      <c r="F46" s="259">
        <f t="shared" ref="F46:F47" si="4">E46/D46</f>
        <v>3.9315789473684211</v>
      </c>
      <c r="G46" s="249">
        <v>5.04</v>
      </c>
    </row>
    <row r="47" spans="1:7" ht="14.45" x14ac:dyDescent="0.3">
      <c r="A47" s="145"/>
      <c r="B47" s="18" t="s">
        <v>7</v>
      </c>
      <c r="C47" s="136" t="s">
        <v>92</v>
      </c>
      <c r="D47" s="140">
        <v>7</v>
      </c>
      <c r="E47" s="249">
        <v>40.96</v>
      </c>
      <c r="F47" s="259">
        <f t="shared" si="4"/>
        <v>5.8514285714285714</v>
      </c>
      <c r="G47" s="249">
        <v>4.96</v>
      </c>
    </row>
    <row r="48" spans="1:7" s="256" customFormat="1" ht="14.45" x14ac:dyDescent="0.3">
      <c r="A48" s="242" t="s">
        <v>23</v>
      </c>
      <c r="B48" s="245"/>
      <c r="C48" s="246"/>
      <c r="D48" s="266"/>
      <c r="E48" s="276"/>
      <c r="F48" s="187"/>
      <c r="G48" s="257"/>
    </row>
    <row r="49" spans="1:8" ht="14.45" x14ac:dyDescent="0.3">
      <c r="A49" s="145"/>
      <c r="B49" s="18" t="s">
        <v>7</v>
      </c>
      <c r="C49" s="136" t="s">
        <v>42</v>
      </c>
      <c r="D49" s="263">
        <v>6</v>
      </c>
      <c r="E49" s="236">
        <v>16.170000000000002</v>
      </c>
      <c r="F49" s="259">
        <f>E49/D49</f>
        <v>2.6950000000000003</v>
      </c>
      <c r="G49" s="249">
        <v>4.5199999999999996</v>
      </c>
    </row>
    <row r="50" spans="1:8" ht="14.45" x14ac:dyDescent="0.3">
      <c r="A50" s="145"/>
      <c r="B50" s="18" t="s">
        <v>7</v>
      </c>
      <c r="C50" s="136" t="s">
        <v>46</v>
      </c>
      <c r="D50" s="263">
        <v>3.8</v>
      </c>
      <c r="E50" s="236">
        <v>11.46</v>
      </c>
      <c r="F50" s="259">
        <f t="shared" ref="F50:F52" si="5">E50/D50</f>
        <v>3.0157894736842108</v>
      </c>
      <c r="G50" s="249">
        <v>4.22</v>
      </c>
    </row>
    <row r="51" spans="1:8" ht="14.45" x14ac:dyDescent="0.3">
      <c r="A51" s="145"/>
      <c r="B51" s="18" t="s">
        <v>7</v>
      </c>
      <c r="C51" s="136" t="s">
        <v>47</v>
      </c>
      <c r="D51" s="263">
        <v>7.49</v>
      </c>
      <c r="E51" s="236">
        <v>8.6</v>
      </c>
      <c r="F51" s="259">
        <f t="shared" si="5"/>
        <v>1.1481975967957276</v>
      </c>
      <c r="G51" s="249">
        <v>1.75</v>
      </c>
    </row>
    <row r="52" spans="1:8" ht="14.45" x14ac:dyDescent="0.3">
      <c r="A52" s="145"/>
      <c r="B52" s="18" t="s">
        <v>7</v>
      </c>
      <c r="C52" s="136" t="s">
        <v>91</v>
      </c>
      <c r="D52" s="263">
        <v>2.5</v>
      </c>
      <c r="E52" s="236">
        <v>4.2300000000000004</v>
      </c>
      <c r="F52" s="259">
        <f t="shared" si="5"/>
        <v>1.6920000000000002</v>
      </c>
      <c r="G52" s="249">
        <v>4.7</v>
      </c>
    </row>
    <row r="53" spans="1:8" ht="14.45" x14ac:dyDescent="0.3">
      <c r="A53" s="145"/>
      <c r="B53" s="18" t="s">
        <v>7</v>
      </c>
      <c r="C53" s="136" t="s">
        <v>102</v>
      </c>
      <c r="D53" s="263">
        <v>4</v>
      </c>
      <c r="E53" s="240"/>
      <c r="F53" s="140"/>
      <c r="G53" s="249">
        <v>2.62</v>
      </c>
    </row>
    <row r="54" spans="1:8" ht="14.45" x14ac:dyDescent="0.3">
      <c r="A54" s="145"/>
      <c r="B54" s="18" t="s">
        <v>7</v>
      </c>
      <c r="C54" s="136" t="s">
        <v>79</v>
      </c>
      <c r="D54" s="263">
        <v>5</v>
      </c>
      <c r="E54" s="240"/>
      <c r="F54" s="140"/>
      <c r="G54" s="249">
        <v>6.15</v>
      </c>
    </row>
    <row r="55" spans="1:8" x14ac:dyDescent="0.25">
      <c r="A55" s="242" t="s">
        <v>48</v>
      </c>
      <c r="B55" s="245"/>
      <c r="C55" s="247"/>
      <c r="D55" s="265"/>
      <c r="E55" s="248"/>
      <c r="F55" s="187"/>
      <c r="G55" s="257"/>
    </row>
    <row r="56" spans="1:8" x14ac:dyDescent="0.25">
      <c r="A56" s="145"/>
      <c r="B56" s="18" t="s">
        <v>3</v>
      </c>
      <c r="C56" s="136" t="s">
        <v>49</v>
      </c>
      <c r="D56" s="126">
        <v>5.07</v>
      </c>
      <c r="E56" s="239">
        <v>21.98</v>
      </c>
      <c r="F56" s="259">
        <f>E56/D56</f>
        <v>4.335305719921104</v>
      </c>
      <c r="G56" s="249">
        <v>4.0199999999999996</v>
      </c>
    </row>
    <row r="57" spans="1:8" x14ac:dyDescent="0.25">
      <c r="A57" s="145"/>
      <c r="B57" s="18" t="s">
        <v>86</v>
      </c>
      <c r="C57" s="136" t="s">
        <v>50</v>
      </c>
      <c r="D57" s="126">
        <v>1.23</v>
      </c>
      <c r="E57" s="239">
        <v>6.64</v>
      </c>
      <c r="F57" s="259">
        <f t="shared" ref="F57:F63" si="6">E57/D57</f>
        <v>5.3983739837398375</v>
      </c>
      <c r="G57" s="249">
        <v>4.3499999999999996</v>
      </c>
    </row>
    <row r="58" spans="1:8" x14ac:dyDescent="0.25">
      <c r="A58" s="145"/>
      <c r="B58" s="18" t="s">
        <v>86</v>
      </c>
      <c r="C58" s="136" t="s">
        <v>51</v>
      </c>
      <c r="D58" s="126">
        <v>1.58</v>
      </c>
      <c r="E58" s="239">
        <v>7.57</v>
      </c>
      <c r="F58" s="259">
        <f t="shared" si="6"/>
        <v>4.7911392405063289</v>
      </c>
      <c r="G58" s="249">
        <v>3.11</v>
      </c>
    </row>
    <row r="59" spans="1:8" x14ac:dyDescent="0.25">
      <c r="A59" s="145"/>
      <c r="B59" s="18" t="s">
        <v>86</v>
      </c>
      <c r="C59" s="136" t="s">
        <v>11</v>
      </c>
      <c r="D59" s="126">
        <v>0.21</v>
      </c>
      <c r="E59" s="239">
        <v>1.69</v>
      </c>
      <c r="F59" s="259">
        <f t="shared" si="6"/>
        <v>8.0476190476190474</v>
      </c>
      <c r="G59" s="249">
        <v>4.38</v>
      </c>
    </row>
    <row r="60" spans="1:8" x14ac:dyDescent="0.25">
      <c r="A60" s="184"/>
      <c r="B60" s="18" t="s">
        <v>86</v>
      </c>
      <c r="C60" s="136" t="s">
        <v>52</v>
      </c>
      <c r="D60" s="126">
        <v>0.68</v>
      </c>
      <c r="E60" s="239">
        <v>2.8</v>
      </c>
      <c r="F60" s="259">
        <f t="shared" si="6"/>
        <v>4.117647058823529</v>
      </c>
      <c r="G60" s="249">
        <v>1.1000000000000001</v>
      </c>
    </row>
    <row r="61" spans="1:8" x14ac:dyDescent="0.25">
      <c r="A61" s="145"/>
      <c r="B61" s="18" t="s">
        <v>86</v>
      </c>
      <c r="C61" s="136" t="s">
        <v>53</v>
      </c>
      <c r="D61" s="126">
        <v>0.74</v>
      </c>
      <c r="E61" s="239">
        <v>4.0599999999999996</v>
      </c>
      <c r="F61" s="259">
        <f t="shared" si="6"/>
        <v>5.486486486486486</v>
      </c>
      <c r="G61" s="249">
        <v>8.2200000000000006</v>
      </c>
    </row>
    <row r="62" spans="1:8" x14ac:dyDescent="0.25">
      <c r="A62" s="145"/>
      <c r="B62" s="18" t="s">
        <v>86</v>
      </c>
      <c r="C62" s="136" t="s">
        <v>54</v>
      </c>
      <c r="D62" s="126">
        <v>1.1299999999999999</v>
      </c>
      <c r="E62" s="239">
        <v>6.08</v>
      </c>
      <c r="F62" s="259">
        <f t="shared" si="6"/>
        <v>5.3805309734513278</v>
      </c>
      <c r="G62" s="249">
        <v>4.1500000000000004</v>
      </c>
      <c r="H62" s="70" t="s">
        <v>112</v>
      </c>
    </row>
    <row r="63" spans="1:8" x14ac:dyDescent="0.25">
      <c r="A63" s="145"/>
      <c r="B63" s="18" t="s">
        <v>89</v>
      </c>
      <c r="C63" s="136" t="s">
        <v>55</v>
      </c>
      <c r="D63" s="126">
        <v>6.15</v>
      </c>
      <c r="E63" s="239">
        <v>28.64</v>
      </c>
      <c r="F63" s="259">
        <f t="shared" si="6"/>
        <v>4.6569105691056905</v>
      </c>
      <c r="G63" s="249">
        <v>3.05</v>
      </c>
    </row>
    <row r="64" spans="1:8" x14ac:dyDescent="0.25">
      <c r="A64" s="145"/>
      <c r="B64" s="18" t="s">
        <v>80</v>
      </c>
      <c r="C64" s="136" t="s">
        <v>5</v>
      </c>
      <c r="D64" s="157" t="s">
        <v>109</v>
      </c>
      <c r="E64" s="239">
        <v>5.67</v>
      </c>
      <c r="F64" s="259">
        <v>0</v>
      </c>
      <c r="G64" s="249">
        <v>16.98</v>
      </c>
    </row>
    <row r="65" spans="1:7" s="256" customFormat="1" x14ac:dyDescent="0.25">
      <c r="A65" s="242" t="s">
        <v>25</v>
      </c>
      <c r="B65" s="245"/>
      <c r="C65" s="247"/>
      <c r="D65" s="265"/>
      <c r="E65" s="248"/>
      <c r="F65" s="187"/>
      <c r="G65" s="257"/>
    </row>
    <row r="66" spans="1:7" x14ac:dyDescent="0.25">
      <c r="A66" s="145"/>
      <c r="B66" s="18" t="s">
        <v>3</v>
      </c>
      <c r="C66" s="136" t="s">
        <v>56</v>
      </c>
      <c r="D66" s="140">
        <v>1.49</v>
      </c>
      <c r="E66" s="249">
        <v>6.36</v>
      </c>
      <c r="F66" s="259">
        <f>E66/D66</f>
        <v>4.2684563758389267</v>
      </c>
      <c r="G66" s="249">
        <v>5.43</v>
      </c>
    </row>
    <row r="67" spans="1:7" s="256" customFormat="1" x14ac:dyDescent="0.25">
      <c r="A67" s="242" t="s">
        <v>93</v>
      </c>
      <c r="B67" s="245"/>
      <c r="C67" s="247"/>
      <c r="D67" s="265"/>
      <c r="E67" s="248"/>
      <c r="F67" s="277"/>
      <c r="G67" s="257"/>
    </row>
    <row r="68" spans="1:7" x14ac:dyDescent="0.25">
      <c r="A68" s="145"/>
      <c r="B68" s="18" t="s">
        <v>7</v>
      </c>
      <c r="C68" s="136" t="s">
        <v>99</v>
      </c>
      <c r="D68" s="140">
        <v>1</v>
      </c>
      <c r="E68" s="249">
        <v>0</v>
      </c>
      <c r="F68" s="259">
        <f t="shared" ref="F68:F70" si="7">E68/D68</f>
        <v>0</v>
      </c>
      <c r="G68" s="249">
        <v>4.84</v>
      </c>
    </row>
    <row r="69" spans="1:7" s="256" customFormat="1" x14ac:dyDescent="0.25">
      <c r="A69" s="250" t="s">
        <v>103</v>
      </c>
      <c r="B69" s="245"/>
      <c r="C69" s="247"/>
      <c r="D69" s="220"/>
      <c r="E69" s="257"/>
      <c r="F69" s="277"/>
      <c r="G69" s="175"/>
    </row>
    <row r="70" spans="1:7" x14ac:dyDescent="0.25">
      <c r="A70" s="252"/>
      <c r="B70" s="94" t="s">
        <v>8</v>
      </c>
      <c r="C70" s="208" t="s">
        <v>104</v>
      </c>
      <c r="D70" s="140">
        <v>4</v>
      </c>
      <c r="E70" s="249">
        <v>0</v>
      </c>
      <c r="F70" s="259">
        <f t="shared" si="7"/>
        <v>0</v>
      </c>
      <c r="G70" s="249">
        <v>4.37</v>
      </c>
    </row>
    <row r="71" spans="1:7" s="256" customFormat="1" x14ac:dyDescent="0.25">
      <c r="A71" s="250" t="s">
        <v>27</v>
      </c>
      <c r="B71" s="245"/>
      <c r="C71" s="247"/>
      <c r="D71" s="265"/>
      <c r="E71" s="248"/>
      <c r="F71" s="187"/>
      <c r="G71" s="257"/>
    </row>
    <row r="72" spans="1:7" x14ac:dyDescent="0.25">
      <c r="A72" s="145"/>
      <c r="B72" s="18" t="s">
        <v>3</v>
      </c>
      <c r="C72" s="136" t="s">
        <v>57</v>
      </c>
      <c r="D72" s="126">
        <v>7.0000000000000007E-2</v>
      </c>
      <c r="E72" s="239">
        <v>0.32</v>
      </c>
      <c r="F72" s="259">
        <f>E72/D72</f>
        <v>4.5714285714285712</v>
      </c>
      <c r="G72" s="249">
        <v>3.57</v>
      </c>
    </row>
    <row r="73" spans="1:7" x14ac:dyDescent="0.25">
      <c r="A73" s="184"/>
      <c r="B73" s="18"/>
      <c r="C73" s="136" t="s">
        <v>58</v>
      </c>
      <c r="D73" s="126">
        <v>2.36</v>
      </c>
      <c r="E73" s="239">
        <v>10.74</v>
      </c>
      <c r="F73" s="259">
        <f t="shared" ref="F73:F76" si="8">E73/D73</f>
        <v>4.5508474576271194</v>
      </c>
      <c r="G73" s="249">
        <v>4.04</v>
      </c>
    </row>
    <row r="74" spans="1:7" x14ac:dyDescent="0.25">
      <c r="A74" s="145"/>
      <c r="B74" s="18"/>
      <c r="C74" s="136" t="s">
        <v>59</v>
      </c>
      <c r="D74" s="126">
        <v>1.17</v>
      </c>
      <c r="E74" s="239">
        <v>5.42</v>
      </c>
      <c r="F74" s="259">
        <f t="shared" si="8"/>
        <v>4.6324786324786329</v>
      </c>
      <c r="G74" s="249">
        <v>3.64</v>
      </c>
    </row>
    <row r="75" spans="1:7" x14ac:dyDescent="0.25">
      <c r="A75" s="145"/>
      <c r="B75" s="18"/>
      <c r="C75" s="136" t="s">
        <v>60</v>
      </c>
      <c r="D75" s="126">
        <v>0.95</v>
      </c>
      <c r="E75" s="239">
        <v>5.52</v>
      </c>
      <c r="F75" s="259">
        <f t="shared" si="8"/>
        <v>5.8105263157894731</v>
      </c>
      <c r="G75" s="249">
        <v>3.29</v>
      </c>
    </row>
    <row r="76" spans="1:7" x14ac:dyDescent="0.25">
      <c r="A76" s="145"/>
      <c r="B76" s="18" t="s">
        <v>7</v>
      </c>
      <c r="C76" s="136" t="s">
        <v>104</v>
      </c>
      <c r="D76" s="140">
        <v>12.06</v>
      </c>
      <c r="E76" s="249">
        <v>0</v>
      </c>
      <c r="F76" s="259">
        <f t="shared" si="8"/>
        <v>0</v>
      </c>
      <c r="G76" s="249">
        <v>3.47</v>
      </c>
    </row>
    <row r="77" spans="1:7" s="256" customFormat="1" x14ac:dyDescent="0.25">
      <c r="A77" s="242" t="s">
        <v>28</v>
      </c>
      <c r="B77" s="245"/>
      <c r="C77" s="247"/>
      <c r="D77" s="265"/>
      <c r="E77" s="248"/>
      <c r="F77" s="187"/>
      <c r="G77" s="257"/>
    </row>
    <row r="78" spans="1:7" x14ac:dyDescent="0.25">
      <c r="A78" s="145"/>
      <c r="B78" s="18" t="s">
        <v>3</v>
      </c>
      <c r="C78" s="136" t="s">
        <v>53</v>
      </c>
      <c r="D78" s="140">
        <v>1.1000000000000001</v>
      </c>
      <c r="E78" s="239">
        <v>4.45</v>
      </c>
      <c r="F78" s="259">
        <f>E78/D78</f>
        <v>4.045454545454545</v>
      </c>
      <c r="G78" s="249">
        <v>4.12</v>
      </c>
    </row>
    <row r="79" spans="1:7" x14ac:dyDescent="0.25">
      <c r="A79" s="145"/>
      <c r="B79" s="18" t="s">
        <v>3</v>
      </c>
      <c r="C79" s="136" t="s">
        <v>61</v>
      </c>
      <c r="D79" s="140">
        <v>0.83</v>
      </c>
      <c r="E79" s="239">
        <v>4.0599999999999996</v>
      </c>
      <c r="F79" s="259">
        <f t="shared" ref="F79:F81" si="9">E79/D79</f>
        <v>4.8915662650602405</v>
      </c>
      <c r="G79" s="249">
        <v>5.41</v>
      </c>
    </row>
    <row r="80" spans="1:7" x14ac:dyDescent="0.25">
      <c r="A80" s="145"/>
      <c r="B80" s="18" t="s">
        <v>125</v>
      </c>
      <c r="C80" s="136"/>
      <c r="D80" s="140">
        <v>0.05</v>
      </c>
      <c r="E80" s="273">
        <v>0.24</v>
      </c>
      <c r="F80" s="259">
        <f t="shared" si="9"/>
        <v>4.8</v>
      </c>
      <c r="G80" s="249">
        <v>4.5999999999999996</v>
      </c>
    </row>
    <row r="81" spans="1:7" x14ac:dyDescent="0.25">
      <c r="A81" s="145"/>
      <c r="B81" s="18" t="s">
        <v>6</v>
      </c>
      <c r="C81" s="136"/>
      <c r="D81" s="140">
        <v>13.45</v>
      </c>
      <c r="E81" s="239">
        <v>58.79</v>
      </c>
      <c r="F81" s="259">
        <f t="shared" si="9"/>
        <v>4.371003717472119</v>
      </c>
      <c r="G81" s="249">
        <v>4.57</v>
      </c>
    </row>
    <row r="82" spans="1:7" s="256" customFormat="1" x14ac:dyDescent="0.25">
      <c r="A82" s="242" t="s">
        <v>62</v>
      </c>
      <c r="B82" s="245"/>
      <c r="C82" s="247"/>
      <c r="D82" s="265"/>
      <c r="E82" s="248"/>
      <c r="F82" s="187"/>
      <c r="G82" s="257"/>
    </row>
    <row r="83" spans="1:7" x14ac:dyDescent="0.25">
      <c r="A83" s="145"/>
      <c r="B83" s="18" t="s">
        <v>7</v>
      </c>
      <c r="C83" s="136" t="s">
        <v>46</v>
      </c>
      <c r="D83" s="140">
        <v>11.2</v>
      </c>
      <c r="E83" s="249">
        <v>59.91</v>
      </c>
      <c r="F83" s="259">
        <f>E83/D83</f>
        <v>5.3491071428571431</v>
      </c>
      <c r="G83" s="249">
        <v>5.98</v>
      </c>
    </row>
    <row r="84" spans="1:7" x14ac:dyDescent="0.25">
      <c r="A84" s="145"/>
      <c r="B84" s="18" t="s">
        <v>7</v>
      </c>
      <c r="C84" s="136" t="s">
        <v>99</v>
      </c>
      <c r="D84" s="140">
        <v>7</v>
      </c>
      <c r="E84" s="249">
        <v>0</v>
      </c>
      <c r="F84" s="259">
        <f>E84/D84</f>
        <v>0</v>
      </c>
      <c r="G84" s="249">
        <v>7</v>
      </c>
    </row>
    <row r="85" spans="1:7" x14ac:dyDescent="0.25">
      <c r="A85" s="250" t="s">
        <v>30</v>
      </c>
      <c r="B85" s="245"/>
      <c r="C85" s="247"/>
      <c r="D85" s="265"/>
      <c r="E85" s="244"/>
      <c r="F85" s="165"/>
      <c r="G85" s="249"/>
    </row>
    <row r="86" spans="1:7" x14ac:dyDescent="0.25">
      <c r="A86" s="145"/>
      <c r="B86" s="18" t="s">
        <v>3</v>
      </c>
      <c r="C86" s="136" t="s">
        <v>57</v>
      </c>
      <c r="D86" s="126">
        <v>0.66</v>
      </c>
      <c r="E86" s="239">
        <v>3.36</v>
      </c>
      <c r="F86" s="259">
        <f>E86/D86</f>
        <v>5.0909090909090908</v>
      </c>
      <c r="G86" s="249">
        <v>4.2699999999999996</v>
      </c>
    </row>
    <row r="87" spans="1:7" x14ac:dyDescent="0.25">
      <c r="A87" s="184"/>
      <c r="B87" s="18" t="s">
        <v>3</v>
      </c>
      <c r="C87" s="136" t="s">
        <v>51</v>
      </c>
      <c r="D87" s="126">
        <v>2.79</v>
      </c>
      <c r="E87" s="239">
        <v>13.42</v>
      </c>
      <c r="F87" s="259">
        <f t="shared" ref="F87:F92" si="10">E87/D87</f>
        <v>4.8100358422939067</v>
      </c>
      <c r="G87" s="249">
        <v>5.83</v>
      </c>
    </row>
    <row r="88" spans="1:7" x14ac:dyDescent="0.25">
      <c r="A88" s="145"/>
      <c r="B88" s="18" t="s">
        <v>3</v>
      </c>
      <c r="C88" s="136" t="s">
        <v>63</v>
      </c>
      <c r="D88" s="126">
        <v>2.7</v>
      </c>
      <c r="E88" s="239">
        <v>10.86</v>
      </c>
      <c r="F88" s="259">
        <f t="shared" si="10"/>
        <v>4.0222222222222221</v>
      </c>
      <c r="G88" s="249">
        <v>2.99</v>
      </c>
    </row>
    <row r="89" spans="1:7" x14ac:dyDescent="0.25">
      <c r="A89" s="145"/>
      <c r="B89" s="18" t="s">
        <v>3</v>
      </c>
      <c r="C89" s="136" t="s">
        <v>64</v>
      </c>
      <c r="D89" s="126">
        <v>0.85</v>
      </c>
      <c r="E89" s="239">
        <v>3.21</v>
      </c>
      <c r="F89" s="259">
        <f t="shared" si="10"/>
        <v>3.776470588235294</v>
      </c>
      <c r="G89" s="249">
        <v>1.65</v>
      </c>
    </row>
    <row r="90" spans="1:7" x14ac:dyDescent="0.25">
      <c r="A90" s="145"/>
      <c r="B90" s="18" t="s">
        <v>3</v>
      </c>
      <c r="C90" s="136" t="s">
        <v>45</v>
      </c>
      <c r="D90" s="126">
        <v>0.78</v>
      </c>
      <c r="E90" s="239">
        <v>2.7</v>
      </c>
      <c r="F90" s="259">
        <f t="shared" si="10"/>
        <v>3.4615384615384617</v>
      </c>
      <c r="G90" s="249">
        <v>2.74</v>
      </c>
    </row>
    <row r="91" spans="1:7" x14ac:dyDescent="0.25">
      <c r="A91" s="184"/>
      <c r="B91" s="18" t="s">
        <v>3</v>
      </c>
      <c r="C91" s="136" t="s">
        <v>65</v>
      </c>
      <c r="D91" s="126">
        <v>4.92</v>
      </c>
      <c r="E91" s="239">
        <v>19.28</v>
      </c>
      <c r="F91" s="259">
        <f t="shared" si="10"/>
        <v>3.9186991869918701</v>
      </c>
      <c r="G91" s="249">
        <v>4.38</v>
      </c>
    </row>
    <row r="92" spans="1:7" x14ac:dyDescent="0.25">
      <c r="A92" s="184"/>
      <c r="B92" s="18" t="s">
        <v>8</v>
      </c>
      <c r="C92" s="136" t="s">
        <v>87</v>
      </c>
      <c r="D92" s="140">
        <v>6.41</v>
      </c>
      <c r="E92" s="249">
        <v>0</v>
      </c>
      <c r="F92" s="259">
        <f t="shared" si="10"/>
        <v>0</v>
      </c>
      <c r="G92" s="249">
        <v>3.61</v>
      </c>
    </row>
    <row r="93" spans="1:7" s="256" customFormat="1" x14ac:dyDescent="0.25">
      <c r="A93" s="242" t="s">
        <v>33</v>
      </c>
      <c r="B93" s="245"/>
      <c r="C93" s="246"/>
      <c r="D93" s="266"/>
      <c r="E93" s="276"/>
      <c r="F93" s="187"/>
      <c r="G93" s="257"/>
    </row>
    <row r="94" spans="1:7" x14ac:dyDescent="0.25">
      <c r="A94" s="145"/>
      <c r="B94" s="18" t="s">
        <v>3</v>
      </c>
      <c r="C94" s="136" t="s">
        <v>52</v>
      </c>
      <c r="D94" s="126">
        <v>1.79</v>
      </c>
      <c r="E94" s="239">
        <v>5.91</v>
      </c>
      <c r="F94" s="259">
        <f>E94/D94</f>
        <v>3.3016759776536313</v>
      </c>
      <c r="G94" s="249">
        <v>4.82</v>
      </c>
    </row>
    <row r="95" spans="1:7" x14ac:dyDescent="0.25">
      <c r="A95" s="145"/>
      <c r="B95" s="18" t="s">
        <v>3</v>
      </c>
      <c r="C95" s="136" t="s">
        <v>32</v>
      </c>
      <c r="D95" s="126">
        <v>2.4700000000000002</v>
      </c>
      <c r="E95" s="239">
        <v>7.04</v>
      </c>
      <c r="F95" s="259">
        <f t="shared" ref="F95:F117" si="11">E95/D95</f>
        <v>2.8502024291497974</v>
      </c>
      <c r="G95" s="249">
        <v>4.6399999999999997</v>
      </c>
    </row>
    <row r="96" spans="1:7" x14ac:dyDescent="0.25">
      <c r="A96" s="145"/>
      <c r="B96" s="18" t="s">
        <v>3</v>
      </c>
      <c r="C96" s="136" t="s">
        <v>54</v>
      </c>
      <c r="D96" s="126">
        <v>0.92</v>
      </c>
      <c r="E96" s="239">
        <v>2.96</v>
      </c>
      <c r="F96" s="259">
        <f t="shared" si="11"/>
        <v>3.2173913043478257</v>
      </c>
      <c r="G96" s="249">
        <v>4.7</v>
      </c>
    </row>
    <row r="97" spans="1:7" x14ac:dyDescent="0.25">
      <c r="A97" s="145"/>
      <c r="B97" s="18" t="s">
        <v>3</v>
      </c>
      <c r="C97" s="136" t="s">
        <v>66</v>
      </c>
      <c r="D97" s="126">
        <v>0.55000000000000004</v>
      </c>
      <c r="E97" s="239">
        <v>1.84</v>
      </c>
      <c r="F97" s="259">
        <f t="shared" si="11"/>
        <v>3.3454545454545452</v>
      </c>
      <c r="G97" s="249">
        <v>3.13</v>
      </c>
    </row>
    <row r="98" spans="1:7" x14ac:dyDescent="0.25">
      <c r="A98" s="184"/>
      <c r="B98" s="18" t="s">
        <v>3</v>
      </c>
      <c r="C98" s="136" t="s">
        <v>67</v>
      </c>
      <c r="D98" s="126">
        <v>0.96</v>
      </c>
      <c r="E98" s="239">
        <v>2.36</v>
      </c>
      <c r="F98" s="259">
        <f t="shared" si="11"/>
        <v>2.4583333333333335</v>
      </c>
      <c r="G98" s="249">
        <v>3</v>
      </c>
    </row>
    <row r="99" spans="1:7" x14ac:dyDescent="0.25">
      <c r="A99" s="145"/>
      <c r="B99" s="18" t="s">
        <v>3</v>
      </c>
      <c r="C99" s="136" t="s">
        <v>68</v>
      </c>
      <c r="D99" s="126">
        <v>0.56999999999999995</v>
      </c>
      <c r="E99" s="239">
        <v>1.82</v>
      </c>
      <c r="F99" s="259">
        <f t="shared" si="11"/>
        <v>3.1929824561403515</v>
      </c>
      <c r="G99" s="249">
        <v>3.82</v>
      </c>
    </row>
    <row r="100" spans="1:7" x14ac:dyDescent="0.25">
      <c r="A100" s="145"/>
      <c r="B100" s="18" t="s">
        <v>3</v>
      </c>
      <c r="C100" s="136" t="s">
        <v>69</v>
      </c>
      <c r="D100" s="126">
        <v>0.9</v>
      </c>
      <c r="E100" s="239">
        <v>3.33</v>
      </c>
      <c r="F100" s="259">
        <f t="shared" si="11"/>
        <v>3.7</v>
      </c>
      <c r="G100" s="249">
        <v>5.83</v>
      </c>
    </row>
    <row r="101" spans="1:7" x14ac:dyDescent="0.25">
      <c r="A101" s="145"/>
      <c r="B101" s="18" t="s">
        <v>3</v>
      </c>
      <c r="C101" s="136" t="s">
        <v>70</v>
      </c>
      <c r="D101" s="126">
        <v>2.68</v>
      </c>
      <c r="E101" s="239">
        <v>8.52</v>
      </c>
      <c r="F101" s="259">
        <f t="shared" si="11"/>
        <v>3.1791044776119399</v>
      </c>
      <c r="G101" s="249">
        <v>0.87</v>
      </c>
    </row>
    <row r="102" spans="1:7" x14ac:dyDescent="0.25">
      <c r="A102" s="184"/>
      <c r="B102" s="18" t="s">
        <v>3</v>
      </c>
      <c r="C102" s="136" t="s">
        <v>71</v>
      </c>
      <c r="D102" s="126">
        <v>0.53</v>
      </c>
      <c r="E102" s="239">
        <v>2.74</v>
      </c>
      <c r="F102" s="259">
        <f t="shared" si="11"/>
        <v>5.1698113207547172</v>
      </c>
      <c r="G102" s="249">
        <v>5.36</v>
      </c>
    </row>
    <row r="103" spans="1:7" x14ac:dyDescent="0.25">
      <c r="A103" s="145"/>
      <c r="B103" s="18" t="s">
        <v>3</v>
      </c>
      <c r="C103" s="136" t="s">
        <v>72</v>
      </c>
      <c r="D103" s="126">
        <v>1.25</v>
      </c>
      <c r="E103" s="239">
        <v>5.41</v>
      </c>
      <c r="F103" s="259">
        <f t="shared" si="11"/>
        <v>4.3280000000000003</v>
      </c>
      <c r="G103" s="249">
        <v>4.9800000000000004</v>
      </c>
    </row>
    <row r="104" spans="1:7" x14ac:dyDescent="0.25">
      <c r="A104" s="145"/>
      <c r="B104" s="18" t="s">
        <v>3</v>
      </c>
      <c r="C104" s="136" t="s">
        <v>73</v>
      </c>
      <c r="D104" s="126">
        <v>1.63</v>
      </c>
      <c r="E104" s="239">
        <v>6.38</v>
      </c>
      <c r="F104" s="259">
        <f t="shared" si="11"/>
        <v>3.9141104294478528</v>
      </c>
      <c r="G104" s="249">
        <v>5.17</v>
      </c>
    </row>
    <row r="105" spans="1:7" x14ac:dyDescent="0.25">
      <c r="A105" s="145"/>
      <c r="B105" s="18" t="s">
        <v>3</v>
      </c>
      <c r="C105" s="136" t="s">
        <v>74</v>
      </c>
      <c r="D105" s="126">
        <v>1.72</v>
      </c>
      <c r="E105" s="239">
        <v>5.4</v>
      </c>
      <c r="F105" s="259">
        <f t="shared" si="11"/>
        <v>3.1395348837209305</v>
      </c>
      <c r="G105" s="249">
        <v>3.46</v>
      </c>
    </row>
    <row r="106" spans="1:7" x14ac:dyDescent="0.25">
      <c r="A106" s="184"/>
      <c r="B106" s="18" t="s">
        <v>3</v>
      </c>
      <c r="C106" s="136" t="s">
        <v>75</v>
      </c>
      <c r="D106" s="126">
        <v>1.57</v>
      </c>
      <c r="E106" s="239">
        <v>3.86</v>
      </c>
      <c r="F106" s="259">
        <f t="shared" si="11"/>
        <v>2.4585987261146496</v>
      </c>
      <c r="G106" s="249">
        <v>6.93</v>
      </c>
    </row>
    <row r="107" spans="1:7" x14ac:dyDescent="0.25">
      <c r="A107" s="145"/>
      <c r="B107" s="18" t="s">
        <v>3</v>
      </c>
      <c r="C107" s="136" t="s">
        <v>76</v>
      </c>
      <c r="D107" s="126">
        <v>1.01</v>
      </c>
      <c r="E107" s="239">
        <v>3.65</v>
      </c>
      <c r="F107" s="259">
        <f t="shared" si="11"/>
        <v>3.613861386138614</v>
      </c>
      <c r="G107" s="249">
        <v>6.23</v>
      </c>
    </row>
    <row r="108" spans="1:7" x14ac:dyDescent="0.25">
      <c r="A108" s="145"/>
      <c r="B108" s="18" t="s">
        <v>3</v>
      </c>
      <c r="C108" s="136" t="s">
        <v>77</v>
      </c>
      <c r="D108" s="126">
        <v>1.5</v>
      </c>
      <c r="E108" s="239">
        <v>4.58</v>
      </c>
      <c r="F108" s="259">
        <f t="shared" si="11"/>
        <v>3.0533333333333332</v>
      </c>
      <c r="G108" s="249">
        <v>5.87</v>
      </c>
    </row>
    <row r="109" spans="1:7" x14ac:dyDescent="0.25">
      <c r="A109" s="145"/>
      <c r="B109" s="18" t="s">
        <v>86</v>
      </c>
      <c r="C109" s="136" t="s">
        <v>49</v>
      </c>
      <c r="D109" s="126">
        <v>2.71</v>
      </c>
      <c r="E109" s="239">
        <v>10.52</v>
      </c>
      <c r="F109" s="259">
        <f t="shared" si="11"/>
        <v>3.8819188191881917</v>
      </c>
      <c r="G109" s="249">
        <v>3.79</v>
      </c>
    </row>
    <row r="110" spans="1:7" x14ac:dyDescent="0.25">
      <c r="A110" s="184"/>
      <c r="B110" s="18" t="s">
        <v>86</v>
      </c>
      <c r="C110" s="136" t="s">
        <v>44</v>
      </c>
      <c r="D110" s="126">
        <v>1.04</v>
      </c>
      <c r="E110" s="239">
        <v>2.92</v>
      </c>
      <c r="F110" s="259">
        <f t="shared" si="11"/>
        <v>2.8076923076923075</v>
      </c>
      <c r="G110" s="249">
        <v>3.46</v>
      </c>
    </row>
    <row r="111" spans="1:7" x14ac:dyDescent="0.25">
      <c r="A111" s="145"/>
      <c r="B111" s="18" t="s">
        <v>86</v>
      </c>
      <c r="C111" s="136" t="s">
        <v>12</v>
      </c>
      <c r="D111" s="126">
        <v>1.31</v>
      </c>
      <c r="E111" s="239">
        <v>4.51</v>
      </c>
      <c r="F111" s="259">
        <f t="shared" si="11"/>
        <v>3.4427480916030531</v>
      </c>
      <c r="G111" s="249">
        <v>5.05</v>
      </c>
    </row>
    <row r="112" spans="1:7" x14ac:dyDescent="0.25">
      <c r="A112" s="145"/>
      <c r="B112" s="18" t="s">
        <v>86</v>
      </c>
      <c r="C112" s="136" t="s">
        <v>36</v>
      </c>
      <c r="D112" s="126">
        <v>1.22</v>
      </c>
      <c r="E112" s="239">
        <v>3.83</v>
      </c>
      <c r="F112" s="259">
        <f t="shared" si="11"/>
        <v>3.139344262295082</v>
      </c>
      <c r="G112" s="249">
        <v>1.1299999999999999</v>
      </c>
    </row>
    <row r="113" spans="1:7" x14ac:dyDescent="0.25">
      <c r="A113" s="145"/>
      <c r="B113" s="18" t="s">
        <v>86</v>
      </c>
      <c r="C113" s="136" t="s">
        <v>63</v>
      </c>
      <c r="D113" s="126">
        <v>0.45</v>
      </c>
      <c r="E113" s="239">
        <v>3.21</v>
      </c>
      <c r="F113" s="259">
        <f t="shared" si="11"/>
        <v>7.1333333333333329</v>
      </c>
      <c r="G113" s="249">
        <v>2.44</v>
      </c>
    </row>
    <row r="114" spans="1:7" x14ac:dyDescent="0.25">
      <c r="A114" s="184"/>
      <c r="B114" s="18" t="s">
        <v>86</v>
      </c>
      <c r="C114" s="136" t="s">
        <v>64</v>
      </c>
      <c r="D114" s="126">
        <v>0.32</v>
      </c>
      <c r="E114" s="239">
        <v>0.41</v>
      </c>
      <c r="F114" s="259">
        <f t="shared" si="11"/>
        <v>1.28125</v>
      </c>
      <c r="G114" s="249">
        <v>10.06</v>
      </c>
    </row>
    <row r="115" spans="1:7" x14ac:dyDescent="0.25">
      <c r="A115" s="145"/>
      <c r="B115" s="18" t="s">
        <v>7</v>
      </c>
      <c r="C115" s="136" t="s">
        <v>46</v>
      </c>
      <c r="D115" s="140">
        <v>5.0999999999999996</v>
      </c>
      <c r="E115" s="249">
        <v>15.46</v>
      </c>
      <c r="F115" s="259">
        <f t="shared" si="11"/>
        <v>3.0313725490196082</v>
      </c>
      <c r="G115" s="249">
        <v>5.75</v>
      </c>
    </row>
    <row r="116" spans="1:7" x14ac:dyDescent="0.25">
      <c r="A116" s="145"/>
      <c r="B116" s="18" t="s">
        <v>7</v>
      </c>
      <c r="C116" s="136" t="s">
        <v>42</v>
      </c>
      <c r="D116" s="140">
        <v>4</v>
      </c>
      <c r="E116" s="249">
        <v>7.7</v>
      </c>
      <c r="F116" s="259">
        <f t="shared" si="11"/>
        <v>1.925</v>
      </c>
      <c r="G116" s="249">
        <v>4.51</v>
      </c>
    </row>
    <row r="117" spans="1:7" x14ac:dyDescent="0.25">
      <c r="A117" s="145"/>
      <c r="B117" s="18" t="s">
        <v>7</v>
      </c>
      <c r="C117" s="136" t="s">
        <v>47</v>
      </c>
      <c r="D117" s="140">
        <v>4.5</v>
      </c>
      <c r="E117" s="249">
        <v>16.260000000000002</v>
      </c>
      <c r="F117" s="259">
        <f t="shared" si="11"/>
        <v>3.6133333333333337</v>
      </c>
      <c r="G117" s="249">
        <v>5.3</v>
      </c>
    </row>
    <row r="118" spans="1:7" x14ac:dyDescent="0.25">
      <c r="A118" s="242" t="s">
        <v>34</v>
      </c>
      <c r="B118" s="245"/>
      <c r="C118" s="247"/>
      <c r="D118" s="265"/>
      <c r="E118" s="248"/>
      <c r="F118" s="187"/>
      <c r="G118" s="257"/>
    </row>
    <row r="119" spans="1:7" x14ac:dyDescent="0.25">
      <c r="A119" s="145"/>
      <c r="B119" s="18" t="s">
        <v>3</v>
      </c>
      <c r="C119" s="136" t="s">
        <v>50</v>
      </c>
      <c r="D119" s="140">
        <v>2.69</v>
      </c>
      <c r="E119" s="249">
        <v>5.45</v>
      </c>
      <c r="F119" s="259">
        <f>E119/D119</f>
        <v>2.0260223048327139</v>
      </c>
      <c r="G119" s="249">
        <v>3.99</v>
      </c>
    </row>
    <row r="120" spans="1:7" x14ac:dyDescent="0.25">
      <c r="A120" s="145"/>
      <c r="B120" s="18" t="s">
        <v>6</v>
      </c>
      <c r="C120" s="136" t="s">
        <v>38</v>
      </c>
      <c r="D120" s="140">
        <v>1.6</v>
      </c>
      <c r="E120" s="249">
        <v>3.47</v>
      </c>
      <c r="F120" s="259">
        <f t="shared" ref="F120:F121" si="12">E120/D120</f>
        <v>2.1687500000000002</v>
      </c>
      <c r="G120" s="249">
        <v>7.16</v>
      </c>
    </row>
    <row r="121" spans="1:7" x14ac:dyDescent="0.25">
      <c r="A121" s="145"/>
      <c r="B121" s="18" t="s">
        <v>8</v>
      </c>
      <c r="C121" s="136" t="s">
        <v>104</v>
      </c>
      <c r="D121" s="140">
        <v>8.5500000000000007</v>
      </c>
      <c r="E121" s="249">
        <v>0</v>
      </c>
      <c r="F121" s="259">
        <f t="shared" si="12"/>
        <v>0</v>
      </c>
      <c r="G121" s="249">
        <v>4.51</v>
      </c>
    </row>
    <row r="122" spans="1:7" x14ac:dyDescent="0.25">
      <c r="A122" s="250"/>
      <c r="B122" s="245"/>
      <c r="C122" s="247"/>
      <c r="D122" s="267"/>
      <c r="E122" s="251"/>
      <c r="F122" s="187"/>
      <c r="G122" s="177"/>
    </row>
    <row r="123" spans="1:7" x14ac:dyDescent="0.25">
      <c r="A123" s="252"/>
      <c r="B123" s="94"/>
      <c r="C123" s="208"/>
      <c r="D123" s="263"/>
      <c r="E123" s="240"/>
      <c r="F123" s="165"/>
      <c r="G123" s="249"/>
    </row>
    <row r="124" spans="1:7" x14ac:dyDescent="0.25">
      <c r="A124" s="145"/>
      <c r="B124" s="94"/>
      <c r="C124" s="146"/>
      <c r="D124" s="264"/>
      <c r="E124" s="244"/>
      <c r="F124" s="258"/>
      <c r="G124" s="249"/>
    </row>
  </sheetData>
  <customSheetViews>
    <customSheetView guid="{F76F088D-E257-4637-81FB-2D037F8BCE3A}">
      <pane ySplit="2" topLeftCell="A39" activePane="bottomLeft" state="frozen"/>
      <selection pane="bottomLeft" activeCell="F10" sqref="F10"/>
      <pageMargins left="0.7" right="0.7" top="0.75" bottom="0.75" header="0.3" footer="0.3"/>
    </customSheetView>
  </customSheetViews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W202"/>
  <sheetViews>
    <sheetView zoomScaleNormal="100" workbookViewId="0">
      <pane xSplit="3" ySplit="2" topLeftCell="D79" activePane="bottomRight" state="frozen"/>
      <selection pane="topRight" activeCell="D1" sqref="D1"/>
      <selection pane="bottomLeft" activeCell="A3" sqref="A3"/>
      <selection pane="bottomRight" activeCell="N95" sqref="N95"/>
    </sheetView>
  </sheetViews>
  <sheetFormatPr defaultRowHeight="15" x14ac:dyDescent="0.25"/>
  <cols>
    <col min="2" max="2" width="15.42578125" customWidth="1"/>
    <col min="3" max="3" width="21.85546875" customWidth="1"/>
    <col min="5" max="5" width="16.42578125" customWidth="1"/>
    <col min="6" max="6" width="14.5703125" customWidth="1"/>
    <col min="7" max="7" width="15.85546875" hidden="1" customWidth="1"/>
    <col min="8" max="8" width="19.85546875" hidden="1" customWidth="1"/>
    <col min="9" max="9" width="16.85546875" style="282" customWidth="1"/>
    <col min="10" max="10" width="16.85546875" style="317" hidden="1" customWidth="1"/>
    <col min="11" max="11" width="16.42578125" hidden="1" customWidth="1"/>
    <col min="12" max="12" width="18.140625" style="268" hidden="1" customWidth="1"/>
    <col min="13" max="13" width="20.42578125" style="279" hidden="1" customWidth="1"/>
    <col min="14" max="14" width="21.5703125" style="70" customWidth="1"/>
    <col min="15" max="15" width="0" style="268" hidden="1" customWidth="1"/>
    <col min="16" max="16" width="0" hidden="1" customWidth="1"/>
    <col min="17" max="17" width="0" style="268" hidden="1" customWidth="1"/>
    <col min="18" max="18" width="0" hidden="1" customWidth="1"/>
    <col min="19" max="19" width="0" style="268" hidden="1" customWidth="1"/>
    <col min="20" max="20" width="0" hidden="1" customWidth="1"/>
    <col min="21" max="21" width="0" style="268" hidden="1" customWidth="1"/>
    <col min="22" max="22" width="20.5703125" style="475" customWidth="1"/>
    <col min="23" max="23" width="20.5703125" customWidth="1"/>
  </cols>
  <sheetData>
    <row r="1" spans="1:23" x14ac:dyDescent="0.25">
      <c r="A1" s="71"/>
      <c r="B1" s="69"/>
      <c r="C1" s="69"/>
      <c r="D1" s="63"/>
      <c r="E1" s="110">
        <v>2013</v>
      </c>
      <c r="F1" s="90">
        <v>2014</v>
      </c>
      <c r="G1" s="122"/>
      <c r="H1" s="70"/>
      <c r="I1" s="282">
        <v>2015</v>
      </c>
      <c r="J1" s="317">
        <v>2015</v>
      </c>
      <c r="K1" s="279">
        <v>2015</v>
      </c>
      <c r="L1" s="293">
        <v>2015</v>
      </c>
      <c r="M1" s="317">
        <v>2016</v>
      </c>
      <c r="N1" s="317">
        <v>2016</v>
      </c>
      <c r="O1" s="322" t="s">
        <v>145</v>
      </c>
      <c r="P1" s="279" t="s">
        <v>146</v>
      </c>
      <c r="Q1" s="282" t="s">
        <v>147</v>
      </c>
      <c r="R1" s="279" t="s">
        <v>165</v>
      </c>
      <c r="S1" s="282" t="s">
        <v>166</v>
      </c>
      <c r="T1" s="279" t="s">
        <v>176</v>
      </c>
      <c r="U1" s="282" t="s">
        <v>177</v>
      </c>
    </row>
    <row r="2" spans="1:23" x14ac:dyDescent="0.25">
      <c r="A2" s="71" t="s">
        <v>0</v>
      </c>
      <c r="B2" s="761" t="s">
        <v>1</v>
      </c>
      <c r="C2" s="761"/>
      <c r="D2" s="96" t="s">
        <v>82</v>
      </c>
      <c r="E2" s="110" t="s">
        <v>108</v>
      </c>
      <c r="F2" s="90" t="s">
        <v>108</v>
      </c>
      <c r="G2" s="110" t="s">
        <v>113</v>
      </c>
      <c r="H2" s="302" t="s">
        <v>138</v>
      </c>
      <c r="I2" s="283" t="s">
        <v>108</v>
      </c>
      <c r="J2" s="318" t="s">
        <v>164</v>
      </c>
      <c r="K2" t="s">
        <v>142</v>
      </c>
      <c r="L2" s="237" t="s">
        <v>143</v>
      </c>
      <c r="M2" s="451" t="s">
        <v>126</v>
      </c>
      <c r="N2" s="451" t="s">
        <v>108</v>
      </c>
      <c r="U2" s="282" t="s">
        <v>178</v>
      </c>
      <c r="V2" s="475" t="s">
        <v>198</v>
      </c>
    </row>
    <row r="3" spans="1:23" x14ac:dyDescent="0.25">
      <c r="A3" s="3" t="s">
        <v>2</v>
      </c>
      <c r="B3" s="4"/>
      <c r="C3" s="4"/>
      <c r="D3" s="62"/>
      <c r="E3" s="110"/>
      <c r="F3" s="90"/>
      <c r="G3" s="110"/>
      <c r="H3" s="70"/>
      <c r="L3" s="237"/>
    </row>
    <row r="4" spans="1:23" x14ac:dyDescent="0.25">
      <c r="A4" s="1"/>
      <c r="B4" s="9" t="s">
        <v>3</v>
      </c>
      <c r="C4" s="9" t="s">
        <v>10</v>
      </c>
      <c r="D4" s="91">
        <v>0.75</v>
      </c>
      <c r="E4" s="126">
        <v>1.57</v>
      </c>
      <c r="F4" s="95">
        <v>2.63</v>
      </c>
      <c r="G4" s="126">
        <f>E4-F4</f>
        <v>-1.0599999999999998</v>
      </c>
      <c r="H4" s="70">
        <v>3.4</v>
      </c>
      <c r="I4" s="282">
        <v>3.7</v>
      </c>
      <c r="J4" s="319">
        <f>I4/D4</f>
        <v>4.9333333333333336</v>
      </c>
      <c r="K4" s="70">
        <f t="shared" ref="K4:K10" si="0">H4-I4</f>
        <v>-0.30000000000000027</v>
      </c>
      <c r="L4" s="284">
        <f t="shared" ref="L4:L10" si="1">(ABS(H4-I4))/I4</f>
        <v>8.1081081081081155E-2</v>
      </c>
      <c r="M4" s="279">
        <v>4</v>
      </c>
      <c r="N4" s="70">
        <v>3.28</v>
      </c>
    </row>
    <row r="5" spans="1:23" x14ac:dyDescent="0.25">
      <c r="A5" s="1"/>
      <c r="B5" s="9" t="s">
        <v>3</v>
      </c>
      <c r="C5" s="9" t="s">
        <v>11</v>
      </c>
      <c r="D5" s="62">
        <v>1.4</v>
      </c>
      <c r="E5" s="126">
        <v>8</v>
      </c>
      <c r="F5" s="95">
        <v>3.67</v>
      </c>
      <c r="G5" s="126">
        <f t="shared" ref="G5:G23" si="2">E5-F5</f>
        <v>4.33</v>
      </c>
      <c r="H5" s="287">
        <v>10</v>
      </c>
      <c r="I5" s="282">
        <v>10</v>
      </c>
      <c r="J5" s="319">
        <f t="shared" ref="J5:J70" si="3">I5/D5</f>
        <v>7.1428571428571432</v>
      </c>
      <c r="K5" s="70">
        <f t="shared" si="0"/>
        <v>0</v>
      </c>
      <c r="L5" s="284">
        <f t="shared" si="1"/>
        <v>0</v>
      </c>
      <c r="M5" s="279">
        <v>10</v>
      </c>
      <c r="N5" s="70">
        <v>17.25</v>
      </c>
      <c r="W5">
        <f>SUM(N4:N5)</f>
        <v>20.53</v>
      </c>
    </row>
    <row r="6" spans="1:23" x14ac:dyDescent="0.25">
      <c r="A6" s="71"/>
      <c r="B6" s="9" t="s">
        <v>3</v>
      </c>
      <c r="C6" s="9" t="s">
        <v>12</v>
      </c>
      <c r="D6" s="62">
        <v>0.72</v>
      </c>
      <c r="E6" s="126">
        <v>4.84</v>
      </c>
      <c r="F6" s="95">
        <v>13.19</v>
      </c>
      <c r="G6" s="126">
        <f t="shared" si="2"/>
        <v>-8.35</v>
      </c>
      <c r="H6" s="287">
        <v>6</v>
      </c>
      <c r="I6" s="282">
        <v>7.28</v>
      </c>
      <c r="J6" s="319">
        <f t="shared" si="3"/>
        <v>10.111111111111112</v>
      </c>
      <c r="K6" s="70">
        <f t="shared" si="0"/>
        <v>-1.2800000000000002</v>
      </c>
      <c r="L6" s="284">
        <f t="shared" si="1"/>
        <v>0.17582417582417587</v>
      </c>
      <c r="M6" s="279">
        <v>7</v>
      </c>
      <c r="P6" s="70"/>
    </row>
    <row r="7" spans="1:23" x14ac:dyDescent="0.25">
      <c r="A7" s="71"/>
      <c r="B7" s="9" t="s">
        <v>3</v>
      </c>
      <c r="C7" s="9" t="s">
        <v>14</v>
      </c>
      <c r="D7" s="62">
        <v>2.39</v>
      </c>
      <c r="E7" s="126">
        <v>15.51</v>
      </c>
      <c r="F7" s="95">
        <v>15.96</v>
      </c>
      <c r="G7" s="126">
        <f t="shared" si="2"/>
        <v>-0.45000000000000107</v>
      </c>
      <c r="H7" s="70">
        <v>14</v>
      </c>
      <c r="I7" s="282">
        <v>15.76</v>
      </c>
      <c r="J7" s="319">
        <f t="shared" si="3"/>
        <v>6.5941422594142258</v>
      </c>
      <c r="K7" s="70">
        <f t="shared" si="0"/>
        <v>-1.7599999999999998</v>
      </c>
      <c r="L7" s="284">
        <f t="shared" si="1"/>
        <v>0.11167512690355329</v>
      </c>
      <c r="M7" s="279">
        <v>15</v>
      </c>
      <c r="N7" s="70">
        <v>13.3</v>
      </c>
    </row>
    <row r="8" spans="1:23" x14ac:dyDescent="0.25">
      <c r="A8" s="71"/>
      <c r="B8" s="9" t="s">
        <v>3</v>
      </c>
      <c r="C8" s="9" t="s">
        <v>16</v>
      </c>
      <c r="D8" s="62">
        <v>2.35</v>
      </c>
      <c r="E8" s="126">
        <v>13.53</v>
      </c>
      <c r="F8" s="95">
        <v>14.05</v>
      </c>
      <c r="G8" s="126">
        <f t="shared" si="2"/>
        <v>-0.52000000000000135</v>
      </c>
      <c r="H8" s="70">
        <v>15</v>
      </c>
      <c r="I8" s="282">
        <v>13.97</v>
      </c>
      <c r="J8" s="319">
        <f t="shared" si="3"/>
        <v>5.94468085106383</v>
      </c>
      <c r="K8" s="70">
        <f t="shared" si="0"/>
        <v>1.0299999999999994</v>
      </c>
      <c r="L8" s="284">
        <f t="shared" si="1"/>
        <v>7.3729420186113045E-2</v>
      </c>
      <c r="M8" s="279">
        <v>14</v>
      </c>
      <c r="N8" s="70">
        <v>13.85</v>
      </c>
    </row>
    <row r="9" spans="1:23" x14ac:dyDescent="0.25">
      <c r="A9" s="71"/>
      <c r="B9" s="9" t="s">
        <v>3</v>
      </c>
      <c r="C9" s="72" t="s">
        <v>150</v>
      </c>
      <c r="D9" s="62">
        <v>0.9</v>
      </c>
      <c r="E9" s="126">
        <v>11.45</v>
      </c>
      <c r="F9" s="95">
        <v>12.12</v>
      </c>
      <c r="G9" s="126">
        <f t="shared" si="2"/>
        <v>-0.66999999999999993</v>
      </c>
      <c r="H9" s="70">
        <v>3.3</v>
      </c>
      <c r="I9" s="282">
        <v>6.91</v>
      </c>
      <c r="J9" s="319">
        <f t="shared" si="3"/>
        <v>7.677777777777778</v>
      </c>
      <c r="K9" s="70">
        <f t="shared" si="0"/>
        <v>-3.6100000000000003</v>
      </c>
      <c r="L9" s="284">
        <f t="shared" si="1"/>
        <v>0.52243125904486254</v>
      </c>
      <c r="M9" s="279">
        <v>7</v>
      </c>
      <c r="N9" s="70">
        <v>19.18</v>
      </c>
    </row>
    <row r="10" spans="1:23" s="70" customFormat="1" x14ac:dyDescent="0.25">
      <c r="A10" s="71"/>
      <c r="B10" s="9"/>
      <c r="C10" s="72" t="s">
        <v>151</v>
      </c>
      <c r="D10" s="62">
        <v>0.9</v>
      </c>
      <c r="E10" s="126"/>
      <c r="F10" s="95"/>
      <c r="G10" s="126"/>
      <c r="H10" s="70">
        <v>5.7</v>
      </c>
      <c r="I10" s="282">
        <v>6.66</v>
      </c>
      <c r="J10" s="319">
        <f t="shared" si="3"/>
        <v>7.4</v>
      </c>
      <c r="K10" s="70">
        <f t="shared" si="0"/>
        <v>-0.96</v>
      </c>
      <c r="L10" s="284">
        <f t="shared" si="1"/>
        <v>0.14414414414414414</v>
      </c>
      <c r="M10" s="279">
        <v>7</v>
      </c>
      <c r="N10" s="70">
        <v>19.66</v>
      </c>
      <c r="O10" s="268"/>
      <c r="Q10" s="268"/>
      <c r="S10" s="268"/>
      <c r="U10" s="268"/>
      <c r="V10" s="475"/>
    </row>
    <row r="11" spans="1:23" x14ac:dyDescent="0.25">
      <c r="A11" s="71"/>
      <c r="B11" s="9" t="s">
        <v>3</v>
      </c>
      <c r="C11" s="72" t="s">
        <v>152</v>
      </c>
      <c r="D11" s="62">
        <v>0.96</v>
      </c>
      <c r="E11" s="126">
        <v>10.74</v>
      </c>
      <c r="F11" s="95">
        <v>13.61</v>
      </c>
      <c r="G11" s="126">
        <f t="shared" si="2"/>
        <v>-2.8699999999999992</v>
      </c>
      <c r="H11" s="234">
        <v>3.8</v>
      </c>
      <c r="I11" s="282">
        <v>4.8499999999999996</v>
      </c>
      <c r="J11" s="319">
        <f t="shared" si="3"/>
        <v>5.052083333333333</v>
      </c>
      <c r="K11" s="70">
        <f>H11-I11</f>
        <v>-1.0499999999999998</v>
      </c>
      <c r="L11" s="284">
        <f t="shared" ref="L11:L16" si="4">(ABS(H11-I11))/I11</f>
        <v>0.21649484536082472</v>
      </c>
      <c r="M11" s="279">
        <v>5</v>
      </c>
      <c r="N11" s="70">
        <v>1.0900000000000001</v>
      </c>
      <c r="P11" s="70"/>
      <c r="R11" s="70"/>
    </row>
    <row r="12" spans="1:23" s="70" customFormat="1" x14ac:dyDescent="0.25">
      <c r="A12" s="71"/>
      <c r="B12" s="9"/>
      <c r="C12" s="72" t="s">
        <v>153</v>
      </c>
      <c r="D12" s="62">
        <v>0.96</v>
      </c>
      <c r="E12" s="126"/>
      <c r="F12" s="95"/>
      <c r="G12" s="126"/>
      <c r="H12" s="234">
        <v>7.5</v>
      </c>
      <c r="I12" s="282">
        <v>6.87</v>
      </c>
      <c r="J12" s="319">
        <f t="shared" si="3"/>
        <v>7.15625</v>
      </c>
      <c r="K12" s="70">
        <f>H12-I12</f>
        <v>0.62999999999999989</v>
      </c>
      <c r="L12" s="284">
        <f t="shared" si="4"/>
        <v>9.170305676855893E-2</v>
      </c>
      <c r="M12" s="279">
        <v>7</v>
      </c>
      <c r="O12" s="268"/>
      <c r="Q12" s="268"/>
      <c r="S12" s="268"/>
      <c r="U12" s="268"/>
      <c r="V12" s="475"/>
    </row>
    <row r="13" spans="1:23" x14ac:dyDescent="0.25">
      <c r="A13" s="71"/>
      <c r="B13" s="9" t="s">
        <v>3</v>
      </c>
      <c r="C13" s="72" t="s">
        <v>154</v>
      </c>
      <c r="D13" s="62">
        <v>0.71499999999999997</v>
      </c>
      <c r="E13" s="126">
        <v>9.11</v>
      </c>
      <c r="F13" s="95">
        <v>9.8000000000000007</v>
      </c>
      <c r="G13" s="126">
        <f t="shared" si="2"/>
        <v>-0.69000000000000128</v>
      </c>
      <c r="H13" s="234">
        <v>2.5</v>
      </c>
      <c r="I13" s="282">
        <v>4.1900000000000004</v>
      </c>
      <c r="J13" s="319">
        <f t="shared" si="3"/>
        <v>5.8601398601398609</v>
      </c>
      <c r="K13" s="70">
        <f>H13-I13</f>
        <v>-1.6900000000000004</v>
      </c>
      <c r="L13" s="284">
        <f t="shared" si="4"/>
        <v>0.40334128878281628</v>
      </c>
      <c r="M13" s="279">
        <v>5</v>
      </c>
      <c r="P13" s="70"/>
      <c r="R13" s="70"/>
    </row>
    <row r="14" spans="1:23" s="70" customFormat="1" x14ac:dyDescent="0.25">
      <c r="A14" s="71"/>
      <c r="B14" s="9"/>
      <c r="C14" s="72" t="s">
        <v>155</v>
      </c>
      <c r="D14" s="62">
        <v>0.71499999999999997</v>
      </c>
      <c r="E14" s="126"/>
      <c r="F14" s="95"/>
      <c r="G14" s="126"/>
      <c r="H14" s="234">
        <v>5.6</v>
      </c>
      <c r="I14" s="282">
        <v>8.25</v>
      </c>
      <c r="J14" s="319">
        <f t="shared" si="3"/>
        <v>11.538461538461538</v>
      </c>
      <c r="K14" s="70">
        <f>H14-I14</f>
        <v>-2.6500000000000004</v>
      </c>
      <c r="L14" s="284">
        <f t="shared" si="4"/>
        <v>0.32121212121212128</v>
      </c>
      <c r="M14" s="279">
        <v>8</v>
      </c>
      <c r="O14" s="268"/>
      <c r="Q14" s="268"/>
      <c r="S14" s="268"/>
      <c r="U14" s="268"/>
      <c r="V14" s="475"/>
    </row>
    <row r="15" spans="1:23" s="70" customFormat="1" x14ac:dyDescent="0.25">
      <c r="A15" s="71"/>
      <c r="B15" s="9" t="s">
        <v>3</v>
      </c>
      <c r="C15" s="72" t="s">
        <v>156</v>
      </c>
      <c r="D15" s="62">
        <v>0.51500000000000001</v>
      </c>
      <c r="E15" s="126"/>
      <c r="F15" s="95"/>
      <c r="G15" s="126"/>
      <c r="H15" s="234">
        <v>2.9</v>
      </c>
      <c r="I15" s="260">
        <v>2.8</v>
      </c>
      <c r="J15" s="319">
        <f t="shared" si="3"/>
        <v>5.4368932038834945</v>
      </c>
      <c r="L15" s="284">
        <f t="shared" si="4"/>
        <v>3.5714285714285747E-2</v>
      </c>
      <c r="M15" s="279">
        <v>3</v>
      </c>
      <c r="O15" s="268"/>
      <c r="Q15" s="268"/>
      <c r="S15" s="268"/>
      <c r="U15" s="268"/>
      <c r="V15" s="475"/>
    </row>
    <row r="16" spans="1:23" x14ac:dyDescent="0.25">
      <c r="A16" s="71"/>
      <c r="C16" s="72" t="s">
        <v>157</v>
      </c>
      <c r="D16" s="62">
        <v>0.51500000000000001</v>
      </c>
      <c r="E16" s="126">
        <v>5</v>
      </c>
      <c r="F16" s="95">
        <v>3.91</v>
      </c>
      <c r="G16" s="126">
        <f t="shared" si="2"/>
        <v>1.0899999999999999</v>
      </c>
      <c r="H16" s="234">
        <v>2</v>
      </c>
      <c r="I16" s="282">
        <v>2.61</v>
      </c>
      <c r="J16" s="319">
        <f t="shared" si="3"/>
        <v>5.0679611650485432</v>
      </c>
      <c r="K16" s="70">
        <f t="shared" ref="K16:K28" si="5">H16-I16</f>
        <v>-0.60999999999999988</v>
      </c>
      <c r="L16" s="284">
        <f t="shared" si="4"/>
        <v>0.23371647509578541</v>
      </c>
      <c r="M16" s="279">
        <v>3</v>
      </c>
      <c r="R16" s="70"/>
      <c r="W16">
        <f>SUM(N7:N16)</f>
        <v>67.08</v>
      </c>
    </row>
    <row r="17" spans="1:22" x14ac:dyDescent="0.25">
      <c r="A17" s="71"/>
      <c r="B17" s="35" t="s">
        <v>84</v>
      </c>
      <c r="C17" s="9" t="s">
        <v>85</v>
      </c>
      <c r="D17" s="62">
        <v>0.85</v>
      </c>
      <c r="E17" s="112">
        <v>0</v>
      </c>
      <c r="F17" s="95">
        <v>2.0299999999999998</v>
      </c>
      <c r="G17" s="126">
        <f t="shared" si="2"/>
        <v>-2.0299999999999998</v>
      </c>
      <c r="H17" s="70">
        <v>2.7</v>
      </c>
      <c r="I17" s="282">
        <v>2.83</v>
      </c>
      <c r="J17" s="319">
        <f t="shared" si="3"/>
        <v>3.3294117647058825</v>
      </c>
      <c r="K17" s="70">
        <f t="shared" si="5"/>
        <v>-0.12999999999999989</v>
      </c>
      <c r="L17" s="284">
        <f t="shared" ref="L17:L28" si="6">(ABS(H17-I17))/I17</f>
        <v>4.5936395759717273E-2</v>
      </c>
      <c r="M17" s="279">
        <v>4</v>
      </c>
      <c r="N17" s="70">
        <v>4.84</v>
      </c>
      <c r="R17" s="70"/>
    </row>
    <row r="18" spans="1:22" s="70" customFormat="1" x14ac:dyDescent="0.25">
      <c r="A18" s="71"/>
      <c r="B18" s="35" t="s">
        <v>86</v>
      </c>
      <c r="C18" s="9" t="s">
        <v>158</v>
      </c>
      <c r="D18" s="62">
        <v>1.1100000000000001</v>
      </c>
      <c r="E18" s="112"/>
      <c r="F18" s="95"/>
      <c r="G18" s="126"/>
      <c r="H18" s="70">
        <v>1</v>
      </c>
      <c r="I18" s="282">
        <v>1.36</v>
      </c>
      <c r="J18" s="319">
        <f t="shared" si="3"/>
        <v>1.2252252252252251</v>
      </c>
      <c r="K18" s="70">
        <f t="shared" si="5"/>
        <v>-0.3600000000000001</v>
      </c>
      <c r="L18" s="284">
        <f t="shared" si="6"/>
        <v>0.26470588235294124</v>
      </c>
      <c r="M18" s="279">
        <v>4</v>
      </c>
      <c r="N18" s="70">
        <v>3.93</v>
      </c>
      <c r="O18" s="268"/>
      <c r="Q18" s="268"/>
      <c r="S18" s="268"/>
      <c r="U18" s="268"/>
      <c r="V18" s="475"/>
    </row>
    <row r="19" spans="1:22" s="70" customFormat="1" x14ac:dyDescent="0.25">
      <c r="A19" s="71"/>
      <c r="B19" s="35" t="s">
        <v>189</v>
      </c>
      <c r="C19" s="9" t="s">
        <v>190</v>
      </c>
      <c r="D19" s="62">
        <v>10</v>
      </c>
      <c r="E19" s="112"/>
      <c r="F19" s="95"/>
      <c r="G19" s="126"/>
      <c r="I19" s="282"/>
      <c r="J19" s="319"/>
      <c r="L19" s="284"/>
      <c r="M19" s="279">
        <v>30</v>
      </c>
      <c r="N19" s="70">
        <v>33.6</v>
      </c>
      <c r="O19" s="268"/>
      <c r="Q19" s="268"/>
      <c r="S19" s="268"/>
      <c r="U19" s="268"/>
      <c r="V19" s="475"/>
    </row>
    <row r="20" spans="1:22" x14ac:dyDescent="0.25">
      <c r="A20" s="71"/>
      <c r="B20" s="35" t="s">
        <v>7</v>
      </c>
      <c r="C20" s="72" t="s">
        <v>110</v>
      </c>
      <c r="D20" s="127">
        <v>2</v>
      </c>
      <c r="E20" s="112">
        <v>0</v>
      </c>
      <c r="F20" s="95">
        <v>10.56</v>
      </c>
      <c r="G20" s="126">
        <f t="shared" si="2"/>
        <v>-10.56</v>
      </c>
      <c r="H20" s="290">
        <v>10</v>
      </c>
      <c r="I20" s="282">
        <v>14.28</v>
      </c>
      <c r="J20" s="319">
        <f t="shared" si="3"/>
        <v>7.14</v>
      </c>
      <c r="K20" s="70">
        <f t="shared" si="5"/>
        <v>-4.2799999999999994</v>
      </c>
      <c r="L20" s="284">
        <f t="shared" si="6"/>
        <v>0.29971988795518206</v>
      </c>
      <c r="M20" s="279">
        <v>12</v>
      </c>
      <c r="N20" s="70">
        <v>14.3</v>
      </c>
    </row>
    <row r="21" spans="1:22" x14ac:dyDescent="0.25">
      <c r="A21" s="71"/>
      <c r="B21" s="35" t="s">
        <v>7</v>
      </c>
      <c r="C21" s="72" t="s">
        <v>111</v>
      </c>
      <c r="D21" s="127">
        <v>1.5</v>
      </c>
      <c r="E21" s="112">
        <v>0</v>
      </c>
      <c r="F21" s="95">
        <v>7.54</v>
      </c>
      <c r="G21" s="126">
        <f t="shared" si="2"/>
        <v>-7.54</v>
      </c>
      <c r="H21" s="290">
        <v>7.5</v>
      </c>
      <c r="I21" s="282">
        <v>7.76</v>
      </c>
      <c r="J21" s="319">
        <f t="shared" si="3"/>
        <v>5.1733333333333329</v>
      </c>
      <c r="K21" s="70">
        <f t="shared" si="5"/>
        <v>-0.25999999999999979</v>
      </c>
      <c r="L21" s="284">
        <f t="shared" si="6"/>
        <v>3.3505154639175229E-2</v>
      </c>
      <c r="M21" s="279">
        <v>8</v>
      </c>
      <c r="N21" s="70">
        <v>8.34</v>
      </c>
    </row>
    <row r="22" spans="1:22" x14ac:dyDescent="0.25">
      <c r="A22" s="71"/>
      <c r="B22" s="35" t="s">
        <v>7</v>
      </c>
      <c r="C22" s="72" t="s">
        <v>100</v>
      </c>
      <c r="D22" s="127">
        <v>1.25</v>
      </c>
      <c r="E22" s="112">
        <v>0</v>
      </c>
      <c r="F22" s="95">
        <v>5.22</v>
      </c>
      <c r="G22" s="126">
        <f t="shared" si="2"/>
        <v>-5.22</v>
      </c>
      <c r="H22" s="290">
        <v>5</v>
      </c>
      <c r="I22" s="282">
        <v>6.27</v>
      </c>
      <c r="J22" s="319">
        <f t="shared" si="3"/>
        <v>5.016</v>
      </c>
      <c r="K22" s="70">
        <f t="shared" si="5"/>
        <v>-1.2699999999999996</v>
      </c>
      <c r="L22" s="284">
        <f t="shared" si="6"/>
        <v>0.20255183413078146</v>
      </c>
      <c r="M22" s="279">
        <v>0</v>
      </c>
    </row>
    <row r="23" spans="1:22" x14ac:dyDescent="0.25">
      <c r="A23" s="71"/>
      <c r="B23" s="35" t="s">
        <v>7</v>
      </c>
      <c r="C23" s="94" t="s">
        <v>114</v>
      </c>
      <c r="D23" s="127">
        <v>10.5</v>
      </c>
      <c r="E23" s="113">
        <v>0</v>
      </c>
      <c r="F23" s="97">
        <v>56.35</v>
      </c>
      <c r="G23" s="126">
        <f t="shared" si="2"/>
        <v>-56.35</v>
      </c>
      <c r="H23" s="290">
        <v>56.35</v>
      </c>
      <c r="I23" s="282">
        <v>57.71</v>
      </c>
      <c r="J23" s="319">
        <f t="shared" si="3"/>
        <v>5.4961904761904758</v>
      </c>
      <c r="K23" s="70">
        <f t="shared" si="5"/>
        <v>-1.3599999999999994</v>
      </c>
      <c r="L23" s="284">
        <f t="shared" si="6"/>
        <v>2.3566106394039152E-2</v>
      </c>
      <c r="M23" s="279">
        <v>50</v>
      </c>
      <c r="N23" s="70">
        <v>38.03</v>
      </c>
    </row>
    <row r="24" spans="1:22" s="70" customFormat="1" x14ac:dyDescent="0.25">
      <c r="A24" s="71"/>
      <c r="B24" s="35" t="s">
        <v>144</v>
      </c>
      <c r="C24" s="94" t="s">
        <v>122</v>
      </c>
      <c r="D24" s="127">
        <v>1.66</v>
      </c>
      <c r="E24" s="113"/>
      <c r="F24" s="97"/>
      <c r="G24" s="126"/>
      <c r="H24" s="290">
        <v>8</v>
      </c>
      <c r="I24" s="282">
        <v>8.98</v>
      </c>
      <c r="J24" s="319">
        <f t="shared" si="3"/>
        <v>5.4096385542168681</v>
      </c>
      <c r="K24" s="70">
        <f t="shared" si="5"/>
        <v>-0.98000000000000043</v>
      </c>
      <c r="L24" s="284">
        <f t="shared" si="6"/>
        <v>0.10913140311804014</v>
      </c>
      <c r="M24" s="279">
        <v>20</v>
      </c>
      <c r="N24" s="70">
        <v>24.34</v>
      </c>
      <c r="O24" s="268"/>
      <c r="Q24" s="268"/>
      <c r="S24" s="268"/>
      <c r="U24" s="268"/>
      <c r="V24" s="475"/>
    </row>
    <row r="25" spans="1:22" x14ac:dyDescent="0.25">
      <c r="A25" s="71"/>
      <c r="B25" s="12"/>
      <c r="C25" s="151" t="s">
        <v>115</v>
      </c>
      <c r="D25" s="152">
        <f>SUM(D4:D16)</f>
        <v>13.790000000000003</v>
      </c>
      <c r="E25" s="175">
        <f>SUM(E4:E16)</f>
        <v>79.75</v>
      </c>
      <c r="F25" s="176">
        <f>SUM(F4:F16)</f>
        <v>88.939999999999984</v>
      </c>
      <c r="G25" s="175">
        <f>E25-F25</f>
        <v>-9.1899999999999835</v>
      </c>
      <c r="H25" s="70">
        <f>SUM(H4:H17)</f>
        <v>84.399999999999991</v>
      </c>
      <c r="I25" s="282">
        <f>SUM(I4:I16)</f>
        <v>93.85</v>
      </c>
      <c r="J25" s="319"/>
      <c r="K25" s="70">
        <f t="shared" si="5"/>
        <v>-9.4500000000000028</v>
      </c>
      <c r="L25" s="300">
        <f t="shared" si="6"/>
        <v>0.10069259456579652</v>
      </c>
    </row>
    <row r="26" spans="1:22" x14ac:dyDescent="0.25">
      <c r="A26" s="71"/>
      <c r="B26" s="12"/>
      <c r="C26" s="92" t="s">
        <v>119</v>
      </c>
      <c r="D26" s="148">
        <v>1.96</v>
      </c>
      <c r="E26" s="177">
        <v>0</v>
      </c>
      <c r="F26" s="149">
        <v>2.0299999999999998</v>
      </c>
      <c r="G26" s="177">
        <f>E26-F26</f>
        <v>-2.0299999999999998</v>
      </c>
      <c r="H26" s="70">
        <f>SUM(H17:H18)</f>
        <v>3.7</v>
      </c>
      <c r="I26" s="282">
        <f>SUM(I17:I18)</f>
        <v>4.1900000000000004</v>
      </c>
      <c r="J26" s="319"/>
      <c r="K26" s="70">
        <f t="shared" si="5"/>
        <v>-0.49000000000000021</v>
      </c>
      <c r="L26" s="284">
        <f t="shared" si="6"/>
        <v>0.11694510739856806</v>
      </c>
    </row>
    <row r="27" spans="1:22" ht="15.75" thickBot="1" x14ac:dyDescent="0.3">
      <c r="A27" s="71"/>
      <c r="B27" s="69"/>
      <c r="C27" s="150" t="s">
        <v>117</v>
      </c>
      <c r="D27" s="178">
        <v>16.899999999999999</v>
      </c>
      <c r="E27" s="182">
        <v>101.3</v>
      </c>
      <c r="F27" s="183">
        <f>SUM(F20:F23)</f>
        <v>79.67</v>
      </c>
      <c r="G27" s="182">
        <f>E27-F27</f>
        <v>21.629999999999995</v>
      </c>
      <c r="H27" s="70">
        <f>SUM(H20:H23)</f>
        <v>78.849999999999994</v>
      </c>
      <c r="I27" s="260">
        <f>SUM(I20:I24)</f>
        <v>95</v>
      </c>
      <c r="J27" s="319"/>
      <c r="K27" s="70">
        <f t="shared" si="5"/>
        <v>-16.150000000000006</v>
      </c>
      <c r="L27" s="284">
        <f t="shared" si="6"/>
        <v>0.17000000000000007</v>
      </c>
    </row>
    <row r="28" spans="1:22" ht="15.75" thickTop="1" x14ac:dyDescent="0.25">
      <c r="A28" s="71"/>
      <c r="B28" s="69"/>
      <c r="C28" s="146" t="s">
        <v>118</v>
      </c>
      <c r="D28" s="460">
        <f t="shared" ref="D28:I28" si="7">SUM(D25:D27)</f>
        <v>32.650000000000006</v>
      </c>
      <c r="E28" s="461">
        <f t="shared" si="7"/>
        <v>181.05</v>
      </c>
      <c r="F28" s="461">
        <f t="shared" si="7"/>
        <v>170.64</v>
      </c>
      <c r="G28" s="149">
        <f t="shared" si="7"/>
        <v>10.410000000000013</v>
      </c>
      <c r="H28" s="70">
        <f t="shared" si="7"/>
        <v>166.95</v>
      </c>
      <c r="I28" s="315">
        <f t="shared" si="7"/>
        <v>193.04</v>
      </c>
      <c r="J28" s="443"/>
      <c r="K28" s="255">
        <f t="shared" si="5"/>
        <v>-26.090000000000003</v>
      </c>
      <c r="L28" s="447">
        <f t="shared" si="6"/>
        <v>0.13515333609614591</v>
      </c>
      <c r="M28" s="463">
        <f>SUM(M4:M24)</f>
        <v>223</v>
      </c>
      <c r="N28" s="255"/>
      <c r="O28" s="291"/>
      <c r="P28" s="255"/>
      <c r="Q28" s="291"/>
      <c r="R28" s="255"/>
      <c r="S28" s="291"/>
      <c r="T28" s="255"/>
      <c r="U28" s="291"/>
      <c r="V28" s="464">
        <f>SUM(N4:N27)</f>
        <v>214.99000000000004</v>
      </c>
    </row>
    <row r="29" spans="1:22" x14ac:dyDescent="0.25">
      <c r="A29" s="3" t="s">
        <v>13</v>
      </c>
      <c r="B29" s="15"/>
      <c r="C29" s="15"/>
      <c r="D29" s="3"/>
      <c r="E29" s="99"/>
      <c r="F29" s="83"/>
      <c r="G29" s="118"/>
      <c r="H29" s="70"/>
      <c r="J29" s="319"/>
      <c r="K29" s="70"/>
      <c r="L29" s="298"/>
    </row>
    <row r="30" spans="1:22" x14ac:dyDescent="0.25">
      <c r="A30" s="71"/>
      <c r="B30" s="9" t="s">
        <v>3</v>
      </c>
      <c r="C30" s="9" t="s">
        <v>29</v>
      </c>
      <c r="D30" s="93">
        <v>4.32</v>
      </c>
      <c r="E30" s="126">
        <v>23.12</v>
      </c>
      <c r="F30" s="97">
        <v>36.31</v>
      </c>
      <c r="G30" s="126">
        <f>E30-F30</f>
        <v>-13.190000000000001</v>
      </c>
      <c r="H30" s="286">
        <v>36</v>
      </c>
      <c r="I30" s="282">
        <v>36.72</v>
      </c>
      <c r="J30" s="319">
        <f t="shared" si="3"/>
        <v>8.5</v>
      </c>
      <c r="K30" s="70">
        <f t="shared" ref="K30:K39" si="8">H30-I30</f>
        <v>-0.71999999999999886</v>
      </c>
      <c r="L30" s="284">
        <f t="shared" ref="L30:L39" si="9">(ABS(H30-I30))/I30</f>
        <v>1.960784313725487E-2</v>
      </c>
      <c r="M30" s="279">
        <v>36</v>
      </c>
      <c r="N30" s="70">
        <v>43.1</v>
      </c>
    </row>
    <row r="31" spans="1:22" x14ac:dyDescent="0.25">
      <c r="A31" s="71"/>
      <c r="B31" s="9" t="s">
        <v>3</v>
      </c>
      <c r="C31" s="9" t="s">
        <v>31</v>
      </c>
      <c r="D31" s="93">
        <v>1.92</v>
      </c>
      <c r="E31" s="126">
        <v>8.64</v>
      </c>
      <c r="F31" s="97">
        <v>17.260000000000002</v>
      </c>
      <c r="G31" s="126">
        <f t="shared" ref="G31:G36" si="10">E31-F31</f>
        <v>-8.620000000000001</v>
      </c>
      <c r="H31" s="286">
        <v>16</v>
      </c>
      <c r="I31" s="282">
        <v>13.52</v>
      </c>
      <c r="J31" s="319">
        <f t="shared" si="3"/>
        <v>7.041666666666667</v>
      </c>
      <c r="K31" s="70">
        <f t="shared" si="8"/>
        <v>2.4800000000000004</v>
      </c>
      <c r="L31" s="284">
        <f t="shared" si="9"/>
        <v>0.18343195266272194</v>
      </c>
      <c r="M31" s="279">
        <v>15</v>
      </c>
      <c r="N31" s="70">
        <v>14.85</v>
      </c>
      <c r="R31" s="70"/>
    </row>
    <row r="32" spans="1:22" x14ac:dyDescent="0.25">
      <c r="A32" s="71"/>
      <c r="B32" s="9" t="s">
        <v>86</v>
      </c>
      <c r="C32" s="9" t="s">
        <v>32</v>
      </c>
      <c r="D32" s="39">
        <v>3.29</v>
      </c>
      <c r="E32" s="126">
        <v>22.68</v>
      </c>
      <c r="F32" s="95">
        <v>38.07</v>
      </c>
      <c r="G32" s="126">
        <f t="shared" si="10"/>
        <v>-15.39</v>
      </c>
      <c r="H32" s="234">
        <v>27.8</v>
      </c>
      <c r="I32" s="282">
        <v>19.64</v>
      </c>
      <c r="J32" s="319">
        <f t="shared" si="3"/>
        <v>5.9696048632218845</v>
      </c>
      <c r="K32" s="70">
        <f t="shared" si="8"/>
        <v>8.16</v>
      </c>
      <c r="L32" s="284">
        <f t="shared" si="9"/>
        <v>0.41547861507128309</v>
      </c>
      <c r="M32" s="279">
        <v>20</v>
      </c>
      <c r="N32" s="70">
        <v>0.23</v>
      </c>
    </row>
    <row r="33" spans="1:22" s="70" customFormat="1" x14ac:dyDescent="0.25">
      <c r="A33" s="71"/>
      <c r="B33" s="9"/>
      <c r="C33" s="9" t="s">
        <v>187</v>
      </c>
      <c r="D33" s="39"/>
      <c r="E33" s="126"/>
      <c r="F33" s="95"/>
      <c r="G33" s="126"/>
      <c r="H33" s="234"/>
      <c r="I33" s="282"/>
      <c r="J33" s="319"/>
      <c r="L33" s="284"/>
      <c r="M33" s="279"/>
      <c r="N33" s="70">
        <v>10.43</v>
      </c>
      <c r="O33" s="268"/>
      <c r="Q33" s="268"/>
      <c r="S33" s="268"/>
      <c r="U33" s="268"/>
      <c r="V33" s="475"/>
    </row>
    <row r="34" spans="1:22" s="70" customFormat="1" x14ac:dyDescent="0.25">
      <c r="A34" s="71"/>
      <c r="B34" s="9"/>
      <c r="C34" s="9" t="s">
        <v>188</v>
      </c>
      <c r="D34" s="39"/>
      <c r="E34" s="126"/>
      <c r="F34" s="95"/>
      <c r="G34" s="126"/>
      <c r="H34" s="234"/>
      <c r="I34" s="282"/>
      <c r="J34" s="319"/>
      <c r="L34" s="284"/>
      <c r="M34" s="279"/>
      <c r="N34" s="70">
        <v>20.13</v>
      </c>
      <c r="O34" s="268"/>
      <c r="Q34" s="268"/>
      <c r="S34" s="268"/>
      <c r="U34" s="268"/>
      <c r="V34" s="475"/>
    </row>
    <row r="35" spans="1:22" x14ac:dyDescent="0.25">
      <c r="A35" s="71"/>
      <c r="B35" s="9" t="s">
        <v>84</v>
      </c>
      <c r="C35" s="9" t="s">
        <v>88</v>
      </c>
      <c r="D35" s="39">
        <v>4.63</v>
      </c>
      <c r="E35" s="128">
        <v>0</v>
      </c>
      <c r="F35" s="95">
        <v>13.82</v>
      </c>
      <c r="G35" s="126">
        <f t="shared" si="10"/>
        <v>-13.82</v>
      </c>
      <c r="H35" s="287">
        <v>14</v>
      </c>
      <c r="I35" s="282">
        <v>13.2</v>
      </c>
      <c r="J35" s="319">
        <f t="shared" si="3"/>
        <v>2.8509719222462202</v>
      </c>
      <c r="K35" s="70">
        <f t="shared" si="8"/>
        <v>0.80000000000000071</v>
      </c>
      <c r="L35" s="284">
        <f t="shared" si="9"/>
        <v>6.0606060606060663E-2</v>
      </c>
      <c r="M35" s="279">
        <v>15</v>
      </c>
      <c r="N35" s="70">
        <v>56.75</v>
      </c>
    </row>
    <row r="36" spans="1:22" x14ac:dyDescent="0.25">
      <c r="A36" s="71"/>
      <c r="B36" s="12"/>
      <c r="C36" s="151" t="s">
        <v>115</v>
      </c>
      <c r="D36" s="159">
        <f>SUM(D30:D31)</f>
        <v>6.24</v>
      </c>
      <c r="E36" s="161">
        <f>SUM(E30:E31)</f>
        <v>31.76</v>
      </c>
      <c r="F36" s="162">
        <f>SUM(F30:F31)</f>
        <v>53.570000000000007</v>
      </c>
      <c r="G36" s="161">
        <f t="shared" si="10"/>
        <v>-21.810000000000006</v>
      </c>
      <c r="H36" s="70">
        <f>SUM(H30:H31)</f>
        <v>52</v>
      </c>
      <c r="I36" s="282">
        <f>SUM(I30:I31)</f>
        <v>50.239999999999995</v>
      </c>
      <c r="J36" s="319"/>
      <c r="K36" s="70">
        <f t="shared" si="8"/>
        <v>1.7600000000000051</v>
      </c>
      <c r="L36" s="284">
        <f t="shared" si="9"/>
        <v>3.5031847133758065E-2</v>
      </c>
    </row>
    <row r="37" spans="1:22" x14ac:dyDescent="0.25">
      <c r="A37" s="71"/>
      <c r="B37" s="12"/>
      <c r="C37" s="71" t="s">
        <v>120</v>
      </c>
      <c r="D37" s="134">
        <f>SUM(D32:D35)</f>
        <v>7.92</v>
      </c>
      <c r="E37" s="165">
        <f>SUM(E32)</f>
        <v>22.68</v>
      </c>
      <c r="F37" s="166">
        <f>SUM(F32)</f>
        <v>38.07</v>
      </c>
      <c r="G37" s="171">
        <f>E37-F37</f>
        <v>-15.39</v>
      </c>
      <c r="H37" s="70">
        <f>SUM(H32:H35)</f>
        <v>41.8</v>
      </c>
      <c r="I37" s="282">
        <f>SUM(I32:I35)</f>
        <v>32.840000000000003</v>
      </c>
      <c r="J37" s="319"/>
      <c r="K37" s="70">
        <f t="shared" si="8"/>
        <v>8.9599999999999937</v>
      </c>
      <c r="L37" s="284">
        <f t="shared" si="9"/>
        <v>0.27283800243605338</v>
      </c>
    </row>
    <row r="38" spans="1:22" ht="15.75" thickBot="1" x14ac:dyDescent="0.3">
      <c r="A38" s="71"/>
      <c r="B38" s="69"/>
      <c r="C38" s="156" t="s">
        <v>117</v>
      </c>
      <c r="D38" s="167">
        <v>0</v>
      </c>
      <c r="E38" s="169">
        <v>0</v>
      </c>
      <c r="F38" s="170">
        <v>13.82</v>
      </c>
      <c r="G38" s="169">
        <f t="shared" ref="G38" si="11">E38-F38</f>
        <v>-13.82</v>
      </c>
      <c r="H38" s="70">
        <v>0</v>
      </c>
      <c r="I38" s="282">
        <v>0</v>
      </c>
      <c r="J38" s="319"/>
      <c r="K38" s="70">
        <f t="shared" si="8"/>
        <v>0</v>
      </c>
      <c r="L38" s="284" t="e">
        <f t="shared" si="9"/>
        <v>#DIV/0!</v>
      </c>
    </row>
    <row r="39" spans="1:22" ht="15.75" thickTop="1" x14ac:dyDescent="0.25">
      <c r="A39" s="71"/>
      <c r="B39" s="69"/>
      <c r="C39" s="79" t="s">
        <v>118</v>
      </c>
      <c r="D39" s="458">
        <f>SUM(D36:D38)</f>
        <v>14.16</v>
      </c>
      <c r="E39" s="459">
        <f>SUM(E36:E38)</f>
        <v>54.44</v>
      </c>
      <c r="F39" s="158">
        <f>SUM(F36:F38)</f>
        <v>105.46000000000001</v>
      </c>
      <c r="G39" s="171">
        <f>E39-F39</f>
        <v>-51.02000000000001</v>
      </c>
      <c r="H39" s="70">
        <f>SUM(H36:H37)</f>
        <v>93.8</v>
      </c>
      <c r="I39" s="315">
        <f>SUM(I36:I37)</f>
        <v>83.08</v>
      </c>
      <c r="J39" s="443"/>
      <c r="K39" s="255">
        <f t="shared" si="8"/>
        <v>10.719999999999999</v>
      </c>
      <c r="L39" s="447">
        <f t="shared" si="9"/>
        <v>0.12903225806451613</v>
      </c>
      <c r="M39" s="464">
        <f>SUM(M30:M35)</f>
        <v>86</v>
      </c>
      <c r="N39" s="255"/>
      <c r="O39" s="291"/>
      <c r="P39" s="255"/>
      <c r="Q39" s="291"/>
      <c r="R39" s="255"/>
      <c r="S39" s="291"/>
      <c r="T39" s="255"/>
      <c r="U39" s="291"/>
      <c r="V39" s="464">
        <f>SUM(N30:N35)</f>
        <v>145.49</v>
      </c>
    </row>
    <row r="40" spans="1:22" x14ac:dyDescent="0.25">
      <c r="A40" s="3" t="s">
        <v>15</v>
      </c>
      <c r="B40" s="15"/>
      <c r="C40" s="3"/>
      <c r="D40" s="37"/>
      <c r="E40" s="99"/>
      <c r="F40" s="83"/>
      <c r="G40" s="118"/>
      <c r="H40" s="70"/>
      <c r="J40" s="319"/>
      <c r="K40" s="70"/>
      <c r="L40" s="299"/>
    </row>
    <row r="41" spans="1:22" x14ac:dyDescent="0.25">
      <c r="A41" s="71"/>
      <c r="B41" s="9" t="s">
        <v>3</v>
      </c>
      <c r="C41" s="9" t="s">
        <v>36</v>
      </c>
      <c r="D41" s="39">
        <v>4.04</v>
      </c>
      <c r="E41" s="126">
        <v>23.62</v>
      </c>
      <c r="F41" s="95">
        <v>20.239999999999998</v>
      </c>
      <c r="G41" s="126">
        <f>E41-F41</f>
        <v>3.3800000000000026</v>
      </c>
      <c r="H41" s="70">
        <v>16.2</v>
      </c>
      <c r="I41" s="282">
        <v>26.77</v>
      </c>
      <c r="J41" s="319">
        <f t="shared" si="3"/>
        <v>6.6262376237623757</v>
      </c>
      <c r="K41" s="70">
        <f>H41-I41</f>
        <v>-10.57</v>
      </c>
      <c r="L41" s="301">
        <f>(ABS(H41-I41))/I41</f>
        <v>0.39484497571908855</v>
      </c>
      <c r="M41" s="279">
        <v>26</v>
      </c>
      <c r="N41" s="70">
        <v>25.52</v>
      </c>
    </row>
    <row r="42" spans="1:22" x14ac:dyDescent="0.25">
      <c r="A42" s="71"/>
      <c r="B42" s="9" t="s">
        <v>86</v>
      </c>
      <c r="C42" s="9" t="s">
        <v>37</v>
      </c>
      <c r="D42" s="39">
        <v>5.04</v>
      </c>
      <c r="E42" s="126">
        <v>27.94</v>
      </c>
      <c r="F42" s="95">
        <v>29.95</v>
      </c>
      <c r="G42" s="126">
        <f t="shared" ref="G42:G47" si="12">E42-F42</f>
        <v>-2.009999999999998</v>
      </c>
      <c r="H42" s="70">
        <v>30.1</v>
      </c>
      <c r="I42" s="282">
        <v>32.630000000000003</v>
      </c>
      <c r="J42" s="319">
        <f t="shared" si="3"/>
        <v>6.4742063492063497</v>
      </c>
      <c r="K42" s="70">
        <f>H42-I42</f>
        <v>-2.5300000000000011</v>
      </c>
      <c r="L42" s="284">
        <f>(ABS(H42-I42))/I42</f>
        <v>7.7536009806926168E-2</v>
      </c>
      <c r="M42" s="279">
        <v>32</v>
      </c>
      <c r="N42" s="70">
        <v>27.26</v>
      </c>
    </row>
    <row r="43" spans="1:22" x14ac:dyDescent="0.25">
      <c r="A43" s="71"/>
      <c r="B43" s="9" t="s">
        <v>6</v>
      </c>
      <c r="C43" s="9" t="s">
        <v>38</v>
      </c>
      <c r="D43" s="39">
        <v>1.65</v>
      </c>
      <c r="E43" s="126">
        <v>14.07</v>
      </c>
      <c r="F43" s="95">
        <v>12.07</v>
      </c>
      <c r="G43" s="126">
        <f t="shared" si="12"/>
        <v>2</v>
      </c>
      <c r="H43" s="287">
        <v>12</v>
      </c>
      <c r="I43" s="282">
        <v>12.47</v>
      </c>
      <c r="J43" s="319">
        <f t="shared" si="3"/>
        <v>7.5575757575757585</v>
      </c>
      <c r="K43" s="70">
        <f>H43-I43</f>
        <v>-0.47000000000000064</v>
      </c>
      <c r="L43" s="284">
        <f>(ABS(H43-I43))/I43</f>
        <v>3.7690457097032927E-2</v>
      </c>
      <c r="M43" s="279">
        <v>12</v>
      </c>
      <c r="N43" s="70">
        <v>14.53</v>
      </c>
    </row>
    <row r="44" spans="1:22" x14ac:dyDescent="0.25">
      <c r="A44" s="71"/>
      <c r="B44" s="12"/>
      <c r="C44" s="151" t="s">
        <v>115</v>
      </c>
      <c r="D44" s="163">
        <f>SUM(D41,D43)</f>
        <v>5.6899999999999995</v>
      </c>
      <c r="E44" s="161">
        <f>SUM(E41,E43)</f>
        <v>37.69</v>
      </c>
      <c r="F44" s="222">
        <f>SUM(F41,F43)</f>
        <v>32.31</v>
      </c>
      <c r="G44" s="161">
        <f t="shared" si="12"/>
        <v>5.3799999999999955</v>
      </c>
      <c r="H44" s="70">
        <f>SUM(H41,H43)</f>
        <v>28.2</v>
      </c>
      <c r="I44" s="282">
        <f>SUM(I41,I43)</f>
        <v>39.24</v>
      </c>
      <c r="J44" s="319"/>
      <c r="K44" s="70">
        <f>H44-I44</f>
        <v>-11.040000000000003</v>
      </c>
      <c r="L44" s="284">
        <f>(ABS(H44-I44))/I44</f>
        <v>0.28134556574923553</v>
      </c>
    </row>
    <row r="45" spans="1:22" x14ac:dyDescent="0.25">
      <c r="A45" s="71"/>
      <c r="B45" s="12"/>
      <c r="C45" s="71" t="s">
        <v>119</v>
      </c>
      <c r="D45" s="158">
        <v>5.04</v>
      </c>
      <c r="E45" s="165">
        <v>27.94</v>
      </c>
      <c r="F45" s="149">
        <v>29.95</v>
      </c>
      <c r="G45" s="171">
        <f t="shared" si="12"/>
        <v>-2.009999999999998</v>
      </c>
      <c r="H45" s="70">
        <f>H42</f>
        <v>30.1</v>
      </c>
      <c r="I45" s="282">
        <f>I42</f>
        <v>32.630000000000003</v>
      </c>
      <c r="J45" s="319"/>
      <c r="K45" s="70">
        <f>H45-I45</f>
        <v>-2.5300000000000011</v>
      </c>
      <c r="L45" s="284">
        <f>(ABS(H45-I45))/I45</f>
        <v>7.7536009806926168E-2</v>
      </c>
    </row>
    <row r="46" spans="1:22" ht="15.75" thickBot="1" x14ac:dyDescent="0.3">
      <c r="A46" s="71"/>
      <c r="B46" s="69"/>
      <c r="C46" s="156" t="s">
        <v>117</v>
      </c>
      <c r="D46" s="170">
        <v>0</v>
      </c>
      <c r="E46" s="169">
        <v>0</v>
      </c>
      <c r="F46" s="170">
        <v>0</v>
      </c>
      <c r="G46" s="169">
        <f t="shared" si="12"/>
        <v>0</v>
      </c>
      <c r="H46" s="70">
        <v>0</v>
      </c>
      <c r="I46" s="282">
        <v>0</v>
      </c>
      <c r="J46" s="319"/>
      <c r="K46" s="70"/>
      <c r="L46" s="299"/>
    </row>
    <row r="47" spans="1:22" ht="15.75" thickTop="1" x14ac:dyDescent="0.25">
      <c r="A47" s="71"/>
      <c r="B47" s="69"/>
      <c r="C47" s="79" t="s">
        <v>118</v>
      </c>
      <c r="D47" s="458">
        <f>SUM(D44:D46)</f>
        <v>10.73</v>
      </c>
      <c r="E47" s="458">
        <f>SUM(E44:E46)</f>
        <v>65.63</v>
      </c>
      <c r="F47" s="465">
        <f>SUM(F44:F46)</f>
        <v>62.260000000000005</v>
      </c>
      <c r="G47" s="230">
        <f t="shared" si="12"/>
        <v>3.3699999999999903</v>
      </c>
      <c r="H47" s="255">
        <f>SUM(H44:H46)</f>
        <v>58.3</v>
      </c>
      <c r="I47" s="315">
        <f>SUM(I44:I46)</f>
        <v>71.87</v>
      </c>
      <c r="J47" s="443"/>
      <c r="K47" s="255">
        <f>H47-I47</f>
        <v>-13.570000000000007</v>
      </c>
      <c r="L47" s="447">
        <f>(ABS(H47-I47))/I47</f>
        <v>0.18881313482677065</v>
      </c>
      <c r="M47" s="464">
        <f>SUM(M41:M43)</f>
        <v>70</v>
      </c>
      <c r="N47" s="25"/>
      <c r="O47" s="478"/>
      <c r="P47" s="25"/>
      <c r="Q47" s="478"/>
      <c r="R47" s="25"/>
      <c r="S47" s="478"/>
      <c r="T47" s="25"/>
      <c r="U47" s="478"/>
      <c r="V47" s="464">
        <f>SUM(N41:N46)</f>
        <v>67.31</v>
      </c>
    </row>
    <row r="48" spans="1:22" x14ac:dyDescent="0.25">
      <c r="A48" s="3" t="s">
        <v>17</v>
      </c>
      <c r="B48" s="15"/>
      <c r="C48" s="3"/>
      <c r="D48" s="37"/>
      <c r="E48" s="99"/>
      <c r="F48" s="65"/>
      <c r="G48" s="111"/>
      <c r="H48" s="70"/>
      <c r="J48" s="319"/>
      <c r="K48" s="70"/>
      <c r="L48" s="299"/>
    </row>
    <row r="49" spans="1:22" x14ac:dyDescent="0.25">
      <c r="A49" s="71"/>
      <c r="B49" s="9" t="s">
        <v>3</v>
      </c>
      <c r="C49" s="9" t="s">
        <v>39</v>
      </c>
      <c r="D49" s="62">
        <v>1.89</v>
      </c>
      <c r="E49" s="126">
        <v>8.3699999999999992</v>
      </c>
      <c r="F49" s="95">
        <v>9.23</v>
      </c>
      <c r="G49" s="126">
        <f>E49-F49</f>
        <v>-0.86000000000000121</v>
      </c>
      <c r="H49" s="286">
        <v>9</v>
      </c>
      <c r="I49" s="282">
        <v>10.07</v>
      </c>
      <c r="J49" s="319">
        <f t="shared" si="3"/>
        <v>5.3280423280423284</v>
      </c>
      <c r="K49" s="70">
        <f>H49-I49</f>
        <v>-1.0700000000000003</v>
      </c>
      <c r="L49" s="284">
        <f>(ABS(H49-I49))/I49</f>
        <v>0.10625620655412117</v>
      </c>
      <c r="M49" s="279">
        <v>10</v>
      </c>
      <c r="N49" s="70">
        <v>7.22</v>
      </c>
    </row>
    <row r="50" spans="1:22" x14ac:dyDescent="0.25">
      <c r="A50" s="71"/>
      <c r="B50" s="9" t="s">
        <v>86</v>
      </c>
      <c r="C50" s="9" t="s">
        <v>31</v>
      </c>
      <c r="D50" s="62">
        <v>0.57999999999999996</v>
      </c>
      <c r="E50" s="126">
        <v>3.04</v>
      </c>
      <c r="F50" s="95">
        <v>2.68</v>
      </c>
      <c r="G50" s="126">
        <f t="shared" ref="G50:G62" si="13">E50-F50</f>
        <v>0.35999999999999988</v>
      </c>
      <c r="H50" s="286">
        <v>3</v>
      </c>
      <c r="I50" s="282">
        <v>3.99</v>
      </c>
      <c r="J50" s="319">
        <f t="shared" si="3"/>
        <v>6.8793103448275872</v>
      </c>
      <c r="K50" s="70">
        <f>H50-I50</f>
        <v>-0.99000000000000021</v>
      </c>
      <c r="L50" s="284">
        <f>(ABS(H50-I50))/I50</f>
        <v>0.24812030075187974</v>
      </c>
      <c r="M50" s="279">
        <v>3</v>
      </c>
      <c r="N50" s="70">
        <v>3.81</v>
      </c>
    </row>
    <row r="51" spans="1:22" x14ac:dyDescent="0.25">
      <c r="A51" s="71"/>
      <c r="B51" s="72" t="s">
        <v>4</v>
      </c>
      <c r="C51" s="9" t="s">
        <v>40</v>
      </c>
      <c r="D51" s="62">
        <v>9.11</v>
      </c>
      <c r="E51" s="126">
        <v>21.02</v>
      </c>
      <c r="F51" s="95">
        <v>31.83</v>
      </c>
      <c r="G51" s="126">
        <f t="shared" si="13"/>
        <v>-10.809999999999999</v>
      </c>
      <c r="H51" s="290">
        <v>25</v>
      </c>
      <c r="I51" s="282">
        <v>22.92</v>
      </c>
      <c r="J51" s="319">
        <f t="shared" si="3"/>
        <v>2.5159165751920969</v>
      </c>
      <c r="K51" s="70">
        <f>H51-I51</f>
        <v>2.0799999999999983</v>
      </c>
      <c r="L51" s="284">
        <f>(ABS(H51-I51))/I51</f>
        <v>9.0750436300174445E-2</v>
      </c>
      <c r="M51" s="279">
        <v>22</v>
      </c>
      <c r="N51" s="70">
        <v>31.27</v>
      </c>
    </row>
    <row r="52" spans="1:22" x14ac:dyDescent="0.25">
      <c r="A52" s="71"/>
      <c r="B52" s="9" t="s">
        <v>89</v>
      </c>
      <c r="C52" s="9" t="s">
        <v>90</v>
      </c>
      <c r="D52" s="62">
        <v>7.34</v>
      </c>
      <c r="E52" s="126">
        <v>51.91</v>
      </c>
      <c r="F52" s="95">
        <v>41.95</v>
      </c>
      <c r="G52" s="126">
        <f t="shared" si="13"/>
        <v>9.9599999999999937</v>
      </c>
      <c r="H52" s="287">
        <v>38</v>
      </c>
      <c r="I52" s="282">
        <v>46.96</v>
      </c>
      <c r="J52" s="319">
        <f t="shared" si="3"/>
        <v>6.3978201634877383</v>
      </c>
      <c r="K52" s="70">
        <f>H52-I52</f>
        <v>-8.9600000000000009</v>
      </c>
      <c r="L52" s="284">
        <f>(ABS(H52-I52))/I52</f>
        <v>0.19080068143100512</v>
      </c>
      <c r="M52" s="279">
        <v>45</v>
      </c>
      <c r="N52" s="70">
        <v>53.62</v>
      </c>
    </row>
    <row r="53" spans="1:22" x14ac:dyDescent="0.25">
      <c r="A53" s="1"/>
      <c r="B53" s="18" t="s">
        <v>7</v>
      </c>
      <c r="C53" s="18" t="s">
        <v>41</v>
      </c>
      <c r="D53" s="129">
        <v>2</v>
      </c>
      <c r="E53" s="140">
        <v>5.38</v>
      </c>
      <c r="F53" s="97">
        <v>7.8</v>
      </c>
      <c r="G53" s="126">
        <f t="shared" si="13"/>
        <v>-2.42</v>
      </c>
      <c r="H53" s="290">
        <v>8</v>
      </c>
      <c r="I53" s="282">
        <v>8.5</v>
      </c>
      <c r="J53" s="319">
        <f t="shared" si="3"/>
        <v>4.25</v>
      </c>
      <c r="K53" s="70"/>
      <c r="L53" s="299"/>
      <c r="M53" s="279">
        <v>8</v>
      </c>
      <c r="N53" s="70">
        <v>11.33</v>
      </c>
    </row>
    <row r="54" spans="1:22" x14ac:dyDescent="0.25">
      <c r="A54" s="71"/>
      <c r="B54" s="18" t="s">
        <v>7</v>
      </c>
      <c r="C54" s="18" t="s">
        <v>42</v>
      </c>
      <c r="D54" s="129">
        <v>2</v>
      </c>
      <c r="E54" s="140">
        <v>2.4</v>
      </c>
      <c r="F54" s="97">
        <v>8.4</v>
      </c>
      <c r="G54" s="126">
        <f t="shared" si="13"/>
        <v>-6</v>
      </c>
      <c r="H54" s="290">
        <v>8</v>
      </c>
      <c r="I54" s="282">
        <v>12.64</v>
      </c>
      <c r="J54" s="319">
        <f t="shared" si="3"/>
        <v>6.32</v>
      </c>
      <c r="K54" s="70">
        <f>H54-I54</f>
        <v>-4.6400000000000006</v>
      </c>
      <c r="L54" s="284">
        <f t="shared" ref="L54:L62" si="14">(ABS(H54-I54))/I54</f>
        <v>0.36708860759493672</v>
      </c>
      <c r="M54" s="279">
        <v>8</v>
      </c>
      <c r="N54" s="70">
        <v>12.47</v>
      </c>
    </row>
    <row r="55" spans="1:22" x14ac:dyDescent="0.25">
      <c r="A55" s="71"/>
      <c r="B55" s="18" t="s">
        <v>7</v>
      </c>
      <c r="C55" s="18" t="s">
        <v>43</v>
      </c>
      <c r="D55" s="129">
        <v>4</v>
      </c>
      <c r="E55" s="140">
        <v>24.55</v>
      </c>
      <c r="F55" s="97">
        <v>16.86</v>
      </c>
      <c r="G55" s="126">
        <f t="shared" si="13"/>
        <v>7.6900000000000013</v>
      </c>
      <c r="H55" s="290">
        <v>16</v>
      </c>
      <c r="I55" s="282">
        <v>26.79</v>
      </c>
      <c r="J55" s="319">
        <f t="shared" si="3"/>
        <v>6.6974999999999998</v>
      </c>
      <c r="K55" s="70">
        <f>H55-I55</f>
        <v>-10.79</v>
      </c>
      <c r="L55" s="284">
        <f t="shared" si="14"/>
        <v>0.40276222471071293</v>
      </c>
      <c r="M55" s="279">
        <v>25</v>
      </c>
      <c r="N55" s="70">
        <v>19.97</v>
      </c>
    </row>
    <row r="56" spans="1:22" x14ac:dyDescent="0.25">
      <c r="A56" s="71"/>
      <c r="B56" s="18" t="s">
        <v>7</v>
      </c>
      <c r="C56" s="18" t="s">
        <v>91</v>
      </c>
      <c r="D56" s="129">
        <v>4.25</v>
      </c>
      <c r="E56" s="140">
        <v>14.49</v>
      </c>
      <c r="F56" s="97">
        <v>17.53</v>
      </c>
      <c r="G56" s="126">
        <f t="shared" si="13"/>
        <v>-3.0400000000000009</v>
      </c>
      <c r="H56" s="290">
        <v>15</v>
      </c>
      <c r="I56" s="282">
        <v>20.67</v>
      </c>
      <c r="J56" s="319">
        <f t="shared" si="3"/>
        <v>4.8635294117647065</v>
      </c>
      <c r="K56" s="70">
        <f>H56-I56</f>
        <v>-5.6700000000000017</v>
      </c>
      <c r="L56" s="284">
        <f t="shared" si="14"/>
        <v>0.27431059506531208</v>
      </c>
      <c r="M56" s="279">
        <v>18</v>
      </c>
      <c r="N56" s="70">
        <v>21.13</v>
      </c>
    </row>
    <row r="57" spans="1:22" x14ac:dyDescent="0.25">
      <c r="A57" s="71"/>
      <c r="B57" s="18" t="s">
        <v>7</v>
      </c>
      <c r="C57" s="72" t="s">
        <v>99</v>
      </c>
      <c r="D57" s="129">
        <v>3</v>
      </c>
      <c r="E57" s="113">
        <v>0</v>
      </c>
      <c r="F57" s="95">
        <v>16.14</v>
      </c>
      <c r="G57" s="126">
        <f t="shared" si="13"/>
        <v>-16.14</v>
      </c>
      <c r="H57" s="290">
        <v>16</v>
      </c>
      <c r="I57" s="282">
        <v>16.84</v>
      </c>
      <c r="J57" s="319">
        <f t="shared" si="3"/>
        <v>5.6133333333333333</v>
      </c>
      <c r="K57" s="70"/>
      <c r="L57" s="284">
        <f t="shared" si="14"/>
        <v>4.9881235154394292E-2</v>
      </c>
      <c r="M57" s="279">
        <v>16</v>
      </c>
      <c r="N57" s="70">
        <v>17.47</v>
      </c>
    </row>
    <row r="58" spans="1:22" x14ac:dyDescent="0.25">
      <c r="A58" s="71"/>
      <c r="B58" s="18" t="s">
        <v>7</v>
      </c>
      <c r="C58" s="72" t="s">
        <v>100</v>
      </c>
      <c r="D58" s="129">
        <v>6.5</v>
      </c>
      <c r="E58" s="113">
        <v>0</v>
      </c>
      <c r="F58" s="95">
        <v>15.06</v>
      </c>
      <c r="G58" s="126">
        <f t="shared" si="13"/>
        <v>-15.06</v>
      </c>
      <c r="H58" s="290">
        <v>15</v>
      </c>
      <c r="I58" s="282">
        <v>14.48</v>
      </c>
      <c r="J58" s="319">
        <f t="shared" si="3"/>
        <v>2.2276923076923079</v>
      </c>
      <c r="K58" s="70">
        <f>H58-I58</f>
        <v>0.51999999999999957</v>
      </c>
      <c r="L58" s="301">
        <f t="shared" si="14"/>
        <v>3.5911602209944722E-2</v>
      </c>
      <c r="M58" s="279">
        <v>0</v>
      </c>
    </row>
    <row r="59" spans="1:22" x14ac:dyDescent="0.25">
      <c r="A59" s="69"/>
      <c r="B59" s="12"/>
      <c r="C59" s="151" t="s">
        <v>115</v>
      </c>
      <c r="D59" s="176">
        <f>D49+D51</f>
        <v>11</v>
      </c>
      <c r="E59" s="187">
        <f>SUM(E49,E51)</f>
        <v>29.39</v>
      </c>
      <c r="F59" s="176">
        <f>SUM(F49,F51)</f>
        <v>41.06</v>
      </c>
      <c r="G59" s="161">
        <f t="shared" si="13"/>
        <v>-11.670000000000002</v>
      </c>
      <c r="H59" s="70">
        <f>SUM(H51,H49)</f>
        <v>34</v>
      </c>
      <c r="I59" s="282">
        <f>SUM(I51,I49)</f>
        <v>32.99</v>
      </c>
      <c r="J59" s="319"/>
      <c r="K59" s="70">
        <f>H59-I59</f>
        <v>1.009999999999998</v>
      </c>
      <c r="L59" s="284">
        <f t="shared" si="14"/>
        <v>3.0615337981206366E-2</v>
      </c>
    </row>
    <row r="60" spans="1:22" x14ac:dyDescent="0.25">
      <c r="A60" s="71"/>
      <c r="B60" s="12"/>
      <c r="C60" s="145" t="s">
        <v>119</v>
      </c>
      <c r="D60" s="149">
        <f>SUM(D50,D52)</f>
        <v>7.92</v>
      </c>
      <c r="E60" s="165">
        <f>SUM(E50,E52)</f>
        <v>54.949999999999996</v>
      </c>
      <c r="F60" s="149">
        <f>SUM(F50,F52)</f>
        <v>44.63</v>
      </c>
      <c r="G60" s="171">
        <f t="shared" si="13"/>
        <v>10.319999999999993</v>
      </c>
      <c r="H60" s="70">
        <f>SUM(H50,H52)</f>
        <v>41</v>
      </c>
      <c r="I60" s="282">
        <f>SUM(I50,I52)</f>
        <v>50.95</v>
      </c>
      <c r="J60" s="319"/>
      <c r="K60" s="70">
        <f>H60-I60</f>
        <v>-9.9500000000000028</v>
      </c>
      <c r="L60" s="284">
        <f t="shared" si="14"/>
        <v>0.19528949950932292</v>
      </c>
    </row>
    <row r="61" spans="1:22" ht="15.75" thickBot="1" x14ac:dyDescent="0.3">
      <c r="A61" s="71"/>
      <c r="B61" s="69"/>
      <c r="C61" s="150" t="s">
        <v>117</v>
      </c>
      <c r="D61" s="183">
        <f>SUM(D53:D58)</f>
        <v>21.75</v>
      </c>
      <c r="E61" s="188">
        <v>46.82</v>
      </c>
      <c r="F61" s="183">
        <f>SUM(F53:F58)</f>
        <v>81.790000000000006</v>
      </c>
      <c r="G61" s="169">
        <f t="shared" si="13"/>
        <v>-34.970000000000006</v>
      </c>
      <c r="H61" s="70">
        <f>SUM(H53:H58)</f>
        <v>78</v>
      </c>
      <c r="I61" s="282">
        <f>SUM(I53:I58)</f>
        <v>99.92</v>
      </c>
      <c r="J61" s="319"/>
      <c r="K61" s="70">
        <f>H61-I61</f>
        <v>-21.92</v>
      </c>
      <c r="L61" s="284">
        <f t="shared" si="14"/>
        <v>0.21937550040032028</v>
      </c>
    </row>
    <row r="62" spans="1:22" s="255" customFormat="1" ht="15.75" thickTop="1" x14ac:dyDescent="0.25">
      <c r="A62" s="44"/>
      <c r="B62" s="25"/>
      <c r="C62" s="473" t="s">
        <v>9</v>
      </c>
      <c r="D62" s="456">
        <f>SUM(D59:D61)</f>
        <v>40.67</v>
      </c>
      <c r="E62" s="457">
        <f>SUM(E59:E61)</f>
        <v>131.16</v>
      </c>
      <c r="F62" s="474">
        <f>SUM(F59:F61)</f>
        <v>167.48000000000002</v>
      </c>
      <c r="G62" s="230">
        <f t="shared" si="13"/>
        <v>-36.320000000000022</v>
      </c>
      <c r="H62" s="255">
        <f>SUM(H59:H61)</f>
        <v>153</v>
      </c>
      <c r="I62" s="297">
        <f>SUM(I59:I61)</f>
        <v>183.86</v>
      </c>
      <c r="J62" s="443"/>
      <c r="K62" s="255">
        <f>H62-I62</f>
        <v>-30.860000000000014</v>
      </c>
      <c r="L62" s="447">
        <f t="shared" si="14"/>
        <v>0.16784509953225285</v>
      </c>
      <c r="M62" s="463">
        <f>SUM(M49:M58)</f>
        <v>155</v>
      </c>
      <c r="O62" s="291"/>
      <c r="Q62" s="291"/>
      <c r="S62" s="291"/>
      <c r="U62" s="291"/>
      <c r="V62" s="464">
        <f>SUM(N49:N61)</f>
        <v>178.29</v>
      </c>
    </row>
    <row r="63" spans="1:22" x14ac:dyDescent="0.25">
      <c r="A63" s="1" t="s">
        <v>19</v>
      </c>
      <c r="B63" s="9" t="s">
        <v>3</v>
      </c>
      <c r="C63" s="9" t="s">
        <v>185</v>
      </c>
      <c r="D63" s="87"/>
      <c r="E63" s="114"/>
      <c r="F63" s="65"/>
      <c r="G63" s="115"/>
      <c r="H63" s="70"/>
      <c r="J63" s="319"/>
      <c r="K63" s="70"/>
      <c r="L63" s="299"/>
      <c r="N63" s="70">
        <v>17.600000000000001</v>
      </c>
    </row>
    <row r="64" spans="1:22" s="70" customFormat="1" x14ac:dyDescent="0.25">
      <c r="A64" s="1"/>
      <c r="B64" s="9"/>
      <c r="C64" s="9" t="s">
        <v>199</v>
      </c>
      <c r="D64" s="87"/>
      <c r="E64" s="114"/>
      <c r="F64" s="65"/>
      <c r="G64" s="115"/>
      <c r="I64" s="282"/>
      <c r="J64" s="319"/>
      <c r="L64" s="299"/>
      <c r="M64" s="279"/>
      <c r="N64" s="70">
        <v>1.36</v>
      </c>
      <c r="O64" s="268"/>
      <c r="Q64" s="268"/>
      <c r="S64" s="268"/>
      <c r="U64" s="268"/>
      <c r="V64" s="481"/>
    </row>
    <row r="65" spans="1:22" x14ac:dyDescent="0.25">
      <c r="A65" s="71"/>
      <c r="B65" s="9" t="s">
        <v>3</v>
      </c>
      <c r="C65" s="9" t="s">
        <v>186</v>
      </c>
      <c r="D65" s="39">
        <v>4.43</v>
      </c>
      <c r="E65" s="126">
        <v>7.02</v>
      </c>
      <c r="F65" s="95">
        <v>12.88</v>
      </c>
      <c r="G65" s="171">
        <f>E65-F65</f>
        <v>-5.8600000000000012</v>
      </c>
      <c r="H65" s="288">
        <v>15</v>
      </c>
      <c r="I65" s="315">
        <v>18.329999999999998</v>
      </c>
      <c r="J65" s="443">
        <f t="shared" si="3"/>
        <v>4.1376975169300225</v>
      </c>
      <c r="K65" s="255">
        <f>H65-I65</f>
        <v>-3.3299999999999983</v>
      </c>
      <c r="L65" s="447">
        <f>(ABS(H65-I65))/I65</f>
        <v>0.18166939443535179</v>
      </c>
      <c r="M65" s="464">
        <v>18</v>
      </c>
      <c r="N65" s="255">
        <v>5.1100000000000003</v>
      </c>
      <c r="O65" s="291"/>
      <c r="P65" s="255"/>
      <c r="Q65" s="291"/>
      <c r="R65" s="255"/>
      <c r="S65" s="291"/>
      <c r="T65" s="255"/>
      <c r="U65" s="291"/>
      <c r="V65" s="464">
        <f>SUM(N63:N65)</f>
        <v>24.07</v>
      </c>
    </row>
    <row r="66" spans="1:22" x14ac:dyDescent="0.25">
      <c r="A66" s="3" t="s">
        <v>21</v>
      </c>
      <c r="B66" s="15"/>
      <c r="C66" s="3"/>
      <c r="D66" s="37"/>
      <c r="E66" s="99"/>
      <c r="F66" s="83"/>
      <c r="G66" s="118"/>
      <c r="H66" s="70"/>
      <c r="J66" s="319"/>
      <c r="K66" s="70"/>
      <c r="L66" s="299"/>
    </row>
    <row r="67" spans="1:22" x14ac:dyDescent="0.25">
      <c r="A67" s="71"/>
      <c r="B67" s="9" t="s">
        <v>3</v>
      </c>
      <c r="C67" s="9" t="s">
        <v>44</v>
      </c>
      <c r="D67" s="39">
        <v>3.55</v>
      </c>
      <c r="E67" s="126">
        <v>13.77</v>
      </c>
      <c r="F67" s="95">
        <v>22</v>
      </c>
      <c r="G67" s="126">
        <f>E67-F67</f>
        <v>-8.23</v>
      </c>
      <c r="H67" s="286">
        <v>21.8</v>
      </c>
      <c r="I67" s="282">
        <v>18.940000000000001</v>
      </c>
      <c r="J67" s="319">
        <f t="shared" si="3"/>
        <v>5.3352112676056347</v>
      </c>
      <c r="K67" s="70">
        <f t="shared" ref="K67:K74" si="15">H67-I67</f>
        <v>2.8599999999999994</v>
      </c>
      <c r="L67" s="284">
        <f t="shared" ref="L67:L74" si="16">(ABS(H67-I67))/I67</f>
        <v>0.15100316789862719</v>
      </c>
      <c r="M67" s="279">
        <v>20</v>
      </c>
      <c r="N67" s="70">
        <v>17.079999999999998</v>
      </c>
    </row>
    <row r="68" spans="1:22" x14ac:dyDescent="0.25">
      <c r="A68" s="71"/>
      <c r="B68" s="9" t="s">
        <v>86</v>
      </c>
      <c r="C68" s="9" t="s">
        <v>45</v>
      </c>
      <c r="D68" s="39">
        <v>1.9</v>
      </c>
      <c r="E68" s="126">
        <v>7.47</v>
      </c>
      <c r="F68" s="95">
        <v>8.77</v>
      </c>
      <c r="G68" s="126">
        <f t="shared" ref="G68:G74" si="17">E68-F68</f>
        <v>-1.2999999999999998</v>
      </c>
      <c r="H68" s="234">
        <v>11.8</v>
      </c>
      <c r="I68" s="282">
        <v>8.73</v>
      </c>
      <c r="J68" s="319">
        <f t="shared" si="3"/>
        <v>4.5947368421052639</v>
      </c>
      <c r="K68" s="70">
        <f t="shared" si="15"/>
        <v>3.0700000000000003</v>
      </c>
      <c r="L68" s="284">
        <f t="shared" si="16"/>
        <v>0.3516609392898053</v>
      </c>
      <c r="M68" s="279">
        <v>8</v>
      </c>
      <c r="N68" s="70">
        <v>11.12</v>
      </c>
    </row>
    <row r="69" spans="1:22" s="70" customFormat="1" x14ac:dyDescent="0.25">
      <c r="A69" s="71"/>
      <c r="B69" s="9" t="s">
        <v>191</v>
      </c>
      <c r="C69" s="9" t="s">
        <v>192</v>
      </c>
      <c r="D69" s="39">
        <v>5</v>
      </c>
      <c r="E69" s="126"/>
      <c r="F69" s="95"/>
      <c r="G69" s="126"/>
      <c r="H69" s="234"/>
      <c r="I69" s="282"/>
      <c r="J69" s="319"/>
      <c r="L69" s="284"/>
      <c r="M69" s="279">
        <v>10</v>
      </c>
      <c r="N69" s="70">
        <v>12</v>
      </c>
      <c r="O69" s="268"/>
      <c r="Q69" s="268"/>
      <c r="S69" s="268"/>
      <c r="U69" s="268"/>
      <c r="V69" s="475"/>
    </row>
    <row r="70" spans="1:22" x14ac:dyDescent="0.25">
      <c r="A70" s="71"/>
      <c r="B70" s="18" t="s">
        <v>7</v>
      </c>
      <c r="C70" s="18" t="s">
        <v>92</v>
      </c>
      <c r="D70" s="129">
        <v>9.1</v>
      </c>
      <c r="E70" s="140">
        <v>40.96</v>
      </c>
      <c r="F70" s="97">
        <v>34.729999999999997</v>
      </c>
      <c r="G70" s="126">
        <f t="shared" si="17"/>
        <v>6.230000000000004</v>
      </c>
      <c r="H70" s="290">
        <v>35</v>
      </c>
      <c r="I70" s="282">
        <v>51.36</v>
      </c>
      <c r="J70" s="319">
        <f t="shared" si="3"/>
        <v>5.6439560439560443</v>
      </c>
      <c r="K70" s="70">
        <f t="shared" si="15"/>
        <v>-16.36</v>
      </c>
      <c r="L70" s="284">
        <f t="shared" si="16"/>
        <v>0.31853582554517135</v>
      </c>
      <c r="M70" s="279">
        <v>35</v>
      </c>
      <c r="N70" s="70">
        <v>29.45</v>
      </c>
    </row>
    <row r="71" spans="1:22" x14ac:dyDescent="0.25">
      <c r="A71" s="71"/>
      <c r="B71" s="12"/>
      <c r="C71" s="151" t="s">
        <v>115</v>
      </c>
      <c r="D71" s="198">
        <v>3.55</v>
      </c>
      <c r="E71" s="187">
        <v>13.77</v>
      </c>
      <c r="F71" s="176">
        <v>22</v>
      </c>
      <c r="G71" s="161">
        <f t="shared" si="17"/>
        <v>-8.23</v>
      </c>
      <c r="H71" s="70">
        <f>H67</f>
        <v>21.8</v>
      </c>
      <c r="I71" s="282">
        <f>I67</f>
        <v>18.940000000000001</v>
      </c>
      <c r="J71" s="319"/>
      <c r="K71" s="70">
        <f t="shared" si="15"/>
        <v>2.8599999999999994</v>
      </c>
      <c r="L71" s="284">
        <f t="shared" si="16"/>
        <v>0.15100316789862719</v>
      </c>
    </row>
    <row r="72" spans="1:22" x14ac:dyDescent="0.25">
      <c r="A72" s="71"/>
      <c r="B72" s="12"/>
      <c r="C72" s="71" t="s">
        <v>119</v>
      </c>
      <c r="D72" s="199">
        <v>1.9</v>
      </c>
      <c r="E72" s="165">
        <v>7.47</v>
      </c>
      <c r="F72" s="149">
        <v>8.77</v>
      </c>
      <c r="G72" s="171">
        <f t="shared" si="17"/>
        <v>-1.2999999999999998</v>
      </c>
      <c r="H72" s="70">
        <f>H68</f>
        <v>11.8</v>
      </c>
      <c r="I72" s="282">
        <f>I68</f>
        <v>8.73</v>
      </c>
      <c r="J72" s="319"/>
      <c r="K72" s="70">
        <f t="shared" si="15"/>
        <v>3.0700000000000003</v>
      </c>
      <c r="L72" s="284">
        <f t="shared" si="16"/>
        <v>0.3516609392898053</v>
      </c>
    </row>
    <row r="73" spans="1:22" ht="15.75" thickBot="1" x14ac:dyDescent="0.3">
      <c r="A73" s="71"/>
      <c r="B73" s="69"/>
      <c r="C73" s="156" t="s">
        <v>117</v>
      </c>
      <c r="D73" s="200">
        <v>9.1</v>
      </c>
      <c r="E73" s="188">
        <v>40.96</v>
      </c>
      <c r="F73" s="183">
        <v>34.729999999999997</v>
      </c>
      <c r="G73" s="169">
        <f t="shared" si="17"/>
        <v>6.230000000000004</v>
      </c>
      <c r="H73" s="290">
        <f t="shared" ref="H73:I73" si="18">H70</f>
        <v>35</v>
      </c>
      <c r="I73" s="282">
        <f t="shared" si="18"/>
        <v>51.36</v>
      </c>
      <c r="J73" s="319"/>
      <c r="K73" s="70">
        <f t="shared" si="15"/>
        <v>-16.36</v>
      </c>
      <c r="L73" s="284">
        <f t="shared" si="16"/>
        <v>0.31853582554517135</v>
      </c>
    </row>
    <row r="74" spans="1:22" ht="15.75" thickTop="1" x14ac:dyDescent="0.25">
      <c r="A74" s="71"/>
      <c r="B74" s="9"/>
      <c r="C74" s="79" t="s">
        <v>118</v>
      </c>
      <c r="D74" s="456">
        <f>SUM(D71:D73)</f>
        <v>14.549999999999999</v>
      </c>
      <c r="E74" s="457">
        <f t="shared" ref="E74:F74" si="19">SUM(E71:E73)</f>
        <v>62.2</v>
      </c>
      <c r="F74" s="186">
        <f t="shared" si="19"/>
        <v>65.5</v>
      </c>
      <c r="G74" s="171">
        <f t="shared" si="17"/>
        <v>-3.2999999999999972</v>
      </c>
      <c r="H74" s="70">
        <f>SUM(H71:H72)</f>
        <v>33.6</v>
      </c>
      <c r="I74" s="315">
        <f>SUM(I71:I73)</f>
        <v>79.03</v>
      </c>
      <c r="J74" s="443"/>
      <c r="K74" s="255">
        <f t="shared" si="15"/>
        <v>-45.43</v>
      </c>
      <c r="L74" s="447">
        <f t="shared" si="16"/>
        <v>0.57484499557130198</v>
      </c>
      <c r="M74" s="464">
        <f>SUM(M67:M70)</f>
        <v>73</v>
      </c>
      <c r="N74" s="255"/>
      <c r="O74" s="291"/>
      <c r="P74" s="255"/>
      <c r="Q74" s="291"/>
      <c r="R74" s="255"/>
      <c r="S74" s="291"/>
      <c r="T74" s="255"/>
      <c r="U74" s="291"/>
      <c r="V74" s="464">
        <f>SUM(N67:N70)</f>
        <v>69.649999999999991</v>
      </c>
    </row>
    <row r="75" spans="1:22" x14ac:dyDescent="0.25">
      <c r="A75" s="3" t="s">
        <v>23</v>
      </c>
      <c r="B75" s="15"/>
      <c r="C75" s="15"/>
      <c r="D75" s="42"/>
      <c r="E75" s="99"/>
      <c r="F75" s="83"/>
      <c r="G75" s="118"/>
      <c r="H75" s="70"/>
      <c r="J75" s="319"/>
      <c r="K75" s="70"/>
      <c r="L75" s="299"/>
    </row>
    <row r="76" spans="1:22" s="70" customFormat="1" x14ac:dyDescent="0.25">
      <c r="A76" s="1"/>
      <c r="B76" s="8" t="s">
        <v>191</v>
      </c>
      <c r="C76" s="8" t="s">
        <v>193</v>
      </c>
      <c r="D76" s="466">
        <v>0.5</v>
      </c>
      <c r="E76" s="114"/>
      <c r="F76" s="65"/>
      <c r="G76" s="111"/>
      <c r="I76" s="282"/>
      <c r="J76" s="319"/>
      <c r="L76" s="299"/>
      <c r="M76" s="279">
        <v>1</v>
      </c>
      <c r="N76" s="70">
        <v>0.48</v>
      </c>
      <c r="O76" s="268"/>
      <c r="Q76" s="268"/>
      <c r="S76" s="268"/>
      <c r="U76" s="268"/>
      <c r="V76" s="475"/>
    </row>
    <row r="77" spans="1:22" s="70" customFormat="1" x14ac:dyDescent="0.25">
      <c r="A77" s="1"/>
      <c r="B77" s="8" t="s">
        <v>189</v>
      </c>
      <c r="C77" s="8"/>
      <c r="D77" s="466">
        <v>2</v>
      </c>
      <c r="E77" s="114"/>
      <c r="F77" s="65"/>
      <c r="G77" s="111"/>
      <c r="I77" s="282"/>
      <c r="J77" s="319"/>
      <c r="L77" s="299"/>
      <c r="M77" s="279">
        <v>2</v>
      </c>
      <c r="N77" s="70">
        <v>1.5</v>
      </c>
      <c r="O77" s="268"/>
      <c r="Q77" s="268"/>
      <c r="S77" s="268"/>
      <c r="U77" s="268"/>
      <c r="V77" s="475"/>
    </row>
    <row r="78" spans="1:22" x14ac:dyDescent="0.25">
      <c r="A78" s="71"/>
      <c r="B78" s="18" t="s">
        <v>7</v>
      </c>
      <c r="C78" s="18" t="s">
        <v>42</v>
      </c>
      <c r="D78" s="129">
        <v>6</v>
      </c>
      <c r="E78" s="140">
        <v>16.170000000000002</v>
      </c>
      <c r="F78" s="97">
        <v>27.14</v>
      </c>
      <c r="G78" s="126">
        <f>E78-F78</f>
        <v>-10.969999999999999</v>
      </c>
      <c r="H78" s="290">
        <v>24</v>
      </c>
      <c r="I78" s="282">
        <v>32.29</v>
      </c>
      <c r="J78" s="319">
        <f t="shared" ref="J78:J139" si="20">I78/D78</f>
        <v>5.3816666666666668</v>
      </c>
      <c r="K78" s="70">
        <f t="shared" ref="K78:K84" si="21">H78-I78</f>
        <v>-8.2899999999999991</v>
      </c>
      <c r="L78" s="284">
        <f t="shared" ref="L78:L84" si="22">(ABS(H78-I78))/I78</f>
        <v>0.25673583152678847</v>
      </c>
      <c r="M78" s="279">
        <v>30</v>
      </c>
      <c r="N78" s="70">
        <v>16.05</v>
      </c>
    </row>
    <row r="79" spans="1:22" x14ac:dyDescent="0.25">
      <c r="A79" s="71"/>
      <c r="B79" s="18" t="s">
        <v>7</v>
      </c>
      <c r="C79" s="18" t="s">
        <v>46</v>
      </c>
      <c r="D79" s="129">
        <v>3.8</v>
      </c>
      <c r="E79" s="140">
        <v>11.46</v>
      </c>
      <c r="F79" s="97">
        <v>16.02</v>
      </c>
      <c r="G79" s="126">
        <f t="shared" ref="G79:G84" si="23">E79-F79</f>
        <v>-4.5599999999999987</v>
      </c>
      <c r="H79" s="290">
        <v>15</v>
      </c>
      <c r="I79" s="282">
        <v>19.010000000000002</v>
      </c>
      <c r="J79" s="319">
        <f t="shared" si="20"/>
        <v>5.0026315789473692</v>
      </c>
      <c r="K79" s="70">
        <f t="shared" si="21"/>
        <v>-4.0100000000000016</v>
      </c>
      <c r="L79" s="284">
        <f t="shared" si="22"/>
        <v>0.21094160967911632</v>
      </c>
      <c r="M79" s="279">
        <v>18</v>
      </c>
      <c r="N79" s="70">
        <v>11.75</v>
      </c>
    </row>
    <row r="80" spans="1:22" x14ac:dyDescent="0.25">
      <c r="A80" s="71"/>
      <c r="B80" s="18" t="s">
        <v>7</v>
      </c>
      <c r="C80" s="18" t="s">
        <v>47</v>
      </c>
      <c r="D80" s="129">
        <v>2.5</v>
      </c>
      <c r="E80" s="140">
        <v>8.6</v>
      </c>
      <c r="F80" s="97">
        <v>11.9</v>
      </c>
      <c r="G80" s="126">
        <f t="shared" si="23"/>
        <v>-3.3000000000000007</v>
      </c>
      <c r="H80" s="290">
        <v>10</v>
      </c>
      <c r="I80" s="282">
        <v>17.97</v>
      </c>
      <c r="J80" s="319">
        <f t="shared" si="20"/>
        <v>7.1879999999999997</v>
      </c>
      <c r="K80" s="70">
        <f t="shared" si="21"/>
        <v>-7.9699999999999989</v>
      </c>
      <c r="L80" s="284">
        <f t="shared" si="22"/>
        <v>0.44351697273233165</v>
      </c>
      <c r="M80" s="279">
        <v>15</v>
      </c>
      <c r="N80" s="70">
        <v>12.06</v>
      </c>
    </row>
    <row r="81" spans="1:22" x14ac:dyDescent="0.25">
      <c r="A81" s="71"/>
      <c r="B81" s="18" t="s">
        <v>7</v>
      </c>
      <c r="C81" s="18" t="s">
        <v>91</v>
      </c>
      <c r="D81" s="129">
        <v>1.75</v>
      </c>
      <c r="E81" s="140">
        <v>4.2300000000000004</v>
      </c>
      <c r="F81" s="97">
        <v>7.49</v>
      </c>
      <c r="G81" s="126">
        <f t="shared" si="23"/>
        <v>-3.26</v>
      </c>
      <c r="H81" s="290">
        <v>5</v>
      </c>
      <c r="I81" s="282">
        <v>7.68</v>
      </c>
      <c r="J81" s="319">
        <f t="shared" si="20"/>
        <v>4.3885714285714288</v>
      </c>
      <c r="K81" s="70">
        <f t="shared" si="21"/>
        <v>-2.6799999999999997</v>
      </c>
      <c r="L81" s="284">
        <f t="shared" si="22"/>
        <v>0.34895833333333331</v>
      </c>
      <c r="M81" s="279">
        <v>7</v>
      </c>
      <c r="N81" s="70">
        <v>6.96</v>
      </c>
    </row>
    <row r="82" spans="1:22" x14ac:dyDescent="0.25">
      <c r="A82" s="71"/>
      <c r="B82" s="18" t="s">
        <v>7</v>
      </c>
      <c r="C82" s="201" t="s">
        <v>79</v>
      </c>
      <c r="D82" s="202">
        <v>5</v>
      </c>
      <c r="E82" s="206">
        <v>30.25</v>
      </c>
      <c r="F82" s="207">
        <v>30.74</v>
      </c>
      <c r="G82" s="218">
        <f t="shared" si="23"/>
        <v>-0.48999999999999844</v>
      </c>
      <c r="H82" s="290">
        <v>25</v>
      </c>
      <c r="I82" s="282">
        <v>32.56</v>
      </c>
      <c r="J82" s="319">
        <f t="shared" si="20"/>
        <v>6.5120000000000005</v>
      </c>
      <c r="K82" s="70">
        <f t="shared" si="21"/>
        <v>-7.5600000000000023</v>
      </c>
      <c r="L82" s="284">
        <f t="shared" si="22"/>
        <v>0.23218673218673225</v>
      </c>
      <c r="M82" s="279">
        <v>30</v>
      </c>
      <c r="N82" s="70">
        <v>30</v>
      </c>
    </row>
    <row r="83" spans="1:22" ht="15.75" thickBot="1" x14ac:dyDescent="0.3">
      <c r="A83" s="71"/>
      <c r="B83" s="69"/>
      <c r="C83" s="211" t="s">
        <v>117</v>
      </c>
      <c r="D83" s="183">
        <f>SUM(D78:D82)</f>
        <v>19.05</v>
      </c>
      <c r="E83" s="188">
        <f>SUM(E78:E82)</f>
        <v>70.710000000000008</v>
      </c>
      <c r="F83" s="183">
        <f>SUM(F78:F82)</f>
        <v>93.289999999999992</v>
      </c>
      <c r="G83" s="169">
        <f t="shared" si="23"/>
        <v>-22.579999999999984</v>
      </c>
      <c r="H83" s="70">
        <f>SUM(H78:H82)</f>
        <v>79</v>
      </c>
      <c r="I83" s="282">
        <f>SUM(I78:I82)</f>
        <v>109.50999999999999</v>
      </c>
      <c r="J83" s="319"/>
      <c r="K83" s="70">
        <f t="shared" si="21"/>
        <v>-30.509999999999991</v>
      </c>
      <c r="L83" s="284">
        <f t="shared" si="22"/>
        <v>0.2786046936352844</v>
      </c>
    </row>
    <row r="84" spans="1:22" ht="15.75" thickTop="1" x14ac:dyDescent="0.25">
      <c r="A84" s="71"/>
      <c r="B84" s="69"/>
      <c r="C84" s="212" t="s">
        <v>118</v>
      </c>
      <c r="D84" s="186">
        <v>19.05</v>
      </c>
      <c r="E84" s="165">
        <v>70.709999999999994</v>
      </c>
      <c r="F84" s="149">
        <v>93.29</v>
      </c>
      <c r="G84" s="171">
        <f t="shared" si="23"/>
        <v>-22.580000000000013</v>
      </c>
      <c r="H84" s="70">
        <f>SUM(H83:H83)</f>
        <v>79</v>
      </c>
      <c r="I84" s="315">
        <f>SUM(I83:I83)</f>
        <v>109.50999999999999</v>
      </c>
      <c r="J84" s="443"/>
      <c r="K84" s="255">
        <f t="shared" si="21"/>
        <v>-30.509999999999991</v>
      </c>
      <c r="L84" s="447">
        <f t="shared" si="22"/>
        <v>0.2786046936352844</v>
      </c>
      <c r="M84" s="463">
        <f>SUM(M76:M82)</f>
        <v>103</v>
      </c>
      <c r="N84" s="255"/>
      <c r="O84" s="291"/>
      <c r="P84" s="255"/>
      <c r="Q84" s="291"/>
      <c r="R84" s="255"/>
      <c r="S84" s="291"/>
      <c r="T84" s="255"/>
      <c r="U84" s="291"/>
      <c r="V84" s="464">
        <f>SUM(N76:N83)</f>
        <v>78.800000000000011</v>
      </c>
    </row>
    <row r="85" spans="1:22" x14ac:dyDescent="0.25">
      <c r="A85" s="3" t="s">
        <v>48</v>
      </c>
      <c r="B85" s="15"/>
      <c r="C85" s="3"/>
      <c r="D85" s="37"/>
      <c r="E85" s="99"/>
      <c r="F85" s="83"/>
      <c r="G85" s="118"/>
      <c r="H85" s="70"/>
      <c r="J85" s="319"/>
      <c r="K85" s="70"/>
      <c r="L85" s="299"/>
    </row>
    <row r="86" spans="1:22" x14ac:dyDescent="0.25">
      <c r="A86" s="71"/>
      <c r="B86" s="9" t="s">
        <v>3</v>
      </c>
      <c r="C86" s="9" t="s">
        <v>49</v>
      </c>
      <c r="D86" s="39">
        <v>5.07</v>
      </c>
      <c r="E86" s="126">
        <v>21.98</v>
      </c>
      <c r="F86" s="95">
        <v>16.75</v>
      </c>
      <c r="G86" s="126">
        <f>E86-F86</f>
        <v>5.23</v>
      </c>
      <c r="H86" s="288">
        <v>25</v>
      </c>
      <c r="I86" s="282">
        <v>30.52</v>
      </c>
      <c r="J86" s="319">
        <f t="shared" si="20"/>
        <v>6.0197238658777117</v>
      </c>
      <c r="K86" s="70">
        <f t="shared" ref="K86:K94" si="24">H86-I86</f>
        <v>-5.52</v>
      </c>
      <c r="L86" s="284">
        <f t="shared" ref="L86:L94" si="25">(ABS(H86-I86))/I86</f>
        <v>0.18086500655307994</v>
      </c>
      <c r="M86" s="279">
        <v>30</v>
      </c>
      <c r="N86" s="70">
        <v>29.91</v>
      </c>
      <c r="V86" s="6"/>
    </row>
    <row r="87" spans="1:22" x14ac:dyDescent="0.25">
      <c r="A87" s="71"/>
      <c r="B87" s="9" t="s">
        <v>86</v>
      </c>
      <c r="C87" s="9" t="s">
        <v>50</v>
      </c>
      <c r="D87" s="39">
        <v>1.23</v>
      </c>
      <c r="E87" s="126">
        <v>6.64</v>
      </c>
      <c r="F87" s="95">
        <v>5.35</v>
      </c>
      <c r="G87" s="126">
        <f t="shared" ref="G87:G99" si="26">E87-F87</f>
        <v>1.29</v>
      </c>
      <c r="H87" s="286">
        <v>4.8</v>
      </c>
      <c r="J87" s="319"/>
      <c r="K87" s="70">
        <f t="shared" si="24"/>
        <v>4.8</v>
      </c>
      <c r="L87" s="284" t="e">
        <f t="shared" si="25"/>
        <v>#DIV/0!</v>
      </c>
      <c r="N87" s="70">
        <v>2.7</v>
      </c>
      <c r="P87" s="70"/>
      <c r="V87" s="6"/>
    </row>
    <row r="88" spans="1:22" x14ac:dyDescent="0.25">
      <c r="A88" s="71"/>
      <c r="B88" s="9" t="s">
        <v>86</v>
      </c>
      <c r="C88" s="9" t="s">
        <v>51</v>
      </c>
      <c r="D88" s="39">
        <v>1.58</v>
      </c>
      <c r="E88" s="126">
        <v>7.57</v>
      </c>
      <c r="F88" s="95">
        <v>4.91</v>
      </c>
      <c r="G88" s="126">
        <f t="shared" si="26"/>
        <v>2.66</v>
      </c>
      <c r="H88" s="286">
        <v>3.6</v>
      </c>
      <c r="J88" s="319"/>
      <c r="K88" s="70">
        <f t="shared" si="24"/>
        <v>3.6</v>
      </c>
      <c r="L88" s="284" t="e">
        <f t="shared" si="25"/>
        <v>#DIV/0!</v>
      </c>
      <c r="N88" s="70">
        <v>17.79</v>
      </c>
      <c r="P88" s="70"/>
      <c r="R88" s="70"/>
      <c r="V88" s="6"/>
    </row>
    <row r="89" spans="1:22" x14ac:dyDescent="0.25">
      <c r="A89" s="71"/>
      <c r="B89" s="9" t="s">
        <v>86</v>
      </c>
      <c r="C89" s="9" t="s">
        <v>11</v>
      </c>
      <c r="D89" s="39">
        <v>0.21</v>
      </c>
      <c r="E89" s="126">
        <v>1.69</v>
      </c>
      <c r="F89" s="95">
        <v>0.92</v>
      </c>
      <c r="G89" s="126">
        <f t="shared" si="26"/>
        <v>0.76999999999999991</v>
      </c>
      <c r="H89" s="286">
        <v>0.9</v>
      </c>
      <c r="J89" s="319"/>
      <c r="K89" s="70">
        <f t="shared" si="24"/>
        <v>0.9</v>
      </c>
      <c r="L89" s="284" t="e">
        <f t="shared" si="25"/>
        <v>#DIV/0!</v>
      </c>
      <c r="N89" s="70">
        <v>6.34</v>
      </c>
      <c r="P89" s="70"/>
      <c r="R89" s="70"/>
      <c r="V89" s="6"/>
    </row>
    <row r="90" spans="1:22" x14ac:dyDescent="0.25">
      <c r="A90" s="1"/>
      <c r="B90" s="9" t="s">
        <v>86</v>
      </c>
      <c r="C90" s="9" t="s">
        <v>52</v>
      </c>
      <c r="D90" s="39">
        <v>0.68</v>
      </c>
      <c r="E90" s="126">
        <v>2.8</v>
      </c>
      <c r="F90" s="95">
        <v>0.75</v>
      </c>
      <c r="G90" s="126">
        <f t="shared" si="26"/>
        <v>2.0499999999999998</v>
      </c>
      <c r="H90" s="286">
        <v>2.5</v>
      </c>
      <c r="J90" s="319"/>
      <c r="K90" s="70">
        <f t="shared" si="24"/>
        <v>2.5</v>
      </c>
      <c r="L90" s="284" t="e">
        <f t="shared" si="25"/>
        <v>#DIV/0!</v>
      </c>
      <c r="P90" s="70"/>
      <c r="R90" s="70"/>
      <c r="V90" s="6"/>
    </row>
    <row r="91" spans="1:22" x14ac:dyDescent="0.25">
      <c r="A91" s="71"/>
      <c r="B91" s="9" t="s">
        <v>86</v>
      </c>
      <c r="C91" s="9" t="s">
        <v>53</v>
      </c>
      <c r="D91" s="39">
        <v>0.74</v>
      </c>
      <c r="E91" s="126">
        <v>4.0599999999999996</v>
      </c>
      <c r="F91" s="95">
        <v>6.08</v>
      </c>
      <c r="G91" s="126">
        <f t="shared" si="26"/>
        <v>-2.0200000000000005</v>
      </c>
      <c r="H91" s="286">
        <v>6.2</v>
      </c>
      <c r="J91" s="319"/>
      <c r="K91" s="70">
        <f t="shared" si="24"/>
        <v>6.2</v>
      </c>
      <c r="L91" s="284" t="e">
        <f t="shared" si="25"/>
        <v>#DIV/0!</v>
      </c>
      <c r="P91" s="70"/>
      <c r="R91" s="70"/>
      <c r="V91" s="6"/>
    </row>
    <row r="92" spans="1:22" x14ac:dyDescent="0.25">
      <c r="A92" s="71"/>
      <c r="B92" s="9" t="s">
        <v>86</v>
      </c>
      <c r="C92" s="9" t="s">
        <v>54</v>
      </c>
      <c r="D92" s="39">
        <v>1.1299999999999999</v>
      </c>
      <c r="E92" s="126">
        <v>6.08</v>
      </c>
      <c r="F92" s="142">
        <v>4.6900000000000004</v>
      </c>
      <c r="G92" s="126">
        <f t="shared" si="26"/>
        <v>1.3899999999999997</v>
      </c>
      <c r="H92" s="234">
        <v>4.4000000000000004</v>
      </c>
      <c r="J92" s="319"/>
      <c r="K92" s="70">
        <f t="shared" si="24"/>
        <v>4.4000000000000004</v>
      </c>
      <c r="L92" s="284" t="e">
        <f t="shared" si="25"/>
        <v>#DIV/0!</v>
      </c>
      <c r="P92" s="70"/>
      <c r="R92" s="70"/>
      <c r="V92" s="6"/>
    </row>
    <row r="93" spans="1:22" s="70" customFormat="1" x14ac:dyDescent="0.25">
      <c r="A93" s="71"/>
      <c r="B93" s="72" t="s">
        <v>86</v>
      </c>
      <c r="C93" s="72" t="s">
        <v>163</v>
      </c>
      <c r="D93" s="39">
        <v>5.57</v>
      </c>
      <c r="E93" s="126"/>
      <c r="F93" s="142"/>
      <c r="G93" s="126"/>
      <c r="H93" s="286">
        <v>22.4</v>
      </c>
      <c r="I93" s="282">
        <v>30.35</v>
      </c>
      <c r="J93" s="319">
        <f t="shared" si="20"/>
        <v>5.4488330341113107</v>
      </c>
      <c r="K93" s="70">
        <f>SUM(K87:K92)</f>
        <v>22.4</v>
      </c>
      <c r="L93" s="284">
        <f t="shared" si="25"/>
        <v>0.26194398682042841</v>
      </c>
      <c r="M93" s="279">
        <v>30</v>
      </c>
      <c r="O93" s="268"/>
      <c r="Q93" s="268"/>
      <c r="S93" s="268"/>
      <c r="U93" s="268"/>
      <c r="V93" s="6"/>
    </row>
    <row r="94" spans="1:22" x14ac:dyDescent="0.25">
      <c r="A94" s="71"/>
      <c r="B94" s="9" t="s">
        <v>89</v>
      </c>
      <c r="C94" s="9" t="s">
        <v>55</v>
      </c>
      <c r="D94" s="39">
        <v>6.15</v>
      </c>
      <c r="E94" s="126">
        <v>28.64</v>
      </c>
      <c r="F94" s="95">
        <v>18.73</v>
      </c>
      <c r="G94" s="126">
        <f t="shared" si="26"/>
        <v>9.91</v>
      </c>
      <c r="H94" s="288">
        <v>31.5</v>
      </c>
      <c r="I94" s="282">
        <v>37.21</v>
      </c>
      <c r="J94" s="319">
        <f t="shared" si="20"/>
        <v>6.0504065040650401</v>
      </c>
      <c r="K94" s="70">
        <f t="shared" si="24"/>
        <v>-5.7100000000000009</v>
      </c>
      <c r="L94" s="284">
        <f t="shared" si="25"/>
        <v>0.15345337274926096</v>
      </c>
      <c r="M94" s="279">
        <v>35</v>
      </c>
      <c r="V94" s="6"/>
    </row>
    <row r="95" spans="1:22" x14ac:dyDescent="0.25">
      <c r="A95" s="71"/>
      <c r="B95" s="72" t="s">
        <v>139</v>
      </c>
      <c r="C95" s="72" t="s">
        <v>5</v>
      </c>
      <c r="D95" s="219">
        <v>0</v>
      </c>
      <c r="E95" s="126">
        <v>5.67</v>
      </c>
      <c r="F95" s="95">
        <v>16.98</v>
      </c>
      <c r="G95" s="126">
        <f t="shared" si="26"/>
        <v>-11.31</v>
      </c>
      <c r="H95" s="234">
        <v>0</v>
      </c>
      <c r="J95" s="319"/>
      <c r="K95" s="70"/>
      <c r="L95" s="299"/>
      <c r="N95" s="70">
        <v>52.38</v>
      </c>
      <c r="V95" s="6"/>
    </row>
    <row r="96" spans="1:22" x14ac:dyDescent="0.25">
      <c r="A96" s="71"/>
      <c r="B96" s="12"/>
      <c r="C96" s="151" t="s">
        <v>115</v>
      </c>
      <c r="D96" s="176">
        <v>5.07</v>
      </c>
      <c r="E96" s="187">
        <v>21.98</v>
      </c>
      <c r="F96" s="176">
        <v>16.75</v>
      </c>
      <c r="G96" s="161">
        <f t="shared" si="26"/>
        <v>5.23</v>
      </c>
      <c r="H96" s="70">
        <f>SUM(H86)</f>
        <v>25</v>
      </c>
      <c r="I96" s="282">
        <f>SUM(I86)</f>
        <v>30.52</v>
      </c>
      <c r="J96" s="319"/>
      <c r="K96" s="70">
        <f>H96-I96</f>
        <v>-5.52</v>
      </c>
      <c r="L96" s="284">
        <f>(ABS(H96-I96))/I96</f>
        <v>0.18086500655307994</v>
      </c>
      <c r="V96" s="6"/>
    </row>
    <row r="97" spans="1:22" x14ac:dyDescent="0.25">
      <c r="A97" s="71"/>
      <c r="B97" s="12"/>
      <c r="C97" s="71" t="s">
        <v>119</v>
      </c>
      <c r="D97" s="149">
        <f>SUM(D87:D94)</f>
        <v>17.29</v>
      </c>
      <c r="E97" s="165">
        <f>SUM(E87:E95)</f>
        <v>63.15</v>
      </c>
      <c r="F97" s="177">
        <f>SUM(F87:F95)</f>
        <v>58.41</v>
      </c>
      <c r="G97" s="171">
        <f t="shared" si="26"/>
        <v>4.740000000000002</v>
      </c>
      <c r="H97" s="70">
        <f>SUM(H93:H95)</f>
        <v>53.9</v>
      </c>
      <c r="I97" s="282">
        <f>SUM(I87:I95)</f>
        <v>67.56</v>
      </c>
      <c r="J97" s="319"/>
      <c r="K97" s="70">
        <f>H97-I97</f>
        <v>-13.660000000000004</v>
      </c>
      <c r="L97" s="284">
        <f>(ABS(H97-I97))/I97</f>
        <v>0.20219064535227951</v>
      </c>
      <c r="V97" s="6"/>
    </row>
    <row r="98" spans="1:22" ht="15.75" thickBot="1" x14ac:dyDescent="0.3">
      <c r="A98" s="71"/>
      <c r="B98" s="69"/>
      <c r="C98" s="156" t="s">
        <v>117</v>
      </c>
      <c r="D98" s="183">
        <v>0</v>
      </c>
      <c r="E98" s="188">
        <v>0</v>
      </c>
      <c r="F98" s="183">
        <v>0</v>
      </c>
      <c r="G98" s="169">
        <v>0</v>
      </c>
      <c r="H98" s="70">
        <v>0</v>
      </c>
      <c r="I98" s="282">
        <v>0</v>
      </c>
      <c r="J98" s="319"/>
      <c r="K98" s="70"/>
      <c r="L98" s="284"/>
      <c r="V98" s="6"/>
    </row>
    <row r="99" spans="1:22" ht="15.75" thickTop="1" x14ac:dyDescent="0.25">
      <c r="A99" s="71"/>
      <c r="B99" s="69"/>
      <c r="C99" s="79" t="s">
        <v>118</v>
      </c>
      <c r="D99" s="456">
        <f>SUM(D96,D97)</f>
        <v>22.36</v>
      </c>
      <c r="E99" s="457">
        <f t="shared" ref="E99:F99" si="27">SUM(E96,E97)</f>
        <v>85.13</v>
      </c>
      <c r="F99" s="186">
        <f t="shared" si="27"/>
        <v>75.16</v>
      </c>
      <c r="G99" s="171">
        <f t="shared" si="26"/>
        <v>9.9699999999999989</v>
      </c>
      <c r="H99" s="70">
        <f>SUM(H96:H98)</f>
        <v>78.900000000000006</v>
      </c>
      <c r="I99" s="315">
        <f>SUM(I96:I98)</f>
        <v>98.08</v>
      </c>
      <c r="J99" s="443"/>
      <c r="K99" s="255">
        <f>H99-I99</f>
        <v>-19.179999999999993</v>
      </c>
      <c r="L99" s="447">
        <f>(ABS(H99-I99))/I99</f>
        <v>0.19555464926590532</v>
      </c>
      <c r="M99" s="464">
        <f>SUM(M86:M95)</f>
        <v>95</v>
      </c>
      <c r="N99" s="255"/>
      <c r="O99" s="291"/>
      <c r="P99" s="255"/>
      <c r="Q99" s="291"/>
      <c r="R99" s="255"/>
      <c r="S99" s="291"/>
      <c r="T99" s="255"/>
      <c r="U99" s="291"/>
      <c r="V99" s="464">
        <f>SUM(N86:N95)</f>
        <v>109.12</v>
      </c>
    </row>
    <row r="100" spans="1:22" x14ac:dyDescent="0.25">
      <c r="A100" s="3" t="s">
        <v>25</v>
      </c>
      <c r="B100" s="15"/>
      <c r="C100" s="3"/>
      <c r="D100" s="37"/>
      <c r="E100" s="99"/>
      <c r="F100" s="83"/>
      <c r="G100" s="116"/>
      <c r="H100" s="70"/>
      <c r="J100" s="319"/>
      <c r="K100" s="70"/>
      <c r="L100" s="299"/>
    </row>
    <row r="101" spans="1:22" s="255" customFormat="1" x14ac:dyDescent="0.25">
      <c r="A101" s="44"/>
      <c r="B101" s="123" t="s">
        <v>3</v>
      </c>
      <c r="C101" s="123" t="s">
        <v>56</v>
      </c>
      <c r="D101" s="214">
        <v>1.49</v>
      </c>
      <c r="E101" s="218">
        <v>6.36</v>
      </c>
      <c r="F101" s="207">
        <v>8.1</v>
      </c>
      <c r="G101" s="230">
        <f>E101-F101</f>
        <v>-1.7399999999999993</v>
      </c>
      <c r="H101" s="448">
        <v>7.8</v>
      </c>
      <c r="I101" s="315">
        <v>10.050000000000001</v>
      </c>
      <c r="J101" s="443">
        <f t="shared" si="20"/>
        <v>6.7449664429530207</v>
      </c>
      <c r="K101" s="255">
        <f>H101-I101</f>
        <v>-2.2500000000000009</v>
      </c>
      <c r="L101" s="447">
        <f>(ABS(H101-I101))/I101</f>
        <v>0.22388059701492544</v>
      </c>
      <c r="M101" s="464">
        <v>8</v>
      </c>
      <c r="N101" s="255">
        <v>7.67</v>
      </c>
      <c r="O101" s="291"/>
      <c r="Q101" s="291"/>
      <c r="S101" s="291"/>
      <c r="U101" s="291"/>
      <c r="V101" s="464">
        <v>7.67</v>
      </c>
    </row>
    <row r="102" spans="1:22" x14ac:dyDescent="0.25">
      <c r="A102" s="1" t="s">
        <v>93</v>
      </c>
      <c r="B102" s="8"/>
      <c r="C102" s="1"/>
      <c r="D102" s="87"/>
      <c r="E102" s="114"/>
      <c r="F102" s="65"/>
      <c r="G102" s="115"/>
      <c r="H102" s="70"/>
      <c r="J102" s="319"/>
      <c r="K102" s="70"/>
      <c r="L102" s="299"/>
    </row>
    <row r="103" spans="1:22" s="255" customFormat="1" x14ac:dyDescent="0.25">
      <c r="A103" s="44"/>
      <c r="B103" s="444" t="s">
        <v>7</v>
      </c>
      <c r="C103" s="444" t="s">
        <v>99</v>
      </c>
      <c r="D103" s="445">
        <v>1</v>
      </c>
      <c r="E103" s="446">
        <v>0</v>
      </c>
      <c r="F103" s="207">
        <v>4.84</v>
      </c>
      <c r="G103" s="313">
        <f>E103-F103</f>
        <v>-4.84</v>
      </c>
      <c r="H103" s="314">
        <v>5</v>
      </c>
      <c r="I103" s="315">
        <v>4.93</v>
      </c>
      <c r="J103" s="443">
        <f t="shared" si="20"/>
        <v>4.93</v>
      </c>
      <c r="K103" s="255">
        <f>H103-I103</f>
        <v>7.0000000000000284E-2</v>
      </c>
      <c r="L103" s="447">
        <f>(ABS(H103-I103))/I103</f>
        <v>1.4198782961460505E-2</v>
      </c>
      <c r="M103" s="462"/>
      <c r="O103" s="291"/>
      <c r="Q103" s="291"/>
      <c r="S103" s="291"/>
      <c r="U103" s="291"/>
      <c r="V103" s="477"/>
    </row>
    <row r="104" spans="1:22" x14ac:dyDescent="0.25">
      <c r="A104" s="43" t="s">
        <v>103</v>
      </c>
      <c r="B104" s="8"/>
      <c r="C104" s="79"/>
      <c r="D104" s="64"/>
      <c r="E104" s="115"/>
      <c r="F104" s="80"/>
      <c r="G104" s="115"/>
      <c r="H104" s="70"/>
      <c r="J104" s="319"/>
      <c r="K104" s="70"/>
      <c r="L104" s="299"/>
    </row>
    <row r="105" spans="1:22" s="255" customFormat="1" x14ac:dyDescent="0.25">
      <c r="A105" s="44"/>
      <c r="B105" s="309" t="s">
        <v>7</v>
      </c>
      <c r="C105" s="309" t="s">
        <v>122</v>
      </c>
      <c r="D105" s="310">
        <v>3.98</v>
      </c>
      <c r="E105" s="311">
        <v>0</v>
      </c>
      <c r="F105" s="312">
        <v>5.52</v>
      </c>
      <c r="G105" s="313">
        <f>E105-F105</f>
        <v>-5.52</v>
      </c>
      <c r="H105" s="314">
        <v>10</v>
      </c>
      <c r="I105" s="315">
        <v>10.029999999999999</v>
      </c>
      <c r="J105" s="443">
        <f t="shared" si="20"/>
        <v>2.5201005025125625</v>
      </c>
      <c r="K105" s="255">
        <f>H105-I105</f>
        <v>-2.9999999999999361E-2</v>
      </c>
      <c r="L105" s="316">
        <f>(ABS(H105-I105))/I105</f>
        <v>2.9910269192422096E-3</v>
      </c>
      <c r="M105" s="463">
        <v>14</v>
      </c>
      <c r="N105" s="255">
        <v>19.36</v>
      </c>
      <c r="O105" s="291"/>
      <c r="Q105" s="291"/>
      <c r="S105" s="291"/>
      <c r="U105" s="291"/>
      <c r="V105" s="464">
        <v>19.36</v>
      </c>
    </row>
    <row r="106" spans="1:22" s="70" customFormat="1" x14ac:dyDescent="0.25">
      <c r="A106" s="43" t="s">
        <v>149</v>
      </c>
      <c r="B106" s="130"/>
      <c r="C106" s="130"/>
      <c r="D106" s="131"/>
      <c r="E106" s="113"/>
      <c r="F106" s="97"/>
      <c r="G106" s="115"/>
      <c r="H106" s="290"/>
      <c r="I106" s="282"/>
      <c r="J106" s="319"/>
      <c r="K106" s="70">
        <f t="shared" ref="K106:K111" si="28">H106-I106</f>
        <v>0</v>
      </c>
      <c r="L106" s="300" t="e">
        <f t="shared" ref="L106:L111" si="29">(ABS(H106-I106))/I106</f>
        <v>#DIV/0!</v>
      </c>
      <c r="M106" s="279"/>
      <c r="O106" s="268"/>
      <c r="Q106" s="268"/>
      <c r="S106" s="268"/>
      <c r="U106" s="268"/>
      <c r="V106" s="475"/>
    </row>
    <row r="107" spans="1:22" s="255" customFormat="1" x14ac:dyDescent="0.25">
      <c r="A107" s="44"/>
      <c r="B107" s="309" t="s">
        <v>7</v>
      </c>
      <c r="C107" s="309" t="s">
        <v>99</v>
      </c>
      <c r="D107" s="310">
        <v>2</v>
      </c>
      <c r="E107" s="311"/>
      <c r="F107" s="312"/>
      <c r="G107" s="313"/>
      <c r="H107" s="314">
        <v>10</v>
      </c>
      <c r="I107" s="315">
        <v>11.69</v>
      </c>
      <c r="J107" s="443">
        <f t="shared" si="20"/>
        <v>5.8449999999999998</v>
      </c>
      <c r="K107" s="255">
        <f t="shared" si="28"/>
        <v>-1.6899999999999995</v>
      </c>
      <c r="L107" s="316">
        <f t="shared" si="29"/>
        <v>0.14456800684345592</v>
      </c>
      <c r="M107" s="462"/>
      <c r="O107" s="291"/>
      <c r="Q107" s="291"/>
      <c r="S107" s="291"/>
      <c r="U107" s="291"/>
      <c r="V107" s="477"/>
    </row>
    <row r="108" spans="1:22" s="70" customFormat="1" x14ac:dyDescent="0.25">
      <c r="A108" s="43" t="s">
        <v>196</v>
      </c>
      <c r="B108" s="94"/>
      <c r="C108" s="130"/>
      <c r="D108" s="131"/>
      <c r="E108" s="113"/>
      <c r="F108" s="97"/>
      <c r="G108" s="115"/>
      <c r="H108" s="290"/>
      <c r="I108" s="282"/>
      <c r="J108" s="319"/>
      <c r="K108" s="471"/>
      <c r="L108" s="300"/>
      <c r="M108" s="467"/>
      <c r="O108" s="268"/>
      <c r="Q108" s="268"/>
      <c r="S108" s="268"/>
      <c r="U108" s="268"/>
      <c r="V108" s="475"/>
    </row>
    <row r="109" spans="1:22" s="255" customFormat="1" x14ac:dyDescent="0.25">
      <c r="A109" s="44"/>
      <c r="B109" s="309" t="s">
        <v>197</v>
      </c>
      <c r="C109" s="309"/>
      <c r="D109" s="310"/>
      <c r="E109" s="311"/>
      <c r="F109" s="312"/>
      <c r="G109" s="313"/>
      <c r="H109" s="314"/>
      <c r="I109" s="315"/>
      <c r="J109" s="443"/>
      <c r="L109" s="316"/>
      <c r="M109" s="464">
        <v>5</v>
      </c>
      <c r="N109" s="255">
        <v>7.46</v>
      </c>
      <c r="O109" s="291"/>
      <c r="Q109" s="291"/>
      <c r="S109" s="291"/>
      <c r="U109" s="291"/>
      <c r="V109" s="464">
        <v>7.46</v>
      </c>
    </row>
    <row r="110" spans="1:22" s="471" customFormat="1" x14ac:dyDescent="0.25">
      <c r="A110" s="43" t="s">
        <v>159</v>
      </c>
      <c r="B110" s="130"/>
      <c r="C110" s="130"/>
      <c r="D110" s="131"/>
      <c r="E110" s="113"/>
      <c r="F110" s="97"/>
      <c r="G110" s="115"/>
      <c r="H110" s="472"/>
      <c r="I110" s="282"/>
      <c r="J110" s="319"/>
      <c r="K110" s="70">
        <f t="shared" si="28"/>
        <v>0</v>
      </c>
      <c r="L110" s="300" t="e">
        <f t="shared" si="29"/>
        <v>#DIV/0!</v>
      </c>
      <c r="M110" s="467"/>
      <c r="O110" s="268"/>
      <c r="Q110" s="268"/>
      <c r="S110" s="268"/>
      <c r="U110" s="268"/>
      <c r="V110" s="476"/>
    </row>
    <row r="111" spans="1:22" s="255" customFormat="1" x14ac:dyDescent="0.25">
      <c r="A111" s="44"/>
      <c r="B111" s="309" t="s">
        <v>160</v>
      </c>
      <c r="C111" s="309" t="s">
        <v>122</v>
      </c>
      <c r="D111" s="310">
        <v>1.68</v>
      </c>
      <c r="E111" s="311"/>
      <c r="F111" s="312"/>
      <c r="G111" s="313"/>
      <c r="H111" s="314">
        <v>10</v>
      </c>
      <c r="I111" s="315">
        <v>8.4</v>
      </c>
      <c r="J111" s="443">
        <f t="shared" si="20"/>
        <v>5</v>
      </c>
      <c r="K111" s="255">
        <f t="shared" si="28"/>
        <v>1.5999999999999996</v>
      </c>
      <c r="L111" s="316">
        <f t="shared" si="29"/>
        <v>0.19047619047619044</v>
      </c>
      <c r="M111" s="464">
        <v>10</v>
      </c>
      <c r="N111" s="255">
        <v>10.73</v>
      </c>
      <c r="O111" s="291"/>
      <c r="Q111" s="291"/>
      <c r="S111" s="291"/>
      <c r="U111" s="291"/>
      <c r="V111" s="464">
        <v>10.73</v>
      </c>
    </row>
    <row r="112" spans="1:22" x14ac:dyDescent="0.25">
      <c r="A112" s="43" t="s">
        <v>27</v>
      </c>
      <c r="B112" s="8"/>
      <c r="C112" s="1"/>
      <c r="D112" s="87"/>
      <c r="E112" s="114"/>
      <c r="F112" s="65"/>
      <c r="G112" s="111"/>
      <c r="H112" s="70"/>
      <c r="J112" s="319"/>
      <c r="K112" s="70"/>
      <c r="L112" s="299"/>
    </row>
    <row r="113" spans="1:23" x14ac:dyDescent="0.25">
      <c r="A113" s="71"/>
      <c r="B113" s="9" t="s">
        <v>3</v>
      </c>
      <c r="C113" s="9" t="s">
        <v>57</v>
      </c>
      <c r="D113" s="39">
        <v>7.0000000000000007E-2</v>
      </c>
      <c r="E113" s="126">
        <v>0.32</v>
      </c>
      <c r="F113" s="95">
        <v>0.25</v>
      </c>
      <c r="G113" s="126">
        <f>E113-F113</f>
        <v>7.0000000000000007E-2</v>
      </c>
      <c r="H113" s="290">
        <v>0.25</v>
      </c>
      <c r="I113" s="282">
        <v>0.8</v>
      </c>
      <c r="J113" s="319">
        <f t="shared" si="20"/>
        <v>11.428571428571429</v>
      </c>
      <c r="K113" s="70">
        <f t="shared" ref="K113:K118" si="30">H113-I113</f>
        <v>-0.55000000000000004</v>
      </c>
      <c r="L113" s="284">
        <f t="shared" ref="L113:L118" si="31">(ABS(H113-I113))/I113</f>
        <v>0.6875</v>
      </c>
      <c r="M113" s="279">
        <v>0.5</v>
      </c>
      <c r="N113" s="70">
        <v>0.4</v>
      </c>
    </row>
    <row r="114" spans="1:23" x14ac:dyDescent="0.25">
      <c r="A114" s="1"/>
      <c r="B114" s="9"/>
      <c r="C114" s="9" t="s">
        <v>58</v>
      </c>
      <c r="D114" s="39">
        <v>2.36</v>
      </c>
      <c r="E114" s="126">
        <v>10.74</v>
      </c>
      <c r="F114" s="95">
        <v>9.5399999999999991</v>
      </c>
      <c r="G114" s="126">
        <f t="shared" ref="G114:G121" si="32">E114-F114</f>
        <v>1.2000000000000011</v>
      </c>
      <c r="H114" s="288">
        <v>8.1</v>
      </c>
      <c r="I114" s="282">
        <v>10.02</v>
      </c>
      <c r="J114" s="319">
        <f t="shared" si="20"/>
        <v>4.2457627118644066</v>
      </c>
      <c r="K114" s="70">
        <f t="shared" si="30"/>
        <v>-1.92</v>
      </c>
      <c r="L114" s="284">
        <f t="shared" si="31"/>
        <v>0.19161676646706588</v>
      </c>
      <c r="M114" s="279">
        <v>10</v>
      </c>
      <c r="N114" s="70">
        <v>12.94</v>
      </c>
    </row>
    <row r="115" spans="1:23" x14ac:dyDescent="0.25">
      <c r="A115" s="71"/>
      <c r="B115" s="9"/>
      <c r="C115" s="9" t="s">
        <v>59</v>
      </c>
      <c r="D115" s="39">
        <v>1.17</v>
      </c>
      <c r="E115" s="126">
        <v>5.42</v>
      </c>
      <c r="F115" s="95">
        <v>4.26</v>
      </c>
      <c r="G115" s="126">
        <f t="shared" si="32"/>
        <v>1.1600000000000001</v>
      </c>
      <c r="H115" s="288">
        <v>5.2</v>
      </c>
      <c r="I115" s="282">
        <v>4.7699999999999996</v>
      </c>
      <c r="J115" s="319">
        <f t="shared" si="20"/>
        <v>4.0769230769230766</v>
      </c>
      <c r="K115" s="70">
        <f t="shared" si="30"/>
        <v>0.4300000000000006</v>
      </c>
      <c r="L115" s="284">
        <f t="shared" si="31"/>
        <v>9.0146750524109143E-2</v>
      </c>
      <c r="M115" s="279">
        <v>5</v>
      </c>
      <c r="N115" s="70">
        <v>6.14</v>
      </c>
    </row>
    <row r="116" spans="1:23" x14ac:dyDescent="0.25">
      <c r="A116" s="71"/>
      <c r="B116" s="9"/>
      <c r="C116" s="9" t="s">
        <v>60</v>
      </c>
      <c r="D116" s="39">
        <v>0.95</v>
      </c>
      <c r="E116" s="126">
        <v>5.52</v>
      </c>
      <c r="F116" s="95">
        <v>3.13</v>
      </c>
      <c r="G116" s="126">
        <f t="shared" si="32"/>
        <v>2.3899999999999997</v>
      </c>
      <c r="H116" s="234">
        <v>3.8</v>
      </c>
      <c r="I116" s="282">
        <v>3.88</v>
      </c>
      <c r="J116" s="319">
        <f t="shared" si="20"/>
        <v>4.0842105263157897</v>
      </c>
      <c r="K116" s="70">
        <f t="shared" si="30"/>
        <v>-8.0000000000000071E-2</v>
      </c>
      <c r="L116" s="284">
        <f t="shared" si="31"/>
        <v>2.0618556701030948E-2</v>
      </c>
      <c r="M116" s="279">
        <v>4</v>
      </c>
      <c r="N116" s="70">
        <v>4.49</v>
      </c>
      <c r="W116">
        <f>SUM(N113:N116)</f>
        <v>23.97</v>
      </c>
    </row>
    <row r="117" spans="1:23" x14ac:dyDescent="0.25">
      <c r="A117" s="71"/>
      <c r="B117" s="18" t="s">
        <v>7</v>
      </c>
      <c r="C117" s="18" t="s">
        <v>122</v>
      </c>
      <c r="D117" s="129">
        <v>3.02</v>
      </c>
      <c r="E117" s="140">
        <v>0</v>
      </c>
      <c r="F117" s="97">
        <v>17.004999999999999</v>
      </c>
      <c r="G117" s="126">
        <f t="shared" si="32"/>
        <v>-17.004999999999999</v>
      </c>
      <c r="H117" s="290">
        <v>10</v>
      </c>
      <c r="I117" s="282">
        <v>9.19</v>
      </c>
      <c r="J117" s="319">
        <f t="shared" si="20"/>
        <v>3.0430463576158937</v>
      </c>
      <c r="K117" s="70">
        <f t="shared" si="30"/>
        <v>0.8100000000000005</v>
      </c>
      <c r="L117" s="284">
        <f t="shared" si="31"/>
        <v>8.8139281828074054E-2</v>
      </c>
      <c r="M117" s="279">
        <v>20</v>
      </c>
      <c r="N117" s="70">
        <v>20.89</v>
      </c>
    </row>
    <row r="118" spans="1:23" x14ac:dyDescent="0.25">
      <c r="A118" s="71"/>
      <c r="B118" s="12"/>
      <c r="C118" s="151" t="s">
        <v>115</v>
      </c>
      <c r="D118" s="176">
        <f>SUM(D113:D116)</f>
        <v>4.55</v>
      </c>
      <c r="E118" s="187">
        <f>SUM(E113:E116)</f>
        <v>22</v>
      </c>
      <c r="F118" s="176">
        <f>SUM(F113:F116)</f>
        <v>17.18</v>
      </c>
      <c r="G118" s="161">
        <f t="shared" si="32"/>
        <v>4.82</v>
      </c>
      <c r="H118" s="70">
        <f>SUM(H113:H116)</f>
        <v>17.350000000000001</v>
      </c>
      <c r="I118" s="282">
        <f>SUM(I113:I116)</f>
        <v>19.47</v>
      </c>
      <c r="J118" s="319"/>
      <c r="K118" s="70">
        <f t="shared" si="30"/>
        <v>-2.1199999999999974</v>
      </c>
      <c r="L118" s="284">
        <f t="shared" si="31"/>
        <v>0.10888546481766809</v>
      </c>
    </row>
    <row r="119" spans="1:23" x14ac:dyDescent="0.25">
      <c r="A119" s="71"/>
      <c r="B119" s="12"/>
      <c r="C119" s="71" t="s">
        <v>120</v>
      </c>
      <c r="D119" s="149">
        <v>0</v>
      </c>
      <c r="E119" s="165">
        <v>0</v>
      </c>
      <c r="F119" s="149">
        <v>0</v>
      </c>
      <c r="G119" s="171">
        <f t="shared" si="32"/>
        <v>0</v>
      </c>
      <c r="H119" s="288">
        <v>0</v>
      </c>
      <c r="I119" s="282">
        <v>0</v>
      </c>
      <c r="J119" s="319"/>
      <c r="K119" s="70"/>
      <c r="L119" s="284"/>
    </row>
    <row r="120" spans="1:23" ht="15.75" thickBot="1" x14ac:dyDescent="0.3">
      <c r="A120" s="71"/>
      <c r="B120" s="69"/>
      <c r="C120" s="156" t="s">
        <v>117</v>
      </c>
      <c r="D120" s="183">
        <v>3.02</v>
      </c>
      <c r="E120" s="188">
        <v>0</v>
      </c>
      <c r="F120" s="183">
        <v>17.010000000000002</v>
      </c>
      <c r="G120" s="169">
        <f t="shared" si="32"/>
        <v>-17.010000000000002</v>
      </c>
      <c r="H120" s="70">
        <f>H117</f>
        <v>10</v>
      </c>
      <c r="I120" s="282">
        <f>I117</f>
        <v>9.19</v>
      </c>
      <c r="J120" s="319"/>
      <c r="K120" s="70">
        <f>H120-I120</f>
        <v>0.8100000000000005</v>
      </c>
      <c r="L120" s="284">
        <f>(ABS(H120-I120))/I120</f>
        <v>8.8139281828074054E-2</v>
      </c>
    </row>
    <row r="121" spans="1:23" ht="15.75" thickTop="1" x14ac:dyDescent="0.25">
      <c r="A121" s="71"/>
      <c r="B121" s="69"/>
      <c r="C121" s="79" t="s">
        <v>118</v>
      </c>
      <c r="D121" s="186">
        <f>SUM(D118:D120)</f>
        <v>7.57</v>
      </c>
      <c r="E121" s="165">
        <v>22</v>
      </c>
      <c r="F121" s="149">
        <f>SUM(F118,F120)</f>
        <v>34.19</v>
      </c>
      <c r="G121" s="171">
        <f t="shared" si="32"/>
        <v>-12.189999999999998</v>
      </c>
      <c r="H121" s="70">
        <f>SUM(H118:H120)</f>
        <v>27.35</v>
      </c>
      <c r="I121" s="315">
        <f>SUM(I118:I120)</f>
        <v>28.659999999999997</v>
      </c>
      <c r="J121" s="443"/>
      <c r="K121" s="255">
        <f>H121-I121</f>
        <v>-1.3099999999999952</v>
      </c>
      <c r="L121" s="447">
        <f>(ABS(H121-I121))/I121</f>
        <v>4.5708304256803743E-2</v>
      </c>
      <c r="M121" s="464">
        <f>SUM(M113:M117)</f>
        <v>39.5</v>
      </c>
      <c r="N121" s="255"/>
      <c r="O121" s="291"/>
      <c r="P121" s="255"/>
      <c r="Q121" s="291"/>
      <c r="R121" s="255"/>
      <c r="S121" s="291"/>
      <c r="T121" s="255"/>
      <c r="U121" s="291"/>
      <c r="V121" s="464">
        <f>SUM(N113:N118)</f>
        <v>44.86</v>
      </c>
    </row>
    <row r="122" spans="1:23" x14ac:dyDescent="0.25">
      <c r="A122" s="3" t="s">
        <v>28</v>
      </c>
      <c r="B122" s="15"/>
      <c r="C122" s="3"/>
      <c r="D122" s="37"/>
      <c r="E122" s="99"/>
      <c r="F122" s="83"/>
      <c r="G122" s="118"/>
      <c r="H122" s="70"/>
      <c r="J122" s="319"/>
      <c r="K122" s="70"/>
      <c r="L122" s="299"/>
    </row>
    <row r="123" spans="1:23" x14ac:dyDescent="0.25">
      <c r="A123" s="71"/>
      <c r="B123" s="9" t="s">
        <v>3</v>
      </c>
      <c r="C123" s="9" t="s">
        <v>53</v>
      </c>
      <c r="D123" s="39">
        <v>1.1000000000000001</v>
      </c>
      <c r="E123" s="126">
        <v>4.45</v>
      </c>
      <c r="F123" s="95">
        <v>4.53</v>
      </c>
      <c r="G123" s="126">
        <f>E123-F123</f>
        <v>-8.0000000000000071E-2</v>
      </c>
      <c r="H123" s="70">
        <v>4.5999999999999996</v>
      </c>
      <c r="I123" s="282">
        <v>5.36</v>
      </c>
      <c r="J123" s="319">
        <f t="shared" si="20"/>
        <v>4.872727272727273</v>
      </c>
      <c r="K123" s="70">
        <f t="shared" ref="K123:K128" si="33">H123-I123</f>
        <v>-0.76000000000000068</v>
      </c>
      <c r="L123" s="284">
        <f t="shared" ref="L123:L128" si="34">(ABS(H123-I123))/I123</f>
        <v>0.14179104477611951</v>
      </c>
      <c r="M123" s="279">
        <v>5</v>
      </c>
      <c r="N123" s="70">
        <v>4.46</v>
      </c>
      <c r="P123" s="70"/>
    </row>
    <row r="124" spans="1:23" x14ac:dyDescent="0.25">
      <c r="A124" s="71"/>
      <c r="B124" s="9" t="s">
        <v>3</v>
      </c>
      <c r="C124" s="9" t="s">
        <v>61</v>
      </c>
      <c r="D124" s="39">
        <v>0.83</v>
      </c>
      <c r="E124" s="126">
        <v>4.0599999999999996</v>
      </c>
      <c r="F124" s="95">
        <v>4.49</v>
      </c>
      <c r="G124" s="126">
        <f t="shared" ref="G124:G130" si="35">E124-F124</f>
        <v>-0.4300000000000006</v>
      </c>
      <c r="H124" s="285">
        <v>3</v>
      </c>
      <c r="I124" s="282">
        <v>6.04</v>
      </c>
      <c r="J124" s="319">
        <f t="shared" si="20"/>
        <v>7.2771084337349405</v>
      </c>
      <c r="K124" s="70">
        <f t="shared" si="33"/>
        <v>-3.04</v>
      </c>
      <c r="L124" s="284">
        <f t="shared" si="34"/>
        <v>0.50331125827814571</v>
      </c>
      <c r="M124" s="279">
        <v>5</v>
      </c>
      <c r="N124" s="70">
        <v>4.6500000000000004</v>
      </c>
      <c r="P124" s="70"/>
    </row>
    <row r="125" spans="1:23" x14ac:dyDescent="0.25">
      <c r="A125" s="71"/>
      <c r="B125" s="72" t="s">
        <v>86</v>
      </c>
      <c r="C125" s="9"/>
      <c r="D125" s="39">
        <v>0.05</v>
      </c>
      <c r="E125" s="128">
        <v>0.24</v>
      </c>
      <c r="F125" s="95">
        <v>0.23</v>
      </c>
      <c r="G125" s="126">
        <f t="shared" si="35"/>
        <v>9.9999999999999811E-3</v>
      </c>
      <c r="H125" s="290">
        <v>0.23</v>
      </c>
      <c r="I125" s="282">
        <v>0.24</v>
      </c>
      <c r="J125" s="319">
        <f t="shared" si="20"/>
        <v>4.8</v>
      </c>
      <c r="K125" s="70">
        <f t="shared" si="33"/>
        <v>-9.9999999999999811E-3</v>
      </c>
      <c r="L125" s="284">
        <f t="shared" si="34"/>
        <v>4.1666666666666588E-2</v>
      </c>
      <c r="M125" s="279">
        <v>0.25</v>
      </c>
      <c r="N125" s="70">
        <v>0.14000000000000001</v>
      </c>
    </row>
    <row r="126" spans="1:23" x14ac:dyDescent="0.25">
      <c r="A126" s="71"/>
      <c r="B126" s="9" t="s">
        <v>6</v>
      </c>
      <c r="C126" s="9"/>
      <c r="D126" s="39">
        <v>13.45</v>
      </c>
      <c r="E126" s="126">
        <v>58.79</v>
      </c>
      <c r="F126" s="95">
        <v>61.53</v>
      </c>
      <c r="G126" s="126">
        <f t="shared" si="35"/>
        <v>-2.740000000000002</v>
      </c>
      <c r="H126" s="289">
        <v>48.8</v>
      </c>
      <c r="I126" s="282">
        <v>51.54</v>
      </c>
      <c r="J126" s="319">
        <f t="shared" si="20"/>
        <v>3.8319702602230485</v>
      </c>
      <c r="K126" s="70">
        <f t="shared" si="33"/>
        <v>-2.740000000000002</v>
      </c>
      <c r="L126" s="284">
        <f t="shared" si="34"/>
        <v>5.316259216142806E-2</v>
      </c>
      <c r="M126" s="279">
        <v>52</v>
      </c>
      <c r="N126" s="70">
        <v>54.8</v>
      </c>
    </row>
    <row r="127" spans="1:23" x14ac:dyDescent="0.25">
      <c r="A127" s="71"/>
      <c r="B127" s="12"/>
      <c r="C127" s="151" t="s">
        <v>115</v>
      </c>
      <c r="D127" s="176">
        <f>SUM(D123:D124,D126)</f>
        <v>15.379999999999999</v>
      </c>
      <c r="E127" s="187">
        <f>SUM(E123:E124,E126)</f>
        <v>67.3</v>
      </c>
      <c r="F127" s="176">
        <f>SUM(F123:F124,F126)</f>
        <v>70.55</v>
      </c>
      <c r="G127" s="161">
        <f t="shared" si="35"/>
        <v>-3.25</v>
      </c>
      <c r="H127" s="285">
        <f>SUM(H123:H124,H126)</f>
        <v>56.4</v>
      </c>
      <c r="I127" s="449">
        <f>SUM(I123:I124,I126)</f>
        <v>62.94</v>
      </c>
      <c r="J127" s="319"/>
      <c r="K127" s="70">
        <f t="shared" si="33"/>
        <v>-6.5399999999999991</v>
      </c>
      <c r="L127" s="284">
        <f t="shared" si="34"/>
        <v>0.10390848427073403</v>
      </c>
    </row>
    <row r="128" spans="1:23" x14ac:dyDescent="0.25">
      <c r="A128" s="71"/>
      <c r="B128" s="12"/>
      <c r="C128" s="71" t="s">
        <v>119</v>
      </c>
      <c r="D128" s="149">
        <v>0.05</v>
      </c>
      <c r="E128" s="165">
        <v>0.24</v>
      </c>
      <c r="F128" s="149">
        <v>0.23</v>
      </c>
      <c r="G128" s="171">
        <f t="shared" si="35"/>
        <v>9.9999999999999811E-3</v>
      </c>
      <c r="H128" s="70">
        <f>H125</f>
        <v>0.23</v>
      </c>
      <c r="I128" s="282">
        <f>I125</f>
        <v>0.24</v>
      </c>
      <c r="J128" s="319"/>
      <c r="K128" s="70">
        <f t="shared" si="33"/>
        <v>-9.9999999999999811E-3</v>
      </c>
      <c r="L128" s="284">
        <f t="shared" si="34"/>
        <v>4.1666666666666588E-2</v>
      </c>
    </row>
    <row r="129" spans="1:22" ht="15.75" thickBot="1" x14ac:dyDescent="0.3">
      <c r="A129" s="71"/>
      <c r="B129" s="69"/>
      <c r="C129" s="156" t="s">
        <v>117</v>
      </c>
      <c r="D129" s="183">
        <v>0</v>
      </c>
      <c r="E129" s="188">
        <v>0</v>
      </c>
      <c r="F129" s="183">
        <v>0</v>
      </c>
      <c r="G129" s="169">
        <f t="shared" si="35"/>
        <v>0</v>
      </c>
      <c r="H129" s="70">
        <v>0</v>
      </c>
      <c r="I129" s="282">
        <v>0</v>
      </c>
      <c r="J129" s="319"/>
      <c r="K129" s="70"/>
      <c r="L129" s="284"/>
    </row>
    <row r="130" spans="1:22" ht="15.75" thickTop="1" x14ac:dyDescent="0.25">
      <c r="A130" s="71"/>
      <c r="B130" s="69"/>
      <c r="C130" s="79" t="s">
        <v>118</v>
      </c>
      <c r="D130" s="186">
        <f>SUM(D127:D128)</f>
        <v>15.43</v>
      </c>
      <c r="E130" s="165">
        <f t="shared" ref="E130:F130" si="36">SUM(E127:E128)</f>
        <v>67.539999999999992</v>
      </c>
      <c r="F130" s="149">
        <f t="shared" si="36"/>
        <v>70.78</v>
      </c>
      <c r="G130" s="171">
        <f t="shared" si="35"/>
        <v>-3.2400000000000091</v>
      </c>
      <c r="H130" s="285">
        <f>SUM(H127:H129)</f>
        <v>56.629999999999995</v>
      </c>
      <c r="I130" s="297">
        <f>SUM(I127:I129)</f>
        <v>63.18</v>
      </c>
      <c r="J130" s="443"/>
      <c r="K130" s="255">
        <f>H130-I130</f>
        <v>-6.5500000000000043</v>
      </c>
      <c r="L130" s="447">
        <f>(ABS(H130-I130))/I130</f>
        <v>0.10367204811649262</v>
      </c>
      <c r="M130" s="464">
        <f>SUM(M123:M126)</f>
        <v>62.25</v>
      </c>
      <c r="N130" s="255"/>
      <c r="O130" s="291"/>
      <c r="P130" s="255"/>
      <c r="Q130" s="291"/>
      <c r="R130" s="255"/>
      <c r="S130" s="291"/>
      <c r="T130" s="255"/>
      <c r="U130" s="291"/>
      <c r="V130" s="464">
        <f>SUM(N123:N126)</f>
        <v>64.05</v>
      </c>
    </row>
    <row r="131" spans="1:22" x14ac:dyDescent="0.25">
      <c r="A131" s="3" t="s">
        <v>62</v>
      </c>
      <c r="B131" s="15"/>
      <c r="C131" s="3"/>
      <c r="D131" s="37"/>
      <c r="E131" s="99"/>
      <c r="F131" s="83"/>
      <c r="G131" s="118"/>
      <c r="H131" s="70"/>
      <c r="J131" s="319"/>
      <c r="K131" s="70"/>
      <c r="L131" s="299"/>
    </row>
    <row r="132" spans="1:22" x14ac:dyDescent="0.25">
      <c r="A132" s="71"/>
      <c r="B132" s="18" t="s">
        <v>7</v>
      </c>
      <c r="C132" s="18" t="s">
        <v>46</v>
      </c>
      <c r="D132" s="129">
        <v>11.2</v>
      </c>
      <c r="E132" s="140">
        <v>59.91</v>
      </c>
      <c r="F132" s="97">
        <v>66.959999999999994</v>
      </c>
      <c r="G132" s="126">
        <f>E132-F132</f>
        <v>-7.0499999999999972</v>
      </c>
      <c r="H132" s="286">
        <v>60</v>
      </c>
      <c r="I132" s="282">
        <v>58.81</v>
      </c>
      <c r="J132" s="319">
        <f t="shared" si="20"/>
        <v>5.2508928571428575</v>
      </c>
      <c r="K132" s="70">
        <f t="shared" ref="K132:K137" si="37">H132-I132</f>
        <v>1.1899999999999977</v>
      </c>
      <c r="L132" s="284">
        <f>(ABS(H132-I132))/I132</f>
        <v>2.0234653970413154E-2</v>
      </c>
      <c r="M132" s="279">
        <v>60</v>
      </c>
      <c r="N132" s="70">
        <v>60.47</v>
      </c>
    </row>
    <row r="133" spans="1:22" x14ac:dyDescent="0.25">
      <c r="A133" s="71"/>
      <c r="B133" s="18" t="s">
        <v>7</v>
      </c>
      <c r="C133" s="72" t="s">
        <v>99</v>
      </c>
      <c r="D133" s="129">
        <v>7</v>
      </c>
      <c r="E133" s="140">
        <v>0</v>
      </c>
      <c r="F133" s="95">
        <v>48.88</v>
      </c>
      <c r="G133" s="126">
        <f t="shared" ref="G133:G137" si="38">E133-F133</f>
        <v>-48.88</v>
      </c>
      <c r="H133" s="286">
        <v>30</v>
      </c>
      <c r="I133" s="282">
        <v>38.14</v>
      </c>
      <c r="J133" s="319">
        <f t="shared" si="20"/>
        <v>5.4485714285714284</v>
      </c>
      <c r="K133" s="70">
        <f t="shared" si="37"/>
        <v>-8.14</v>
      </c>
      <c r="L133" s="284">
        <f>(ABS(H133-I133))/I133</f>
        <v>0.21342422653382276</v>
      </c>
      <c r="M133" s="279">
        <v>35</v>
      </c>
      <c r="N133" s="70">
        <v>29.61</v>
      </c>
    </row>
    <row r="134" spans="1:22" x14ac:dyDescent="0.25">
      <c r="A134" s="71"/>
      <c r="B134" s="12"/>
      <c r="C134" s="151" t="s">
        <v>115</v>
      </c>
      <c r="D134" s="195">
        <v>0</v>
      </c>
      <c r="E134" s="196">
        <v>0</v>
      </c>
      <c r="F134" s="195">
        <v>0</v>
      </c>
      <c r="G134" s="161">
        <f t="shared" si="38"/>
        <v>0</v>
      </c>
      <c r="H134" s="70">
        <v>0</v>
      </c>
      <c r="I134" s="282">
        <v>0</v>
      </c>
      <c r="J134" s="319"/>
      <c r="K134" s="70">
        <f t="shared" si="37"/>
        <v>0</v>
      </c>
      <c r="L134" s="284"/>
    </row>
    <row r="135" spans="1:22" x14ac:dyDescent="0.25">
      <c r="A135" s="71"/>
      <c r="B135" s="12"/>
      <c r="C135" s="71" t="s">
        <v>120</v>
      </c>
      <c r="D135" s="142">
        <v>0</v>
      </c>
      <c r="E135" s="140">
        <v>0</v>
      </c>
      <c r="F135" s="97">
        <v>0</v>
      </c>
      <c r="G135" s="171">
        <f t="shared" si="38"/>
        <v>0</v>
      </c>
      <c r="H135" s="70">
        <v>0</v>
      </c>
      <c r="I135" s="282">
        <v>0</v>
      </c>
      <c r="J135" s="319"/>
      <c r="K135" s="70">
        <f t="shared" si="37"/>
        <v>0</v>
      </c>
      <c r="L135" s="284"/>
    </row>
    <row r="136" spans="1:22" ht="15.75" thickBot="1" x14ac:dyDescent="0.3">
      <c r="A136" s="71"/>
      <c r="B136" s="69"/>
      <c r="C136" s="156" t="s">
        <v>117</v>
      </c>
      <c r="D136" s="194">
        <f>SUM(D132:D133)</f>
        <v>18.2</v>
      </c>
      <c r="E136" s="169">
        <v>59.91</v>
      </c>
      <c r="F136" s="170">
        <f>SUM(F132:F133)</f>
        <v>115.84</v>
      </c>
      <c r="G136" s="169">
        <f t="shared" si="38"/>
        <v>-55.930000000000007</v>
      </c>
      <c r="H136" s="70">
        <f>SUM(H132:H133)</f>
        <v>90</v>
      </c>
      <c r="I136" s="282">
        <f>SUM(I132:I133)</f>
        <v>96.95</v>
      </c>
      <c r="J136" s="319"/>
      <c r="K136" s="70">
        <f t="shared" si="37"/>
        <v>-6.9500000000000028</v>
      </c>
      <c r="L136" s="284">
        <f>(ABS(H136-I136))/I136</f>
        <v>7.1686436307374965E-2</v>
      </c>
    </row>
    <row r="137" spans="1:22" ht="15.75" thickTop="1" x14ac:dyDescent="0.25">
      <c r="A137" s="71"/>
      <c r="B137" s="69"/>
      <c r="C137" s="79" t="s">
        <v>118</v>
      </c>
      <c r="D137" s="134">
        <v>18.2</v>
      </c>
      <c r="E137" s="171">
        <v>59.91</v>
      </c>
      <c r="F137" s="158">
        <v>115.84</v>
      </c>
      <c r="G137" s="171">
        <f t="shared" si="38"/>
        <v>-55.930000000000007</v>
      </c>
      <c r="H137" s="70">
        <f>SUM(H134:H136)</f>
        <v>90</v>
      </c>
      <c r="I137" s="315">
        <f>SUM(I134:I136)</f>
        <v>96.95</v>
      </c>
      <c r="J137" s="443"/>
      <c r="K137" s="255">
        <f t="shared" si="37"/>
        <v>-6.9500000000000028</v>
      </c>
      <c r="L137" s="447">
        <f>(ABS(H137-I137))/I137</f>
        <v>7.1686436307374965E-2</v>
      </c>
      <c r="M137" s="464">
        <f>SUM(M132:M133)</f>
        <v>95</v>
      </c>
      <c r="N137" s="255"/>
      <c r="O137" s="291"/>
      <c r="P137" s="255"/>
      <c r="Q137" s="291"/>
      <c r="R137" s="255"/>
      <c r="S137" s="291"/>
      <c r="T137" s="255"/>
      <c r="U137" s="291"/>
      <c r="V137" s="464">
        <f>SUM(N132:N136)</f>
        <v>90.08</v>
      </c>
    </row>
    <row r="138" spans="1:22" x14ac:dyDescent="0.25">
      <c r="A138" s="13" t="s">
        <v>30</v>
      </c>
      <c r="B138" s="15"/>
      <c r="C138" s="3"/>
      <c r="D138" s="37"/>
      <c r="E138" s="99"/>
      <c r="F138" s="83"/>
      <c r="G138" s="118"/>
      <c r="H138" s="70"/>
      <c r="J138" s="319"/>
      <c r="K138" s="70"/>
      <c r="L138" s="299"/>
    </row>
    <row r="139" spans="1:22" x14ac:dyDescent="0.25">
      <c r="A139" s="71"/>
      <c r="B139" s="9" t="s">
        <v>3</v>
      </c>
      <c r="C139" s="9" t="s">
        <v>57</v>
      </c>
      <c r="D139" s="39">
        <v>0.66</v>
      </c>
      <c r="E139" s="126">
        <v>3.36</v>
      </c>
      <c r="F139" s="95">
        <v>2.82</v>
      </c>
      <c r="G139" s="126">
        <f>E139-F139</f>
        <v>0.54</v>
      </c>
      <c r="H139" s="288">
        <v>3.3</v>
      </c>
      <c r="I139" s="282">
        <v>2.57</v>
      </c>
      <c r="J139" s="319">
        <f t="shared" si="20"/>
        <v>3.8939393939393936</v>
      </c>
      <c r="K139" s="70">
        <f t="shared" ref="K139:K148" si="39">H139-I139</f>
        <v>0.73</v>
      </c>
      <c r="L139" s="284">
        <f t="shared" ref="L139:L148" si="40">(ABS(H139-I139))/I139</f>
        <v>0.28404669260700388</v>
      </c>
      <c r="M139" s="279">
        <v>2.5</v>
      </c>
      <c r="N139" s="70">
        <v>4.18</v>
      </c>
    </row>
    <row r="140" spans="1:22" x14ac:dyDescent="0.25">
      <c r="A140" s="1"/>
      <c r="B140" s="9" t="s">
        <v>3</v>
      </c>
      <c r="C140" s="9" t="s">
        <v>51</v>
      </c>
      <c r="D140" s="39">
        <v>2.79</v>
      </c>
      <c r="E140" s="126">
        <v>13.42</v>
      </c>
      <c r="F140" s="95">
        <v>16.260000000000002</v>
      </c>
      <c r="G140" s="126">
        <f t="shared" ref="G140:G151" si="41">E140-F140</f>
        <v>-2.8400000000000016</v>
      </c>
      <c r="H140" s="286">
        <v>7.5</v>
      </c>
      <c r="I140" s="282">
        <v>9.8000000000000007</v>
      </c>
      <c r="J140" s="319">
        <f t="shared" ref="J140:J191" si="42">I140/D140</f>
        <v>3.5125448028673838</v>
      </c>
      <c r="K140" s="70">
        <f t="shared" si="39"/>
        <v>-2.3000000000000007</v>
      </c>
      <c r="L140" s="284">
        <f t="shared" si="40"/>
        <v>0.23469387755102047</v>
      </c>
      <c r="M140" s="279">
        <v>10</v>
      </c>
      <c r="N140" s="70">
        <v>14.58</v>
      </c>
    </row>
    <row r="141" spans="1:22" x14ac:dyDescent="0.25">
      <c r="A141" s="71"/>
      <c r="B141" s="9" t="s">
        <v>3</v>
      </c>
      <c r="C141" s="9" t="s">
        <v>63</v>
      </c>
      <c r="D141" s="39">
        <v>2.7</v>
      </c>
      <c r="E141" s="126">
        <v>10.86</v>
      </c>
      <c r="F141" s="95">
        <v>8.07</v>
      </c>
      <c r="G141" s="126">
        <f t="shared" si="41"/>
        <v>2.7899999999999991</v>
      </c>
      <c r="H141" s="234">
        <v>7.5</v>
      </c>
      <c r="I141" s="282">
        <v>7.68</v>
      </c>
      <c r="J141" s="319">
        <f t="shared" si="42"/>
        <v>2.8444444444444441</v>
      </c>
      <c r="K141" s="70">
        <f t="shared" si="39"/>
        <v>-0.17999999999999972</v>
      </c>
      <c r="L141" s="284">
        <f t="shared" si="40"/>
        <v>2.3437499999999965E-2</v>
      </c>
      <c r="M141" s="279">
        <v>8</v>
      </c>
      <c r="N141" s="70">
        <v>14.36</v>
      </c>
    </row>
    <row r="142" spans="1:22" x14ac:dyDescent="0.25">
      <c r="A142" s="71"/>
      <c r="B142" s="9" t="s">
        <v>3</v>
      </c>
      <c r="C142" s="9" t="s">
        <v>64</v>
      </c>
      <c r="D142" s="39">
        <v>0.85</v>
      </c>
      <c r="E142" s="126">
        <v>3.21</v>
      </c>
      <c r="F142" s="95">
        <v>1.4</v>
      </c>
      <c r="G142" s="126">
        <f t="shared" si="41"/>
        <v>1.81</v>
      </c>
      <c r="H142" s="234">
        <v>2</v>
      </c>
      <c r="I142" s="282">
        <v>1.3</v>
      </c>
      <c r="J142" s="319">
        <f t="shared" si="42"/>
        <v>1.5294117647058825</v>
      </c>
      <c r="K142" s="70">
        <f t="shared" si="39"/>
        <v>0.7</v>
      </c>
      <c r="L142" s="284">
        <f t="shared" si="40"/>
        <v>0.53846153846153844</v>
      </c>
      <c r="M142" s="279">
        <v>1.5</v>
      </c>
      <c r="N142" s="70">
        <v>3.33</v>
      </c>
      <c r="P142" s="70"/>
      <c r="R142" s="70"/>
    </row>
    <row r="143" spans="1:22" x14ac:dyDescent="0.25">
      <c r="A143" s="71"/>
      <c r="B143" s="9" t="s">
        <v>3</v>
      </c>
      <c r="C143" s="9" t="s">
        <v>45</v>
      </c>
      <c r="D143" s="39">
        <v>0.78</v>
      </c>
      <c r="E143" s="126">
        <v>2.7</v>
      </c>
      <c r="F143" s="95">
        <v>1.67</v>
      </c>
      <c r="G143" s="126">
        <f t="shared" si="41"/>
        <v>1.0300000000000002</v>
      </c>
      <c r="H143" s="288">
        <v>2.2000000000000002</v>
      </c>
      <c r="I143" s="282">
        <v>1.1000000000000001</v>
      </c>
      <c r="J143" s="319">
        <f t="shared" si="42"/>
        <v>1.4102564102564104</v>
      </c>
      <c r="K143" s="70">
        <f t="shared" si="39"/>
        <v>1.1000000000000001</v>
      </c>
      <c r="L143" s="284">
        <f t="shared" si="40"/>
        <v>1</v>
      </c>
      <c r="M143" s="279">
        <v>2</v>
      </c>
      <c r="N143" s="70">
        <v>4.09</v>
      </c>
      <c r="P143" s="70"/>
      <c r="R143" s="70"/>
    </row>
    <row r="144" spans="1:22" x14ac:dyDescent="0.25">
      <c r="A144" s="1"/>
      <c r="B144" s="9" t="s">
        <v>3</v>
      </c>
      <c r="C144" s="9" t="s">
        <v>65</v>
      </c>
      <c r="D144" s="39">
        <v>4.92</v>
      </c>
      <c r="E144" s="126">
        <v>19.28</v>
      </c>
      <c r="F144" s="95">
        <v>21.55</v>
      </c>
      <c r="G144" s="126">
        <f t="shared" si="41"/>
        <v>-2.2699999999999996</v>
      </c>
      <c r="H144" s="234">
        <v>21.9</v>
      </c>
      <c r="I144" s="282">
        <v>15.29</v>
      </c>
      <c r="J144" s="319">
        <f t="shared" si="42"/>
        <v>3.1077235772357721</v>
      </c>
      <c r="K144" s="70">
        <f t="shared" si="39"/>
        <v>6.6099999999999994</v>
      </c>
      <c r="L144" s="284">
        <f t="shared" si="40"/>
        <v>0.43230869849574882</v>
      </c>
      <c r="M144" s="279">
        <v>20</v>
      </c>
      <c r="N144" s="70">
        <v>24.83</v>
      </c>
      <c r="V144" s="475">
        <f>SUM(N139:N144)</f>
        <v>65.36999999999999</v>
      </c>
    </row>
    <row r="145" spans="1:22" s="70" customFormat="1" x14ac:dyDescent="0.25">
      <c r="A145" s="1"/>
      <c r="B145" s="9"/>
      <c r="C145" s="9" t="s">
        <v>183</v>
      </c>
      <c r="D145" s="39"/>
      <c r="E145" s="126"/>
      <c r="F145" s="95"/>
      <c r="G145" s="126"/>
      <c r="H145" s="234"/>
      <c r="I145" s="282"/>
      <c r="J145" s="319"/>
      <c r="L145" s="284"/>
      <c r="M145" s="279"/>
      <c r="O145" s="268"/>
      <c r="Q145" s="268"/>
      <c r="S145" s="268"/>
      <c r="U145" s="268"/>
      <c r="V145" s="475"/>
    </row>
    <row r="146" spans="1:22" s="70" customFormat="1" x14ac:dyDescent="0.25">
      <c r="A146" s="1"/>
      <c r="B146" s="9"/>
      <c r="C146" s="9" t="s">
        <v>184</v>
      </c>
      <c r="D146" s="39"/>
      <c r="E146" s="126"/>
      <c r="F146" s="95"/>
      <c r="G146" s="126"/>
      <c r="H146" s="234"/>
      <c r="I146" s="282"/>
      <c r="J146" s="319"/>
      <c r="L146" s="284"/>
      <c r="M146" s="279"/>
      <c r="O146" s="268"/>
      <c r="Q146" s="268"/>
      <c r="S146" s="268"/>
      <c r="U146" s="268"/>
      <c r="V146" s="475"/>
    </row>
    <row r="147" spans="1:22" x14ac:dyDescent="0.25">
      <c r="A147" s="1"/>
      <c r="B147" s="18" t="s">
        <v>7</v>
      </c>
      <c r="C147" s="18"/>
      <c r="D147" s="129">
        <v>6.41</v>
      </c>
      <c r="E147" s="140">
        <v>0</v>
      </c>
      <c r="F147" s="97">
        <v>23.13</v>
      </c>
      <c r="G147" s="126">
        <f t="shared" si="41"/>
        <v>-23.13</v>
      </c>
      <c r="H147" s="290">
        <v>23.13</v>
      </c>
      <c r="I147" s="282">
        <v>25.8</v>
      </c>
      <c r="J147" s="319">
        <f t="shared" si="42"/>
        <v>4.0249609984399379</v>
      </c>
      <c r="K147" s="70">
        <f t="shared" si="39"/>
        <v>-2.6700000000000017</v>
      </c>
      <c r="L147" s="300">
        <f t="shared" si="40"/>
        <v>0.10348837209302332</v>
      </c>
      <c r="M147" s="279">
        <v>20</v>
      </c>
    </row>
    <row r="148" spans="1:22" x14ac:dyDescent="0.25">
      <c r="A148" s="71"/>
      <c r="B148" s="12"/>
      <c r="C148" s="151" t="s">
        <v>115</v>
      </c>
      <c r="D148" s="176">
        <f>SUM(D139:D144)</f>
        <v>12.7</v>
      </c>
      <c r="E148" s="187">
        <f>SUM(E139:E144)</f>
        <v>52.830000000000005</v>
      </c>
      <c r="F148" s="176">
        <f>SUM(F139:F144)</f>
        <v>51.769999999999996</v>
      </c>
      <c r="G148" s="161">
        <f t="shared" si="41"/>
        <v>1.0600000000000094</v>
      </c>
      <c r="H148" s="70">
        <f>SUM(H139:H144)</f>
        <v>44.4</v>
      </c>
      <c r="I148" s="282">
        <f>SUM(I139:I144)</f>
        <v>37.74</v>
      </c>
      <c r="J148" s="319"/>
      <c r="K148" s="70">
        <f t="shared" si="39"/>
        <v>6.6599999999999966</v>
      </c>
      <c r="L148" s="284">
        <f t="shared" si="40"/>
        <v>0.17647058823529402</v>
      </c>
    </row>
    <row r="149" spans="1:22" x14ac:dyDescent="0.25">
      <c r="A149" s="71"/>
      <c r="B149" s="12"/>
      <c r="C149" s="71" t="s">
        <v>121</v>
      </c>
      <c r="D149" s="149">
        <v>0</v>
      </c>
      <c r="E149" s="165">
        <v>0</v>
      </c>
      <c r="F149" s="149">
        <v>0</v>
      </c>
      <c r="G149" s="171">
        <f t="shared" si="41"/>
        <v>0</v>
      </c>
      <c r="H149" s="70">
        <v>0</v>
      </c>
      <c r="I149" s="282">
        <v>0</v>
      </c>
      <c r="J149" s="319"/>
      <c r="K149" s="70"/>
      <c r="L149" s="284"/>
    </row>
    <row r="150" spans="1:22" ht="15.75" thickBot="1" x14ac:dyDescent="0.3">
      <c r="A150" s="71"/>
      <c r="B150" s="69"/>
      <c r="C150" s="156" t="s">
        <v>117</v>
      </c>
      <c r="D150" s="183">
        <v>6.41</v>
      </c>
      <c r="E150" s="188">
        <v>0</v>
      </c>
      <c r="F150" s="183">
        <v>23.13</v>
      </c>
      <c r="G150" s="169">
        <f t="shared" si="41"/>
        <v>-23.13</v>
      </c>
      <c r="H150" s="70">
        <f>SUM(H147)</f>
        <v>23.13</v>
      </c>
      <c r="I150" s="282">
        <f>SUM(I147)</f>
        <v>25.8</v>
      </c>
      <c r="J150" s="319"/>
      <c r="K150" s="70">
        <f>H150-I150</f>
        <v>-2.6700000000000017</v>
      </c>
      <c r="L150" s="300">
        <f>(ABS(H150-I150))/I150</f>
        <v>0.10348837209302332</v>
      </c>
    </row>
    <row r="151" spans="1:22" ht="15.75" thickTop="1" x14ac:dyDescent="0.25">
      <c r="A151" s="71"/>
      <c r="B151" s="69"/>
      <c r="C151" s="79" t="s">
        <v>118</v>
      </c>
      <c r="D151" s="186">
        <f>SUM(D148,D150)</f>
        <v>19.11</v>
      </c>
      <c r="E151" s="165">
        <v>52.83</v>
      </c>
      <c r="F151" s="149">
        <f>SUM(F148,F150)</f>
        <v>74.899999999999991</v>
      </c>
      <c r="G151" s="171">
        <f t="shared" si="41"/>
        <v>-22.069999999999993</v>
      </c>
      <c r="H151" s="70">
        <f>SUM(H148:H150)</f>
        <v>67.53</v>
      </c>
      <c r="I151" s="315">
        <f>SUM(I148:I150)</f>
        <v>63.540000000000006</v>
      </c>
      <c r="J151" s="443"/>
      <c r="K151" s="255">
        <f>H151-I151</f>
        <v>3.9899999999999949</v>
      </c>
      <c r="L151" s="447">
        <f>(ABS(H151-I151))/I151</f>
        <v>6.2795089707270921E-2</v>
      </c>
      <c r="M151" s="464">
        <f>SUM(M139:M148)</f>
        <v>64</v>
      </c>
      <c r="N151" s="255"/>
      <c r="O151" s="291"/>
      <c r="P151" s="255"/>
      <c r="Q151" s="291"/>
      <c r="R151" s="255"/>
      <c r="S151" s="291"/>
      <c r="T151" s="255"/>
      <c r="U151" s="291"/>
      <c r="V151" s="464">
        <f>SUM(N139:N145)</f>
        <v>65.36999999999999</v>
      </c>
    </row>
    <row r="152" spans="1:22" x14ac:dyDescent="0.25">
      <c r="A152" s="3" t="s">
        <v>33</v>
      </c>
      <c r="B152" s="15"/>
      <c r="C152" s="15"/>
      <c r="D152" s="42"/>
      <c r="E152" s="99"/>
      <c r="F152" s="83"/>
      <c r="G152" s="118"/>
      <c r="H152" s="70"/>
      <c r="J152" s="319"/>
      <c r="K152" s="70"/>
      <c r="L152" s="299"/>
    </row>
    <row r="153" spans="1:22" x14ac:dyDescent="0.25">
      <c r="A153" s="71"/>
      <c r="B153" s="72" t="s">
        <v>3</v>
      </c>
      <c r="C153" s="72" t="s">
        <v>52</v>
      </c>
      <c r="D153" s="39">
        <v>1.79</v>
      </c>
      <c r="E153" s="126">
        <v>5.91</v>
      </c>
      <c r="F153" s="95">
        <v>8.6199999999999992</v>
      </c>
      <c r="G153" s="126">
        <f>E153-F153</f>
        <v>-2.7099999999999991</v>
      </c>
      <c r="H153" s="70">
        <v>6.2</v>
      </c>
      <c r="I153" s="282">
        <v>7.67</v>
      </c>
      <c r="J153" s="319">
        <f t="shared" si="42"/>
        <v>4.2849162011173183</v>
      </c>
      <c r="K153" s="70">
        <f t="shared" ref="K153:K182" si="43">H153-I153</f>
        <v>-1.4699999999999998</v>
      </c>
      <c r="L153" s="284">
        <f t="shared" ref="L153:L187" si="44">(ABS(H153-I153))/I153</f>
        <v>0.19165580182529332</v>
      </c>
      <c r="M153" s="279">
        <v>7.5</v>
      </c>
      <c r="N153" s="70">
        <v>7.22</v>
      </c>
    </row>
    <row r="154" spans="1:22" x14ac:dyDescent="0.25">
      <c r="A154" s="71"/>
      <c r="B154" s="72" t="s">
        <v>3</v>
      </c>
      <c r="C154" s="72" t="s">
        <v>32</v>
      </c>
      <c r="D154" s="39">
        <v>2.4700000000000002</v>
      </c>
      <c r="E154" s="126">
        <v>7.04</v>
      </c>
      <c r="F154" s="95">
        <v>11.47</v>
      </c>
      <c r="G154" s="126">
        <f t="shared" ref="G154:G187" si="45">E154-F154</f>
        <v>-4.4300000000000006</v>
      </c>
      <c r="H154" s="288">
        <v>9.5</v>
      </c>
      <c r="I154" s="282">
        <v>9.4600000000000009</v>
      </c>
      <c r="J154" s="319">
        <f t="shared" si="42"/>
        <v>3.8299595141700404</v>
      </c>
      <c r="K154" s="70">
        <f t="shared" si="43"/>
        <v>3.9999999999999147E-2</v>
      </c>
      <c r="L154" s="284">
        <f t="shared" si="44"/>
        <v>4.2283298097250677E-3</v>
      </c>
      <c r="M154" s="279">
        <v>10</v>
      </c>
      <c r="N154" s="70">
        <v>8.76</v>
      </c>
      <c r="R154" s="70"/>
    </row>
    <row r="155" spans="1:22" x14ac:dyDescent="0.25">
      <c r="A155" s="71"/>
      <c r="B155" s="9" t="s">
        <v>3</v>
      </c>
      <c r="C155" s="9" t="s">
        <v>54</v>
      </c>
      <c r="D155" s="39">
        <v>0.92</v>
      </c>
      <c r="E155" s="126">
        <v>2.96</v>
      </c>
      <c r="F155" s="95">
        <v>4.32</v>
      </c>
      <c r="G155" s="126">
        <f t="shared" si="45"/>
        <v>-1.3600000000000003</v>
      </c>
      <c r="H155" s="70">
        <v>2.9</v>
      </c>
      <c r="I155" s="282">
        <v>4.51</v>
      </c>
      <c r="J155" s="319">
        <f t="shared" si="42"/>
        <v>4.9021739130434776</v>
      </c>
      <c r="K155" s="70">
        <f t="shared" si="43"/>
        <v>-1.6099999999999999</v>
      </c>
      <c r="L155" s="284">
        <f t="shared" si="44"/>
        <v>0.35698447893569846</v>
      </c>
      <c r="M155" s="279">
        <v>6</v>
      </c>
      <c r="N155" s="70">
        <v>6.11</v>
      </c>
    </row>
    <row r="156" spans="1:22" x14ac:dyDescent="0.25">
      <c r="A156" s="71"/>
      <c r="B156" s="9" t="s">
        <v>3</v>
      </c>
      <c r="C156" s="9" t="s">
        <v>66</v>
      </c>
      <c r="D156" s="39">
        <v>0.55000000000000004</v>
      </c>
      <c r="E156" s="126">
        <v>1.84</v>
      </c>
      <c r="F156" s="95">
        <v>1.72</v>
      </c>
      <c r="G156" s="126">
        <f t="shared" si="45"/>
        <v>0.12000000000000011</v>
      </c>
      <c r="H156" s="70">
        <v>1.3</v>
      </c>
      <c r="I156" s="282">
        <v>1.1299999999999999</v>
      </c>
      <c r="J156" s="319">
        <f t="shared" si="42"/>
        <v>2.0545454545454542</v>
      </c>
      <c r="K156" s="70">
        <f t="shared" si="43"/>
        <v>0.17000000000000015</v>
      </c>
      <c r="L156" s="284">
        <f t="shared" si="44"/>
        <v>0.15044247787610635</v>
      </c>
      <c r="M156" s="279">
        <v>2</v>
      </c>
      <c r="N156" s="70">
        <v>4.1900000000000004</v>
      </c>
      <c r="P156" s="70"/>
      <c r="R156" s="70"/>
    </row>
    <row r="157" spans="1:22" x14ac:dyDescent="0.25">
      <c r="A157" s="1"/>
      <c r="B157" s="9" t="s">
        <v>3</v>
      </c>
      <c r="C157" s="9" t="s">
        <v>67</v>
      </c>
      <c r="D157" s="39">
        <v>0.96</v>
      </c>
      <c r="E157" s="126">
        <v>2.36</v>
      </c>
      <c r="F157" s="95">
        <v>2.88</v>
      </c>
      <c r="G157" s="126">
        <f t="shared" si="45"/>
        <v>-0.52</v>
      </c>
      <c r="H157" s="70">
        <v>3</v>
      </c>
      <c r="I157" s="282">
        <v>2.46</v>
      </c>
      <c r="J157" s="319">
        <f t="shared" si="42"/>
        <v>2.5625</v>
      </c>
      <c r="K157" s="70">
        <f t="shared" si="43"/>
        <v>0.54</v>
      </c>
      <c r="L157" s="284">
        <f t="shared" si="44"/>
        <v>0.21951219512195125</v>
      </c>
      <c r="M157" s="279">
        <v>4</v>
      </c>
      <c r="P157" s="70"/>
      <c r="R157" s="70"/>
    </row>
    <row r="158" spans="1:22" x14ac:dyDescent="0.25">
      <c r="A158" s="71"/>
      <c r="B158" s="9" t="s">
        <v>3</v>
      </c>
      <c r="C158" s="9" t="s">
        <v>68</v>
      </c>
      <c r="D158" s="39">
        <v>0.56999999999999995</v>
      </c>
      <c r="E158" s="126">
        <v>1.82</v>
      </c>
      <c r="F158" s="95">
        <v>2.1800000000000002</v>
      </c>
      <c r="G158" s="126">
        <f t="shared" si="45"/>
        <v>-0.3600000000000001</v>
      </c>
      <c r="H158" s="288">
        <v>1.8</v>
      </c>
      <c r="I158" s="282">
        <v>1.32</v>
      </c>
      <c r="J158" s="319">
        <f t="shared" si="42"/>
        <v>2.3157894736842106</v>
      </c>
      <c r="K158" s="70">
        <f t="shared" si="43"/>
        <v>0.48</v>
      </c>
      <c r="L158" s="284">
        <f t="shared" si="44"/>
        <v>0.36363636363636359</v>
      </c>
      <c r="M158" s="279">
        <v>2</v>
      </c>
      <c r="P158" s="70"/>
      <c r="R158" s="70"/>
    </row>
    <row r="159" spans="1:22" x14ac:dyDescent="0.25">
      <c r="A159" s="71"/>
      <c r="B159" s="9" t="s">
        <v>3</v>
      </c>
      <c r="C159" s="72" t="s">
        <v>69</v>
      </c>
      <c r="D159" s="39">
        <v>0.9</v>
      </c>
      <c r="E159" s="126">
        <v>3.33</v>
      </c>
      <c r="F159" s="95">
        <v>5.25</v>
      </c>
      <c r="G159" s="126">
        <f t="shared" si="45"/>
        <v>-1.92</v>
      </c>
      <c r="H159" s="70">
        <v>4.3</v>
      </c>
      <c r="I159" s="282">
        <v>3.84</v>
      </c>
      <c r="J159" s="319">
        <f t="shared" si="42"/>
        <v>4.2666666666666666</v>
      </c>
      <c r="K159" s="70">
        <f t="shared" si="43"/>
        <v>0.45999999999999996</v>
      </c>
      <c r="L159" s="284">
        <f t="shared" si="44"/>
        <v>0.11979166666666666</v>
      </c>
      <c r="M159" s="279">
        <v>4</v>
      </c>
      <c r="N159" s="70">
        <v>3.42</v>
      </c>
    </row>
    <row r="160" spans="1:22" x14ac:dyDescent="0.25">
      <c r="A160" s="71"/>
      <c r="B160" s="9" t="s">
        <v>3</v>
      </c>
      <c r="C160" s="9" t="s">
        <v>70</v>
      </c>
      <c r="D160" s="39">
        <v>2.68</v>
      </c>
      <c r="E160" s="126">
        <v>8.52</v>
      </c>
      <c r="F160" s="95">
        <v>12</v>
      </c>
      <c r="G160" s="126">
        <f t="shared" si="45"/>
        <v>-3.4800000000000004</v>
      </c>
      <c r="H160" s="70">
        <v>9.5</v>
      </c>
      <c r="I160" s="282">
        <v>11.47</v>
      </c>
      <c r="J160" s="319">
        <f t="shared" si="42"/>
        <v>4.2798507462686564</v>
      </c>
      <c r="K160" s="70">
        <f t="shared" si="43"/>
        <v>-1.9700000000000006</v>
      </c>
      <c r="L160" s="284">
        <f t="shared" si="44"/>
        <v>0.17175239755884922</v>
      </c>
      <c r="M160" s="279">
        <v>14</v>
      </c>
      <c r="N160" s="70">
        <v>8.94</v>
      </c>
    </row>
    <row r="161" spans="1:23" x14ac:dyDescent="0.25">
      <c r="A161" s="1"/>
      <c r="B161" s="9" t="s">
        <v>3</v>
      </c>
      <c r="C161" s="9" t="s">
        <v>71</v>
      </c>
      <c r="D161" s="39">
        <v>0.53</v>
      </c>
      <c r="E161" s="126">
        <v>2.74</v>
      </c>
      <c r="F161" s="95">
        <v>2.84</v>
      </c>
      <c r="G161" s="126">
        <f t="shared" si="45"/>
        <v>-9.9999999999999645E-2</v>
      </c>
      <c r="H161" s="70">
        <v>2</v>
      </c>
      <c r="I161" s="282">
        <v>3.75</v>
      </c>
      <c r="J161" s="319">
        <f t="shared" si="42"/>
        <v>7.0754716981132075</v>
      </c>
      <c r="K161">
        <f t="shared" si="43"/>
        <v>-1.75</v>
      </c>
      <c r="L161" s="284">
        <f t="shared" si="44"/>
        <v>0.46666666666666667</v>
      </c>
      <c r="M161" s="279">
        <v>4</v>
      </c>
      <c r="N161" s="70">
        <v>14.15</v>
      </c>
    </row>
    <row r="162" spans="1:23" x14ac:dyDescent="0.25">
      <c r="A162" s="71"/>
      <c r="B162" s="9" t="s">
        <v>3</v>
      </c>
      <c r="C162" s="9" t="s">
        <v>72</v>
      </c>
      <c r="D162" s="39">
        <v>1.25</v>
      </c>
      <c r="E162" s="126">
        <v>5.41</v>
      </c>
      <c r="F162" s="95">
        <v>6.22</v>
      </c>
      <c r="G162" s="126">
        <f t="shared" si="45"/>
        <v>-0.80999999999999961</v>
      </c>
      <c r="H162" s="70">
        <v>4.0999999999999996</v>
      </c>
      <c r="I162" s="282">
        <v>4.1100000000000003</v>
      </c>
      <c r="J162" s="319">
        <f t="shared" si="42"/>
        <v>3.2880000000000003</v>
      </c>
      <c r="K162" s="70">
        <f t="shared" si="43"/>
        <v>-1.0000000000000675E-2</v>
      </c>
      <c r="L162" s="284">
        <f t="shared" si="44"/>
        <v>2.4330900243310642E-3</v>
      </c>
      <c r="M162" s="279">
        <v>4</v>
      </c>
      <c r="R162" s="70"/>
    </row>
    <row r="163" spans="1:23" x14ac:dyDescent="0.25">
      <c r="A163" s="71"/>
      <c r="B163" s="9" t="s">
        <v>3</v>
      </c>
      <c r="C163" s="9" t="s">
        <v>73</v>
      </c>
      <c r="D163" s="39">
        <v>1.63</v>
      </c>
      <c r="E163" s="126">
        <v>6.38</v>
      </c>
      <c r="F163" s="95">
        <v>8.42</v>
      </c>
      <c r="G163" s="126">
        <f t="shared" si="45"/>
        <v>-2.04</v>
      </c>
      <c r="H163" s="288">
        <v>6.7</v>
      </c>
      <c r="I163" s="282">
        <v>6.91</v>
      </c>
      <c r="J163" s="319">
        <f t="shared" si="42"/>
        <v>4.2392638036809815</v>
      </c>
      <c r="K163" s="70">
        <f t="shared" si="43"/>
        <v>-0.20999999999999996</v>
      </c>
      <c r="L163" s="284">
        <f t="shared" si="44"/>
        <v>3.0390738060781471E-2</v>
      </c>
      <c r="M163" s="279">
        <v>6</v>
      </c>
    </row>
    <row r="164" spans="1:23" x14ac:dyDescent="0.25">
      <c r="A164" s="71"/>
      <c r="B164" s="9" t="s">
        <v>3</v>
      </c>
      <c r="C164" s="9" t="s">
        <v>74</v>
      </c>
      <c r="D164" s="39">
        <v>1.72</v>
      </c>
      <c r="E164" s="126">
        <v>5.4</v>
      </c>
      <c r="F164" s="95">
        <v>6.16</v>
      </c>
      <c r="G164" s="126">
        <f t="shared" si="45"/>
        <v>-0.75999999999999979</v>
      </c>
      <c r="H164" s="288">
        <v>6</v>
      </c>
      <c r="I164" s="282">
        <v>7.39</v>
      </c>
      <c r="J164" s="319">
        <f t="shared" si="42"/>
        <v>4.2965116279069768</v>
      </c>
      <c r="K164" s="70">
        <f t="shared" si="43"/>
        <v>-1.3899999999999997</v>
      </c>
      <c r="L164" s="284">
        <f t="shared" si="44"/>
        <v>0.18809201623815963</v>
      </c>
      <c r="M164" s="279">
        <v>7</v>
      </c>
      <c r="N164" s="70">
        <v>6.34</v>
      </c>
    </row>
    <row r="165" spans="1:23" x14ac:dyDescent="0.25">
      <c r="A165" s="1"/>
      <c r="B165" s="9" t="s">
        <v>3</v>
      </c>
      <c r="C165" s="9" t="s">
        <v>75</v>
      </c>
      <c r="D165" s="39">
        <v>1.57</v>
      </c>
      <c r="E165" s="126">
        <v>3.86</v>
      </c>
      <c r="F165" s="95">
        <v>6.93</v>
      </c>
      <c r="G165" s="126">
        <f t="shared" si="45"/>
        <v>-3.07</v>
      </c>
      <c r="H165" s="70">
        <v>3.7</v>
      </c>
      <c r="I165" s="282">
        <v>5.29</v>
      </c>
      <c r="J165" s="319">
        <f t="shared" si="42"/>
        <v>3.3694267515923566</v>
      </c>
      <c r="K165" s="70">
        <f t="shared" si="43"/>
        <v>-1.5899999999999999</v>
      </c>
      <c r="L165" s="284">
        <f t="shared" si="44"/>
        <v>0.30056710775047257</v>
      </c>
      <c r="M165" s="279">
        <v>6</v>
      </c>
      <c r="N165" s="70">
        <v>4.95</v>
      </c>
    </row>
    <row r="166" spans="1:23" x14ac:dyDescent="0.25">
      <c r="A166" s="71"/>
      <c r="B166" s="9" t="s">
        <v>3</v>
      </c>
      <c r="C166" s="9" t="s">
        <v>76</v>
      </c>
      <c r="D166" s="39">
        <v>1.01</v>
      </c>
      <c r="E166" s="126">
        <v>3.65</v>
      </c>
      <c r="F166" s="95">
        <v>6.29</v>
      </c>
      <c r="G166" s="126">
        <f t="shared" si="45"/>
        <v>-2.64</v>
      </c>
      <c r="H166" s="234">
        <v>3.6</v>
      </c>
      <c r="I166" s="282">
        <v>4.6399999999999997</v>
      </c>
      <c r="J166" s="319">
        <f t="shared" si="42"/>
        <v>4.5940594059405937</v>
      </c>
      <c r="K166" s="70">
        <f t="shared" si="43"/>
        <v>-1.0399999999999996</v>
      </c>
      <c r="L166" s="284">
        <f t="shared" si="44"/>
        <v>0.22413793103448268</v>
      </c>
      <c r="M166" s="279">
        <v>5</v>
      </c>
      <c r="N166" s="70">
        <v>4.88</v>
      </c>
    </row>
    <row r="167" spans="1:23" s="70" customFormat="1" x14ac:dyDescent="0.25">
      <c r="A167" s="71"/>
      <c r="B167" s="9"/>
      <c r="C167" s="9" t="s">
        <v>182</v>
      </c>
      <c r="D167" s="39"/>
      <c r="E167" s="126"/>
      <c r="F167" s="95"/>
      <c r="G167" s="126"/>
      <c r="H167" s="234"/>
      <c r="I167" s="282"/>
      <c r="J167" s="319"/>
      <c r="L167" s="284"/>
      <c r="M167" s="279"/>
      <c r="O167" s="268"/>
      <c r="Q167" s="268"/>
      <c r="S167" s="268"/>
      <c r="U167" s="268"/>
      <c r="V167" s="475"/>
    </row>
    <row r="168" spans="1:23" s="70" customFormat="1" x14ac:dyDescent="0.25">
      <c r="A168" s="71"/>
      <c r="B168" s="9"/>
      <c r="C168" s="9" t="s">
        <v>181</v>
      </c>
      <c r="D168" s="39"/>
      <c r="E168" s="126"/>
      <c r="F168" s="95"/>
      <c r="G168" s="126"/>
      <c r="H168" s="234"/>
      <c r="I168" s="282"/>
      <c r="J168" s="319"/>
      <c r="L168" s="284"/>
      <c r="M168" s="279"/>
      <c r="O168" s="268"/>
      <c r="Q168" s="268"/>
      <c r="S168" s="268"/>
      <c r="U168" s="268"/>
      <c r="V168" s="475"/>
    </row>
    <row r="169" spans="1:23" x14ac:dyDescent="0.25">
      <c r="A169" s="71"/>
      <c r="B169" s="9" t="s">
        <v>3</v>
      </c>
      <c r="C169" s="9" t="s">
        <v>77</v>
      </c>
      <c r="D169" s="39">
        <v>1.5</v>
      </c>
      <c r="E169" s="126">
        <v>4.58</v>
      </c>
      <c r="F169" s="95">
        <v>8.81</v>
      </c>
      <c r="G169" s="126">
        <f t="shared" si="45"/>
        <v>-4.2300000000000004</v>
      </c>
      <c r="H169" s="288">
        <v>7.3</v>
      </c>
      <c r="I169" s="282">
        <v>5.47</v>
      </c>
      <c r="J169" s="319">
        <f t="shared" si="42"/>
        <v>3.6466666666666665</v>
      </c>
      <c r="K169" s="70">
        <f t="shared" si="43"/>
        <v>1.83</v>
      </c>
      <c r="L169" s="284">
        <f t="shared" si="44"/>
        <v>0.33455210237659966</v>
      </c>
      <c r="M169" s="279">
        <v>5</v>
      </c>
      <c r="N169" s="70">
        <v>5.83</v>
      </c>
      <c r="P169" s="70"/>
    </row>
    <row r="170" spans="1:23" s="70" customFormat="1" x14ac:dyDescent="0.25">
      <c r="A170" s="71"/>
      <c r="B170" s="9"/>
      <c r="C170" s="9" t="s">
        <v>182</v>
      </c>
      <c r="D170" s="39"/>
      <c r="E170" s="126"/>
      <c r="F170" s="95"/>
      <c r="G170" s="126"/>
      <c r="H170" s="288"/>
      <c r="I170" s="282"/>
      <c r="J170" s="319"/>
      <c r="L170" s="284"/>
      <c r="M170" s="279"/>
      <c r="O170" s="268"/>
      <c r="Q170" s="268"/>
      <c r="S170" s="268"/>
      <c r="U170" s="268"/>
      <c r="V170" s="475"/>
    </row>
    <row r="171" spans="1:23" s="70" customFormat="1" x14ac:dyDescent="0.25">
      <c r="A171" s="71"/>
      <c r="B171" s="9"/>
      <c r="C171" s="9" t="s">
        <v>181</v>
      </c>
      <c r="D171" s="39"/>
      <c r="E171" s="126"/>
      <c r="F171" s="95"/>
      <c r="G171" s="126"/>
      <c r="H171" s="288"/>
      <c r="I171" s="282"/>
      <c r="J171" s="319"/>
      <c r="L171" s="284"/>
      <c r="M171" s="279"/>
      <c r="O171" s="268"/>
      <c r="Q171" s="268"/>
      <c r="S171" s="268"/>
      <c r="U171" s="268"/>
      <c r="W171" s="475">
        <f>SUM(N153:N171)</f>
        <v>74.789999999999992</v>
      </c>
    </row>
    <row r="172" spans="1:23" x14ac:dyDescent="0.25">
      <c r="A172" s="71"/>
      <c r="B172" s="9" t="s">
        <v>86</v>
      </c>
      <c r="C172" s="9" t="s">
        <v>49</v>
      </c>
      <c r="D172" s="39">
        <v>2.71</v>
      </c>
      <c r="E172" s="126">
        <v>10.52</v>
      </c>
      <c r="F172" s="95">
        <v>10.26</v>
      </c>
      <c r="G172" s="126">
        <f t="shared" si="45"/>
        <v>0.25999999999999979</v>
      </c>
      <c r="H172" s="234">
        <v>6.3</v>
      </c>
      <c r="I172" s="282">
        <v>9.73</v>
      </c>
      <c r="J172" s="319">
        <f t="shared" si="42"/>
        <v>3.5904059040590406</v>
      </c>
      <c r="K172" s="70">
        <f t="shared" si="43"/>
        <v>-3.4300000000000006</v>
      </c>
      <c r="L172" s="284">
        <f t="shared" si="44"/>
        <v>0.35251798561151082</v>
      </c>
      <c r="M172" s="279">
        <v>10</v>
      </c>
      <c r="N172" s="70">
        <v>8.01</v>
      </c>
    </row>
    <row r="173" spans="1:23" x14ac:dyDescent="0.25">
      <c r="A173" s="1"/>
      <c r="B173" s="9" t="s">
        <v>86</v>
      </c>
      <c r="C173" s="9" t="s">
        <v>44</v>
      </c>
      <c r="D173" s="39">
        <v>1.04</v>
      </c>
      <c r="E173" s="126">
        <v>2.92</v>
      </c>
      <c r="F173" s="95">
        <v>3.6</v>
      </c>
      <c r="G173" s="126">
        <f t="shared" si="45"/>
        <v>-0.68000000000000016</v>
      </c>
      <c r="H173" s="234">
        <v>4.5</v>
      </c>
      <c r="I173" s="282">
        <v>3.67</v>
      </c>
      <c r="J173" s="319">
        <f t="shared" si="42"/>
        <v>3.5288461538461537</v>
      </c>
      <c r="K173" s="70">
        <f t="shared" si="43"/>
        <v>0.83000000000000007</v>
      </c>
      <c r="L173" s="284">
        <f t="shared" si="44"/>
        <v>0.226158038147139</v>
      </c>
      <c r="M173" s="279">
        <v>3</v>
      </c>
      <c r="N173" s="70">
        <v>4.43</v>
      </c>
    </row>
    <row r="174" spans="1:23" x14ac:dyDescent="0.25">
      <c r="A174" s="71"/>
      <c r="B174" s="9" t="s">
        <v>86</v>
      </c>
      <c r="C174" s="9" t="s">
        <v>12</v>
      </c>
      <c r="D174" s="39">
        <v>1.31</v>
      </c>
      <c r="E174" s="126">
        <v>4.51</v>
      </c>
      <c r="F174" s="95">
        <v>6.61</v>
      </c>
      <c r="G174" s="126">
        <f t="shared" si="45"/>
        <v>-2.1000000000000005</v>
      </c>
      <c r="H174" s="234">
        <v>4.7</v>
      </c>
      <c r="I174" s="282">
        <v>7.92</v>
      </c>
      <c r="J174" s="319">
        <f t="shared" si="42"/>
        <v>6.0458015267175567</v>
      </c>
      <c r="K174" s="70">
        <f t="shared" si="43"/>
        <v>-3.2199999999999998</v>
      </c>
      <c r="L174" s="284">
        <f t="shared" si="44"/>
        <v>0.40656565656565652</v>
      </c>
      <c r="M174" s="279">
        <v>7</v>
      </c>
      <c r="N174" s="70">
        <v>13.57</v>
      </c>
    </row>
    <row r="175" spans="1:23" x14ac:dyDescent="0.25">
      <c r="A175" s="71"/>
      <c r="B175" s="9" t="s">
        <v>86</v>
      </c>
      <c r="C175" s="9" t="s">
        <v>36</v>
      </c>
      <c r="D175" s="39">
        <v>1.22</v>
      </c>
      <c r="E175" s="126">
        <v>3.83</v>
      </c>
      <c r="F175" s="95">
        <v>1.38</v>
      </c>
      <c r="G175" s="126">
        <f t="shared" si="45"/>
        <v>2.4500000000000002</v>
      </c>
      <c r="H175" s="288">
        <v>5</v>
      </c>
      <c r="I175" s="282">
        <v>3.81</v>
      </c>
      <c r="J175" s="319">
        <f t="shared" si="42"/>
        <v>3.1229508196721314</v>
      </c>
      <c r="K175" s="70">
        <f t="shared" si="43"/>
        <v>1.19</v>
      </c>
      <c r="L175" s="284">
        <f t="shared" si="44"/>
        <v>0.31233595800524933</v>
      </c>
      <c r="M175" s="279">
        <v>3</v>
      </c>
      <c r="P175" s="70"/>
      <c r="R175" s="70"/>
    </row>
    <row r="176" spans="1:23" x14ac:dyDescent="0.25">
      <c r="A176" s="71"/>
      <c r="B176" s="9" t="s">
        <v>86</v>
      </c>
      <c r="C176" s="9" t="s">
        <v>63</v>
      </c>
      <c r="D176" s="39">
        <v>0.45</v>
      </c>
      <c r="E176" s="126">
        <v>3.21</v>
      </c>
      <c r="F176" s="95">
        <v>1.1000000000000001</v>
      </c>
      <c r="G176" s="126">
        <f t="shared" si="45"/>
        <v>2.11</v>
      </c>
      <c r="H176" s="234">
        <v>2</v>
      </c>
      <c r="I176" s="282">
        <v>1.81</v>
      </c>
      <c r="J176" s="319">
        <f t="shared" si="42"/>
        <v>4.0222222222222221</v>
      </c>
      <c r="K176" s="70">
        <f t="shared" si="43"/>
        <v>0.18999999999999995</v>
      </c>
      <c r="L176" s="300">
        <f t="shared" si="44"/>
        <v>0.1049723756906077</v>
      </c>
      <c r="M176" s="279">
        <v>2</v>
      </c>
      <c r="P176" s="70"/>
      <c r="R176" s="70"/>
    </row>
    <row r="177" spans="1:22" x14ac:dyDescent="0.25">
      <c r="A177" s="1"/>
      <c r="B177" s="9" t="s">
        <v>86</v>
      </c>
      <c r="C177" s="9" t="s">
        <v>64</v>
      </c>
      <c r="D177" s="39">
        <v>0.32</v>
      </c>
      <c r="E177" s="126">
        <v>0.41</v>
      </c>
      <c r="F177" s="95">
        <v>3.22</v>
      </c>
      <c r="G177" s="126">
        <f t="shared" si="45"/>
        <v>-2.81</v>
      </c>
      <c r="H177" s="234">
        <v>1.6</v>
      </c>
      <c r="I177" s="282">
        <v>0.94</v>
      </c>
      <c r="J177" s="319">
        <f t="shared" si="42"/>
        <v>2.9374999999999996</v>
      </c>
      <c r="K177" s="70">
        <f t="shared" si="43"/>
        <v>0.66000000000000014</v>
      </c>
      <c r="L177" s="284">
        <f t="shared" si="44"/>
        <v>0.70212765957446832</v>
      </c>
      <c r="M177" s="279">
        <v>2</v>
      </c>
      <c r="P177" s="70"/>
    </row>
    <row r="178" spans="1:22" s="70" customFormat="1" x14ac:dyDescent="0.25">
      <c r="A178" s="1"/>
      <c r="B178" s="9"/>
      <c r="C178" s="9" t="s">
        <v>195</v>
      </c>
      <c r="D178" s="39">
        <v>5.5</v>
      </c>
      <c r="E178" s="126"/>
      <c r="F178" s="95"/>
      <c r="G178" s="126"/>
      <c r="H178" s="234"/>
      <c r="I178" s="282"/>
      <c r="J178" s="319"/>
      <c r="L178" s="284"/>
      <c r="M178" s="279">
        <v>5</v>
      </c>
      <c r="N178" s="70">
        <v>6.56</v>
      </c>
      <c r="O178" s="268"/>
      <c r="Q178" s="268"/>
      <c r="S178" s="268"/>
      <c r="U178" s="268"/>
      <c r="V178" s="475"/>
    </row>
    <row r="179" spans="1:22" s="70" customFormat="1" x14ac:dyDescent="0.25">
      <c r="A179" s="1"/>
      <c r="B179" s="9"/>
      <c r="C179" s="9" t="s">
        <v>194</v>
      </c>
      <c r="D179" s="39">
        <v>5.5</v>
      </c>
      <c r="E179" s="126"/>
      <c r="F179" s="95"/>
      <c r="G179" s="126"/>
      <c r="H179" s="234"/>
      <c r="I179" s="282"/>
      <c r="J179" s="319"/>
      <c r="L179" s="284"/>
      <c r="M179" s="279">
        <v>5</v>
      </c>
      <c r="N179" s="70">
        <v>6.97</v>
      </c>
      <c r="O179" s="268"/>
      <c r="Q179" s="268"/>
      <c r="S179" s="268"/>
      <c r="U179" s="268"/>
      <c r="V179" s="475"/>
    </row>
    <row r="180" spans="1:22" s="70" customFormat="1" x14ac:dyDescent="0.25">
      <c r="A180" s="1"/>
      <c r="B180" s="18" t="s">
        <v>7</v>
      </c>
      <c r="C180" s="18" t="s">
        <v>180</v>
      </c>
      <c r="D180" s="39"/>
      <c r="E180" s="126"/>
      <c r="F180" s="95"/>
      <c r="G180" s="126"/>
      <c r="H180" s="234"/>
      <c r="I180" s="282"/>
      <c r="J180" s="319"/>
      <c r="L180" s="284"/>
      <c r="M180" s="279"/>
      <c r="O180" s="268"/>
      <c r="Q180" s="268"/>
      <c r="S180" s="268"/>
      <c r="U180" s="268"/>
      <c r="V180" s="475"/>
    </row>
    <row r="181" spans="1:22" x14ac:dyDescent="0.25">
      <c r="A181" s="71"/>
      <c r="B181" s="18" t="s">
        <v>7</v>
      </c>
      <c r="C181" s="18" t="s">
        <v>179</v>
      </c>
      <c r="D181" s="129">
        <v>5.0999999999999996</v>
      </c>
      <c r="E181" s="140">
        <v>15.46</v>
      </c>
      <c r="F181" s="97">
        <v>29.34</v>
      </c>
      <c r="G181" s="126">
        <f t="shared" si="45"/>
        <v>-13.879999999999999</v>
      </c>
      <c r="H181" s="234">
        <v>28.8</v>
      </c>
      <c r="I181" s="282">
        <v>30.54</v>
      </c>
      <c r="J181" s="319">
        <f t="shared" si="42"/>
        <v>5.9882352941176471</v>
      </c>
      <c r="K181" s="70">
        <f t="shared" si="43"/>
        <v>-1.7399999999999984</v>
      </c>
      <c r="L181" s="284">
        <f t="shared" si="44"/>
        <v>5.6974459724950834E-2</v>
      </c>
      <c r="M181" s="279">
        <v>30</v>
      </c>
      <c r="N181" s="70">
        <v>15.84</v>
      </c>
    </row>
    <row r="182" spans="1:22" x14ac:dyDescent="0.25">
      <c r="A182" s="71"/>
      <c r="B182" s="18" t="s">
        <v>7</v>
      </c>
      <c r="C182" s="18" t="s">
        <v>42</v>
      </c>
      <c r="D182" s="129">
        <v>4</v>
      </c>
      <c r="E182" s="140">
        <v>7.7</v>
      </c>
      <c r="F182" s="97">
        <v>18.02</v>
      </c>
      <c r="G182" s="126">
        <f t="shared" si="45"/>
        <v>-10.32</v>
      </c>
      <c r="H182" s="290">
        <v>12</v>
      </c>
      <c r="I182" s="282">
        <v>22.5</v>
      </c>
      <c r="J182" s="319">
        <f t="shared" si="42"/>
        <v>5.625</v>
      </c>
      <c r="K182" s="70">
        <f t="shared" si="43"/>
        <v>-10.5</v>
      </c>
      <c r="L182" s="284">
        <f t="shared" si="44"/>
        <v>0.46666666666666667</v>
      </c>
      <c r="M182" s="279">
        <v>20</v>
      </c>
      <c r="N182" s="70">
        <v>10.07</v>
      </c>
    </row>
    <row r="183" spans="1:22" x14ac:dyDescent="0.25">
      <c r="A183" s="71"/>
      <c r="B183" s="18" t="s">
        <v>7</v>
      </c>
      <c r="C183" s="18" t="s">
        <v>47</v>
      </c>
      <c r="D183" s="129">
        <v>4.5</v>
      </c>
      <c r="E183" s="140">
        <v>16.260000000000002</v>
      </c>
      <c r="F183" s="97">
        <v>23.8</v>
      </c>
      <c r="G183" s="126">
        <f t="shared" si="45"/>
        <v>-7.5399999999999991</v>
      </c>
      <c r="H183" s="290">
        <v>16</v>
      </c>
      <c r="I183" s="282">
        <v>22.76</v>
      </c>
      <c r="J183" s="319">
        <f t="shared" si="42"/>
        <v>5.0577777777777779</v>
      </c>
      <c r="K183" s="70" t="e">
        <f>H1451.3=H183-I183</f>
        <v>#NAME?</v>
      </c>
      <c r="L183" s="284">
        <f t="shared" si="44"/>
        <v>0.29701230228471004</v>
      </c>
      <c r="M183" s="279">
        <v>18</v>
      </c>
      <c r="N183" s="70">
        <v>20.6</v>
      </c>
    </row>
    <row r="184" spans="1:22" x14ac:dyDescent="0.25">
      <c r="A184" s="71"/>
      <c r="B184" s="12"/>
      <c r="C184" s="151" t="s">
        <v>115</v>
      </c>
      <c r="D184" s="176">
        <f>SUM(D153:D169)</f>
        <v>20.05</v>
      </c>
      <c r="E184" s="187">
        <f>SUM(E153:E169)</f>
        <v>65.800000000000011</v>
      </c>
      <c r="F184" s="176">
        <f>SUM(F153:F169)</f>
        <v>94.11</v>
      </c>
      <c r="G184" s="161">
        <f t="shared" si="45"/>
        <v>-28.309999999999988</v>
      </c>
      <c r="H184" s="70">
        <f>SUM(H153:H169)</f>
        <v>71.900000000000006</v>
      </c>
      <c r="I184" s="282">
        <f>SUM(I153:I169)</f>
        <v>79.42</v>
      </c>
      <c r="J184" s="319"/>
      <c r="K184" s="70">
        <f>H184-I184</f>
        <v>-7.519999999999996</v>
      </c>
      <c r="L184" s="284">
        <f t="shared" si="44"/>
        <v>9.4686476957945048E-2</v>
      </c>
    </row>
    <row r="185" spans="1:22" x14ac:dyDescent="0.25">
      <c r="A185" s="71"/>
      <c r="B185" s="12"/>
      <c r="C185" s="71" t="s">
        <v>119</v>
      </c>
      <c r="D185" s="149">
        <f>SUM(D172:D177)</f>
        <v>7.0500000000000007</v>
      </c>
      <c r="E185" s="165">
        <f>SUM(E172:E177)</f>
        <v>25.400000000000002</v>
      </c>
      <c r="F185" s="149">
        <f>SUM(F172:F177)</f>
        <v>26.169999999999998</v>
      </c>
      <c r="G185" s="171">
        <f t="shared" si="45"/>
        <v>-0.76999999999999602</v>
      </c>
      <c r="H185" s="70">
        <f>SUM(H172:H177)</f>
        <v>24.1</v>
      </c>
      <c r="I185" s="282">
        <f>SUM(I172:I177)</f>
        <v>27.88</v>
      </c>
      <c r="J185" s="319"/>
      <c r="K185" s="70">
        <f>H185-I185</f>
        <v>-3.7799999999999976</v>
      </c>
      <c r="L185" s="284">
        <f t="shared" si="44"/>
        <v>0.1355810616929698</v>
      </c>
    </row>
    <row r="186" spans="1:22" ht="15.75" thickBot="1" x14ac:dyDescent="0.3">
      <c r="A186" s="71"/>
      <c r="B186" s="69"/>
      <c r="C186" s="156" t="s">
        <v>117</v>
      </c>
      <c r="D186" s="183">
        <f>SUM(D181:D183)</f>
        <v>13.6</v>
      </c>
      <c r="E186" s="188">
        <f>SUM(E181:E183)</f>
        <v>39.42</v>
      </c>
      <c r="F186" s="183">
        <f>SUM(F181:F183)</f>
        <v>71.16</v>
      </c>
      <c r="G186" s="169">
        <f t="shared" si="45"/>
        <v>-31.739999999999995</v>
      </c>
      <c r="H186" s="70">
        <f>SUM(H181:H183)</f>
        <v>56.8</v>
      </c>
      <c r="I186" s="282">
        <f>SUM(I181:I183)</f>
        <v>75.8</v>
      </c>
      <c r="J186" s="319"/>
      <c r="K186" s="70">
        <f>H186-I186</f>
        <v>-19</v>
      </c>
      <c r="L186" s="284">
        <f t="shared" si="44"/>
        <v>0.2506596306068602</v>
      </c>
    </row>
    <row r="187" spans="1:22" ht="15.75" thickTop="1" x14ac:dyDescent="0.25">
      <c r="A187" s="43"/>
      <c r="B187" s="8"/>
      <c r="C187" s="79" t="s">
        <v>118</v>
      </c>
      <c r="D187" s="186">
        <f>SUM(D184:D186)</f>
        <v>40.700000000000003</v>
      </c>
      <c r="E187" s="165">
        <f>SUM(E184:E186)</f>
        <v>130.62</v>
      </c>
      <c r="F187" s="149">
        <f>SUM(F184:F186)</f>
        <v>191.44</v>
      </c>
      <c r="G187" s="171">
        <f t="shared" si="45"/>
        <v>-60.819999999999993</v>
      </c>
      <c r="H187" s="70">
        <f>SUM(H184:H186)</f>
        <v>152.80000000000001</v>
      </c>
      <c r="I187" s="315">
        <f>SUM(I184:I186)</f>
        <v>183.1</v>
      </c>
      <c r="J187" s="443"/>
      <c r="K187" s="255">
        <f>H187-I187</f>
        <v>-30.299999999999983</v>
      </c>
      <c r="L187" s="447">
        <f t="shared" si="44"/>
        <v>0.16548334243582732</v>
      </c>
      <c r="M187" s="464">
        <f>SUM(M153:M185)</f>
        <v>191.5</v>
      </c>
      <c r="N187" s="255"/>
      <c r="O187" s="291"/>
      <c r="P187" s="255"/>
      <c r="Q187" s="291"/>
      <c r="R187" s="255"/>
      <c r="S187" s="291"/>
      <c r="T187" s="255"/>
      <c r="U187" s="291"/>
      <c r="V187" s="464">
        <f>SUM(N153:N185)</f>
        <v>160.83999999999997</v>
      </c>
    </row>
    <row r="188" spans="1:22" x14ac:dyDescent="0.25">
      <c r="A188" s="3" t="s">
        <v>34</v>
      </c>
      <c r="B188" s="15"/>
      <c r="C188" s="3"/>
      <c r="D188" s="37"/>
      <c r="E188" s="99"/>
      <c r="F188" s="83"/>
      <c r="G188" s="118"/>
      <c r="H188" s="70"/>
      <c r="J188" s="319"/>
      <c r="K188" s="70"/>
      <c r="L188" s="299"/>
    </row>
    <row r="189" spans="1:22" x14ac:dyDescent="0.25">
      <c r="A189" s="71"/>
      <c r="B189" s="9" t="s">
        <v>3</v>
      </c>
      <c r="C189" s="9" t="s">
        <v>50</v>
      </c>
      <c r="D189" s="39">
        <v>2.69</v>
      </c>
      <c r="E189" s="126">
        <v>5.45</v>
      </c>
      <c r="F189" s="95">
        <v>10.72</v>
      </c>
      <c r="G189" s="126">
        <f t="shared" ref="G189:G195" si="46">E189-F189</f>
        <v>-5.2700000000000005</v>
      </c>
      <c r="H189" s="286">
        <v>7.8</v>
      </c>
      <c r="I189" s="282">
        <v>7.65</v>
      </c>
      <c r="J189" s="319">
        <f t="shared" si="42"/>
        <v>2.8438661710037176</v>
      </c>
      <c r="K189" s="70">
        <f>H189-I189</f>
        <v>0.14999999999999947</v>
      </c>
      <c r="L189" s="284">
        <f>(ABS(H189-I189))/I189</f>
        <v>1.9607843137254832E-2</v>
      </c>
      <c r="M189" s="279">
        <v>8</v>
      </c>
      <c r="N189" s="70">
        <v>9.57</v>
      </c>
    </row>
    <row r="190" spans="1:22" x14ac:dyDescent="0.25">
      <c r="A190" s="71"/>
      <c r="B190" s="9" t="s">
        <v>6</v>
      </c>
      <c r="C190" s="9" t="s">
        <v>38</v>
      </c>
      <c r="D190" s="39">
        <v>1.6</v>
      </c>
      <c r="E190" s="126">
        <v>3.47</v>
      </c>
      <c r="F190" s="95">
        <v>2.33</v>
      </c>
      <c r="G190" s="126">
        <f t="shared" si="46"/>
        <v>1.1400000000000001</v>
      </c>
      <c r="H190" s="288">
        <v>7.9</v>
      </c>
      <c r="I190" s="282">
        <v>1.9</v>
      </c>
      <c r="J190" s="319">
        <f t="shared" si="42"/>
        <v>1.1874999999999998</v>
      </c>
      <c r="K190" s="70">
        <f>H190-I190</f>
        <v>6</v>
      </c>
      <c r="L190" s="284">
        <f>(ABS(H190-I190))/I190</f>
        <v>3.1578947368421053</v>
      </c>
      <c r="M190" s="279">
        <v>2</v>
      </c>
      <c r="N190" s="70">
        <v>3.49</v>
      </c>
    </row>
    <row r="191" spans="1:22" x14ac:dyDescent="0.25">
      <c r="A191" s="71"/>
      <c r="B191" s="18" t="s">
        <v>7</v>
      </c>
      <c r="C191" s="18" t="s">
        <v>122</v>
      </c>
      <c r="D191" s="39">
        <v>2.85</v>
      </c>
      <c r="E191" s="128">
        <v>0</v>
      </c>
      <c r="F191" s="95">
        <v>9.82</v>
      </c>
      <c r="G191" s="126">
        <f t="shared" si="46"/>
        <v>-9.82</v>
      </c>
      <c r="H191" s="290">
        <v>10</v>
      </c>
      <c r="I191" s="282">
        <v>10.039999999999999</v>
      </c>
      <c r="J191" s="319">
        <f t="shared" si="42"/>
        <v>3.5228070175438591</v>
      </c>
      <c r="K191" s="70">
        <f>H191-I191</f>
        <v>-3.9999999999999147E-2</v>
      </c>
      <c r="L191" s="284">
        <f>(ABS(H191-I191))/I191</f>
        <v>3.9840637450198361E-3</v>
      </c>
      <c r="M191" s="279">
        <v>10</v>
      </c>
      <c r="N191" s="70">
        <v>9.6</v>
      </c>
    </row>
    <row r="192" spans="1:22" x14ac:dyDescent="0.25">
      <c r="A192" s="71"/>
      <c r="B192" s="12"/>
      <c r="C192" s="151" t="s">
        <v>115</v>
      </c>
      <c r="D192" s="163">
        <f>SUM(D189:D190)</f>
        <v>4.29</v>
      </c>
      <c r="E192" s="161">
        <f t="shared" ref="E192:F192" si="47">SUM(E189:E190)</f>
        <v>8.92</v>
      </c>
      <c r="F192" s="163">
        <f t="shared" si="47"/>
        <v>13.05</v>
      </c>
      <c r="G192" s="161">
        <f t="shared" si="46"/>
        <v>-4.1300000000000008</v>
      </c>
      <c r="H192" s="70">
        <f>SUM(H189:H190)</f>
        <v>15.7</v>
      </c>
      <c r="I192" s="282">
        <f>SUM(I189:I190)</f>
        <v>9.5500000000000007</v>
      </c>
      <c r="J192" s="319"/>
      <c r="K192" s="70">
        <f>H192-I192</f>
        <v>6.1499999999999986</v>
      </c>
      <c r="L192" s="284">
        <f>(ABS(H192-I192))/I192</f>
        <v>0.64397905759162288</v>
      </c>
    </row>
    <row r="193" spans="1:22" x14ac:dyDescent="0.25">
      <c r="A193" s="71"/>
      <c r="B193" s="12"/>
      <c r="C193" s="71" t="s">
        <v>116</v>
      </c>
      <c r="D193" s="158">
        <v>0</v>
      </c>
      <c r="E193" s="165">
        <v>0</v>
      </c>
      <c r="F193" s="149">
        <v>0</v>
      </c>
      <c r="G193" s="171">
        <f t="shared" si="46"/>
        <v>0</v>
      </c>
      <c r="H193" s="70">
        <v>0</v>
      </c>
      <c r="I193" s="282">
        <v>0</v>
      </c>
      <c r="J193" s="319"/>
      <c r="K193" s="70"/>
      <c r="L193" s="284"/>
    </row>
    <row r="194" spans="1:22" ht="15.75" thickBot="1" x14ac:dyDescent="0.3">
      <c r="A194" s="71"/>
      <c r="B194" s="69"/>
      <c r="C194" s="156" t="s">
        <v>117</v>
      </c>
      <c r="D194" s="170">
        <v>2.85</v>
      </c>
      <c r="E194" s="169">
        <v>0</v>
      </c>
      <c r="F194" s="170">
        <v>9.82</v>
      </c>
      <c r="G194" s="169">
        <f t="shared" si="46"/>
        <v>-9.82</v>
      </c>
      <c r="H194" s="70">
        <f>H191</f>
        <v>10</v>
      </c>
      <c r="I194" s="282">
        <f>I191</f>
        <v>10.039999999999999</v>
      </c>
      <c r="J194" s="319"/>
      <c r="K194" s="70">
        <f>H194-I194</f>
        <v>-3.9999999999999147E-2</v>
      </c>
      <c r="L194" s="284">
        <f>(ABS(H194-I194))/I194</f>
        <v>3.9840637450198361E-3</v>
      </c>
    </row>
    <row r="195" spans="1:22" ht="15.75" thickTop="1" x14ac:dyDescent="0.25">
      <c r="A195" s="71"/>
      <c r="B195" s="69"/>
      <c r="C195" s="79" t="s">
        <v>9</v>
      </c>
      <c r="D195" s="158">
        <f>SUM(D192,D194)</f>
        <v>7.1400000000000006</v>
      </c>
      <c r="E195" s="171">
        <v>8.92</v>
      </c>
      <c r="F195" s="158">
        <f>SUM(F192,F194)</f>
        <v>22.87</v>
      </c>
      <c r="G195" s="171">
        <f t="shared" si="46"/>
        <v>-13.950000000000001</v>
      </c>
      <c r="H195" s="70">
        <f>SUM(H192:H194)</f>
        <v>25.7</v>
      </c>
      <c r="I195" s="282">
        <f>SUM(I192:I194)</f>
        <v>19.59</v>
      </c>
      <c r="J195" s="319"/>
      <c r="K195" s="70">
        <f>H195-I195</f>
        <v>6.1099999999999994</v>
      </c>
      <c r="L195" s="284">
        <f>(ABS(H195-I195))/I195</f>
        <v>0.31189382337927513</v>
      </c>
    </row>
    <row r="196" spans="1:22" x14ac:dyDescent="0.25">
      <c r="E196" s="291"/>
      <c r="G196" s="291"/>
      <c r="H196" s="70"/>
      <c r="J196" s="304"/>
      <c r="K196" s="255"/>
      <c r="L196" s="447"/>
      <c r="M196" s="464">
        <f>SUM(M189:M191)</f>
        <v>20</v>
      </c>
      <c r="N196" s="255"/>
      <c r="O196" s="291"/>
      <c r="P196" s="255"/>
      <c r="Q196" s="291"/>
      <c r="R196" s="255"/>
      <c r="S196" s="291"/>
      <c r="T196" s="255"/>
      <c r="U196" s="291"/>
      <c r="V196" s="464">
        <f>SUM(N189:N194)</f>
        <v>22.66</v>
      </c>
    </row>
    <row r="197" spans="1:22" s="69" customFormat="1" ht="15.75" customHeight="1" x14ac:dyDescent="0.25">
      <c r="A197" s="20"/>
      <c r="B197" s="15"/>
      <c r="C197" s="59" t="s">
        <v>124</v>
      </c>
      <c r="D197" s="453">
        <f>D193+D192+D185+D184+D149+D148+D135+D134+D128+D127+D119+D118+D101+D97+D96+D72+D71+D65+D60+D59+D45+D44+D37+D36+D26+D25</f>
        <v>157.35999999999999</v>
      </c>
      <c r="E197" s="224">
        <f>E193+E192+E185+E184+E149+E148+E135+E134+E128+E127+E119+E118+E101+E97+E96+E72+E71+E65+E60+E59+E45+E44+E37+E36+E26+E25</f>
        <v>646.4</v>
      </c>
      <c r="F197" s="295">
        <f>SUM(F25:F26,F36:F37,F44:F45,F59:F60,F71:F72,F65,F96:F97,F101,F118,F127:F128,F148,F184:F185,F192)</f>
        <v>730.52999999999986</v>
      </c>
      <c r="G197" s="296">
        <f>SUM(G25:G26,G36:G37,G44:G45,G59:G60,G71:G72,G65,G96:G97,G101,G118,G127:G128,G148,G184:G185,G192)</f>
        <v>-84.129999999999953</v>
      </c>
      <c r="H197" s="303">
        <f>SUM(H25:H26,H36:H37,H44:H45,H59:H60,H71:H72,H65,H96:H97,H101,H118,H127:H128,H148,H184:H185,H192)</f>
        <v>680.58</v>
      </c>
      <c r="I197" s="296">
        <f>SUM(I25:I26,I36:I37,I44:I45,I59:I60,I71:I72,I65,I96:I97,I101,I118,I127:I128,I148,I184:I185,I192)</f>
        <v>728.3</v>
      </c>
      <c r="J197" s="319"/>
      <c r="K197" s="70">
        <f>H197-I197</f>
        <v>-47.719999999999914</v>
      </c>
      <c r="L197" s="284">
        <f>(ABS(H197-I197))/I197</f>
        <v>6.5522449540024605E-2</v>
      </c>
      <c r="M197" s="6"/>
      <c r="O197" s="119"/>
      <c r="Q197" s="119"/>
      <c r="S197" s="119"/>
      <c r="U197" s="119"/>
      <c r="V197" s="475"/>
    </row>
    <row r="198" spans="1:22" s="69" customFormat="1" ht="15.75" customHeight="1" x14ac:dyDescent="0.25">
      <c r="A198" s="22"/>
      <c r="C198" s="223" t="s">
        <v>123</v>
      </c>
      <c r="D198" s="454">
        <f>D194+D186+D150+D136+D129+D120+D111+D107+D105+D103+D98+D83+D73+D61+D46+D38+D27</f>
        <v>119.53999999999999</v>
      </c>
      <c r="E198" s="225">
        <f>E194+E186+E150+E136+E129+E120+E111+E107+E105+E103+E98+E83+E73+E61+E46+E38+E27</f>
        <v>359.12000000000006</v>
      </c>
      <c r="F198" s="294">
        <f>SUM(F27,F38,F61,F73,F83,F103,F105,F120,F136,F150,F186,F194)</f>
        <v>550.62</v>
      </c>
      <c r="G198" s="297">
        <f>SUM(G27,G38,G61,G73,G83,G103,G105,G120,G136,G150,G186,G194)</f>
        <v>-191.5</v>
      </c>
      <c r="H198" s="304">
        <f>SUM(H27,H38,H61,H73,H83,H103,H105,H120,H136,H150,H186,H194,H111)</f>
        <v>485.78000000000003</v>
      </c>
      <c r="I198" s="297">
        <f>SUM(I27,I38,I61,I73,I83,I103,I105,I120,I136,I150,I186,I194,I107,I111)</f>
        <v>608.62</v>
      </c>
      <c r="J198" s="319"/>
      <c r="K198" s="70">
        <f>H198-I198</f>
        <v>-122.83999999999997</v>
      </c>
      <c r="L198" s="284">
        <f>(ABS(H198-I198))/I198</f>
        <v>0.2018336564687325</v>
      </c>
      <c r="M198" s="6"/>
      <c r="O198" s="119"/>
      <c r="Q198" s="119"/>
      <c r="S198" s="119"/>
      <c r="U198" s="119"/>
      <c r="V198" s="475"/>
    </row>
    <row r="199" spans="1:22" s="69" customFormat="1" ht="15.75" customHeight="1" thickBot="1" x14ac:dyDescent="0.3">
      <c r="A199" s="23"/>
      <c r="B199" s="469"/>
      <c r="C199" s="60" t="s">
        <v>97</v>
      </c>
      <c r="D199" s="455">
        <f>SUM(D197,D198)</f>
        <v>276.89999999999998</v>
      </c>
      <c r="E199" s="452">
        <f>SUM(E197:E198)</f>
        <v>1005.52</v>
      </c>
      <c r="F199" s="188">
        <f>SUM(F197:F198)</f>
        <v>1281.1499999999999</v>
      </c>
      <c r="G199" s="233">
        <f>E199-F199</f>
        <v>-275.62999999999988</v>
      </c>
      <c r="H199" s="305">
        <f>SUM(H197:H198)</f>
        <v>1166.3600000000001</v>
      </c>
      <c r="I199" s="233">
        <f>SUM(I197:I198)</f>
        <v>1336.92</v>
      </c>
      <c r="J199" s="170"/>
      <c r="K199" s="469">
        <f>H199-I199</f>
        <v>-170.55999999999995</v>
      </c>
      <c r="L199" s="470">
        <f>(ABS(H199-I199))/I199</f>
        <v>0.12757681835861528</v>
      </c>
      <c r="M199" s="468">
        <f>SUM(M196+M187+M151+M137+M130+M121+M111+M105+M101+M99+M84+M74+M65+M62+M47+M39+M28+M109)</f>
        <v>1332.25</v>
      </c>
      <c r="N199" s="10">
        <f>SUM(N4:N196)</f>
        <v>1380.7999999999997</v>
      </c>
      <c r="O199" s="479"/>
      <c r="P199" s="10"/>
      <c r="Q199" s="479"/>
      <c r="R199" s="10"/>
      <c r="S199" s="479"/>
      <c r="T199" s="10"/>
      <c r="U199" s="479"/>
      <c r="V199" s="480">
        <f>SUM(V4:V198)</f>
        <v>1446.1699999999998</v>
      </c>
    </row>
    <row r="200" spans="1:22" ht="15.75" thickTop="1" x14ac:dyDescent="0.25">
      <c r="H200" s="70"/>
      <c r="J200" s="306"/>
      <c r="K200" s="306"/>
      <c r="L200" s="299"/>
    </row>
    <row r="201" spans="1:22" x14ac:dyDescent="0.25">
      <c r="G201" s="71" t="s">
        <v>140</v>
      </c>
      <c r="H201" s="292">
        <f>SUM(H195,H187,H151,H137,H130,H121,H111)</f>
        <v>430.01</v>
      </c>
      <c r="I201" s="450"/>
      <c r="J201" s="320"/>
      <c r="K201" s="307">
        <f>SUM(K195,K187,K151,K137,K130,K121)</f>
        <v>-35.009999999999991</v>
      </c>
      <c r="L201" s="299"/>
    </row>
    <row r="202" spans="1:22" x14ac:dyDescent="0.25">
      <c r="G202" s="71" t="s">
        <v>141</v>
      </c>
      <c r="H202" s="71">
        <f>SUM(H28,H39,H47,H62,H65,H74,H84,H99,H101,H103,H105,H107)</f>
        <v>711.34999999999991</v>
      </c>
      <c r="I202" s="283"/>
      <c r="J202" s="321"/>
      <c r="K202" s="308">
        <f>SUM(K28,K39,K47,K62,K65,K73,K84,K99,K101,K103,K105)</f>
        <v>-131.39000000000001</v>
      </c>
      <c r="L202" s="299"/>
    </row>
  </sheetData>
  <customSheetViews>
    <customSheetView guid="{F76F088D-E257-4637-81FB-2D037F8BCE3A}">
      <selection activeCell="I1" sqref="I1:J1048576"/>
      <pageMargins left="0.7" right="0.7" top="0.75" bottom="0.75" header="0.3" footer="0.3"/>
      <pageSetup orientation="portrait" r:id="rId1"/>
    </customSheetView>
  </customSheetViews>
  <mergeCells count="1">
    <mergeCell ref="B2:C2"/>
  </mergeCells>
  <conditionalFormatting sqref="L4:L202">
    <cfRule type="containsText" dxfId="50" priority="38" operator="containsText" text="BLANK">
      <formula>NOT(ISERROR(SEARCH("BLANK",L4)))</formula>
    </cfRule>
    <cfRule type="cellIs" dxfId="49" priority="39" operator="equal">
      <formula>0.1</formula>
    </cfRule>
    <cfRule type="cellIs" dxfId="48" priority="43" operator="between">
      <formula>0.11</formula>
      <formula>0.39</formula>
    </cfRule>
    <cfRule type="cellIs" dxfId="47" priority="44" operator="lessThan">
      <formula>0.1</formula>
    </cfRule>
    <cfRule type="cellIs" dxfId="46" priority="45" operator="greaterThan">
      <formula>0.4</formula>
    </cfRule>
  </conditionalFormatting>
  <conditionalFormatting sqref="L3:L202">
    <cfRule type="cellIs" dxfId="45" priority="42" operator="greaterThan">
      <formula>0.4</formula>
    </cfRule>
  </conditionalFormatting>
  <conditionalFormatting sqref="L3:L202">
    <cfRule type="cellIs" dxfId="44" priority="41" operator="equal">
      <formula>0.4</formula>
    </cfRule>
  </conditionalFormatting>
  <conditionalFormatting sqref="L3">
    <cfRule type="containsText" dxfId="43" priority="40" operator="containsText" text="blank">
      <formula>NOT(ISERROR(SEARCH("blank",L3)))</formula>
    </cfRule>
  </conditionalFormatting>
  <conditionalFormatting sqref="L24">
    <cfRule type="cellIs" dxfId="42" priority="33" operator="between">
      <formula>0.11</formula>
      <formula>0.01</formula>
    </cfRule>
    <cfRule type="cellIs" dxfId="41" priority="34" operator="equal">
      <formula>0.11</formula>
    </cfRule>
    <cfRule type="cellIs" dxfId="40" priority="35" operator="equal">
      <formula>0.11</formula>
    </cfRule>
    <cfRule type="cellIs" dxfId="39" priority="36" operator="equal">
      <formula>0.11</formula>
    </cfRule>
    <cfRule type="cellIs" dxfId="38" priority="37" operator="between">
      <formula>0.11</formula>
      <formula>0.39</formula>
    </cfRule>
  </conditionalFormatting>
  <conditionalFormatting sqref="T1:T1048576">
    <cfRule type="cellIs" dxfId="37" priority="4" operator="lessThan">
      <formula>5</formula>
    </cfRule>
    <cfRule type="cellIs" dxfId="36" priority="5" operator="greaterThan">
      <formula>10</formula>
    </cfRule>
    <cfRule type="cellIs" dxfId="35" priority="6" operator="between">
      <formula>5</formula>
      <formula>10</formula>
    </cfRule>
  </conditionalFormatting>
  <conditionalFormatting sqref="U1:U1048576">
    <cfRule type="cellIs" dxfId="34" priority="1" operator="lessThan">
      <formula>9.07</formula>
    </cfRule>
    <cfRule type="cellIs" dxfId="33" priority="2" operator="greaterThan">
      <formula>58.97</formula>
    </cfRule>
    <cfRule type="cellIs" dxfId="32" priority="3" operator="between">
      <formula>9.07</formula>
      <formula>58.97</formula>
    </cfRule>
  </conditionalFormatting>
  <printOptions gridLines="1"/>
  <pageMargins left="0.2" right="0.2" top="0.25" bottom="0.25" header="0.3" footer="0.3"/>
  <pageSetup scale="92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4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88" sqref="E188"/>
    </sheetView>
  </sheetViews>
  <sheetFormatPr defaultColWidth="8.85546875" defaultRowHeight="15" x14ac:dyDescent="0.25"/>
  <cols>
    <col min="1" max="1" width="8.85546875" style="70"/>
    <col min="2" max="2" width="9.42578125" style="70" customWidth="1"/>
    <col min="3" max="3" width="11.5703125" style="70" customWidth="1"/>
    <col min="4" max="4" width="8.85546875" style="70"/>
    <col min="5" max="5" width="17.7109375" style="70" customWidth="1"/>
    <col min="6" max="6" width="10.42578125" style="282" customWidth="1"/>
    <col min="7" max="7" width="8.28515625" style="317" customWidth="1"/>
    <col min="8" max="8" width="11.7109375" style="268" customWidth="1"/>
    <col min="9" max="9" width="5.7109375" style="268" customWidth="1"/>
    <col min="10" max="10" width="5.140625" style="70" customWidth="1"/>
    <col min="11" max="11" width="5" style="268" customWidth="1"/>
    <col min="12" max="12" width="5" style="70" customWidth="1"/>
    <col min="13" max="13" width="5.28515625" style="268" customWidth="1"/>
    <col min="14" max="16384" width="8.85546875" style="70"/>
  </cols>
  <sheetData>
    <row r="1" spans="1:17" x14ac:dyDescent="0.25">
      <c r="A1" s="323"/>
      <c r="B1" s="324"/>
      <c r="C1" s="324"/>
      <c r="D1" s="325"/>
      <c r="E1" s="324"/>
      <c r="F1" s="326">
        <v>2015</v>
      </c>
      <c r="G1" s="327">
        <v>2015</v>
      </c>
      <c r="H1" s="328">
        <v>2015</v>
      </c>
      <c r="I1" s="329" t="s">
        <v>145</v>
      </c>
      <c r="J1" s="330" t="s">
        <v>146</v>
      </c>
      <c r="K1" s="326" t="s">
        <v>147</v>
      </c>
      <c r="L1" s="330" t="s">
        <v>165</v>
      </c>
      <c r="M1" s="326" t="s">
        <v>166</v>
      </c>
      <c r="N1" s="324"/>
      <c r="O1" s="324"/>
      <c r="P1" s="324"/>
      <c r="Q1" s="324"/>
    </row>
    <row r="2" spans="1:17" x14ac:dyDescent="0.25">
      <c r="A2" s="323" t="s">
        <v>0</v>
      </c>
      <c r="B2" s="764" t="s">
        <v>1</v>
      </c>
      <c r="C2" s="764"/>
      <c r="D2" s="331" t="s">
        <v>82</v>
      </c>
      <c r="E2" s="332" t="s">
        <v>126</v>
      </c>
      <c r="F2" s="333" t="s">
        <v>108</v>
      </c>
      <c r="G2" s="334" t="s">
        <v>164</v>
      </c>
      <c r="H2" s="335" t="s">
        <v>173</v>
      </c>
      <c r="I2" s="336"/>
      <c r="J2" s="324"/>
      <c r="K2" s="336"/>
      <c r="L2" s="324"/>
      <c r="M2" s="336"/>
      <c r="N2" s="324"/>
      <c r="O2" s="324"/>
      <c r="P2" s="324"/>
      <c r="Q2" s="324"/>
    </row>
    <row r="3" spans="1:17" ht="14.45" x14ac:dyDescent="0.3">
      <c r="A3" s="337" t="s">
        <v>2</v>
      </c>
      <c r="B3" s="338"/>
      <c r="C3" s="338"/>
      <c r="D3" s="339"/>
      <c r="E3" s="324"/>
      <c r="F3" s="326"/>
      <c r="G3" s="327"/>
      <c r="H3" s="335"/>
      <c r="I3" s="336"/>
      <c r="J3" s="324"/>
      <c r="K3" s="336"/>
      <c r="L3" s="324"/>
      <c r="M3" s="336"/>
      <c r="N3" s="324"/>
      <c r="O3" s="324"/>
      <c r="P3" s="324"/>
      <c r="Q3" s="324"/>
    </row>
    <row r="4" spans="1:17" ht="14.45" x14ac:dyDescent="0.3">
      <c r="A4" s="340"/>
      <c r="B4" s="341" t="s">
        <v>3</v>
      </c>
      <c r="C4" s="341" t="s">
        <v>10</v>
      </c>
      <c r="D4" s="342">
        <v>0.75</v>
      </c>
      <c r="E4" s="324">
        <v>3.4</v>
      </c>
      <c r="F4" s="326">
        <v>3.7</v>
      </c>
      <c r="G4" s="343">
        <f t="shared" ref="G4:G23" si="0">F4/D4</f>
        <v>4.9333333333333336</v>
      </c>
      <c r="H4" s="344">
        <f t="shared" ref="H4:H27" si="1">(ABS(E4-F4))/F4</f>
        <v>8.1081081081081155E-2</v>
      </c>
      <c r="I4" s="336">
        <v>23.6</v>
      </c>
      <c r="J4" s="324">
        <v>3.51</v>
      </c>
      <c r="K4" s="336">
        <v>12.6</v>
      </c>
      <c r="L4" s="324">
        <v>114.25</v>
      </c>
      <c r="M4" s="336"/>
      <c r="N4" s="324"/>
      <c r="O4" s="324"/>
      <c r="P4" s="324"/>
      <c r="Q4" s="324"/>
    </row>
    <row r="5" spans="1:17" ht="14.45" x14ac:dyDescent="0.3">
      <c r="A5" s="340"/>
      <c r="B5" s="341" t="s">
        <v>3</v>
      </c>
      <c r="C5" s="341" t="s">
        <v>11</v>
      </c>
      <c r="D5" s="339">
        <v>1.4</v>
      </c>
      <c r="E5" s="345">
        <v>10</v>
      </c>
      <c r="F5" s="326">
        <v>10</v>
      </c>
      <c r="G5" s="343">
        <f t="shared" si="0"/>
        <v>7.1428571428571432</v>
      </c>
      <c r="H5" s="344">
        <f t="shared" si="1"/>
        <v>0</v>
      </c>
      <c r="I5" s="336">
        <v>22.45</v>
      </c>
      <c r="J5" s="324">
        <v>3.51</v>
      </c>
      <c r="K5" s="336">
        <v>7.8</v>
      </c>
      <c r="L5" s="324">
        <v>191</v>
      </c>
      <c r="M5" s="336"/>
      <c r="N5" s="324"/>
      <c r="O5" s="324"/>
      <c r="P5" s="324"/>
      <c r="Q5" s="324"/>
    </row>
    <row r="6" spans="1:17" ht="14.45" x14ac:dyDescent="0.3">
      <c r="A6" s="323"/>
      <c r="B6" s="341" t="s">
        <v>3</v>
      </c>
      <c r="C6" s="341" t="s">
        <v>12</v>
      </c>
      <c r="D6" s="339">
        <v>0.72</v>
      </c>
      <c r="E6" s="345">
        <v>6</v>
      </c>
      <c r="F6" s="326">
        <v>7.28</v>
      </c>
      <c r="G6" s="343">
        <f t="shared" si="0"/>
        <v>10.111111111111112</v>
      </c>
      <c r="H6" s="344">
        <f t="shared" si="1"/>
        <v>0.17582417582417587</v>
      </c>
      <c r="I6" s="336">
        <v>22.45</v>
      </c>
      <c r="J6" s="324">
        <v>3.51</v>
      </c>
      <c r="K6" s="336">
        <v>7.8</v>
      </c>
      <c r="L6" s="324">
        <v>238.72</v>
      </c>
      <c r="M6" s="336"/>
      <c r="N6" s="324"/>
      <c r="O6" s="324"/>
      <c r="P6" s="324"/>
      <c r="Q6" s="324"/>
    </row>
    <row r="7" spans="1:17" ht="14.45" x14ac:dyDescent="0.3">
      <c r="A7" s="323"/>
      <c r="B7" s="341" t="s">
        <v>3</v>
      </c>
      <c r="C7" s="341" t="s">
        <v>14</v>
      </c>
      <c r="D7" s="339">
        <v>2.39</v>
      </c>
      <c r="E7" s="324">
        <v>14</v>
      </c>
      <c r="F7" s="326">
        <v>15.76</v>
      </c>
      <c r="G7" s="343">
        <f t="shared" si="0"/>
        <v>6.5941422594142258</v>
      </c>
      <c r="H7" s="344">
        <f t="shared" si="1"/>
        <v>0.11167512690355329</v>
      </c>
      <c r="I7" s="336">
        <v>25.4</v>
      </c>
      <c r="J7" s="324">
        <v>3.56</v>
      </c>
      <c r="K7" s="336">
        <v>6.1</v>
      </c>
      <c r="L7" s="324">
        <v>259.3</v>
      </c>
      <c r="M7" s="336"/>
      <c r="N7" s="324"/>
      <c r="O7" s="324"/>
      <c r="P7" s="324"/>
      <c r="Q7" s="324"/>
    </row>
    <row r="8" spans="1:17" ht="14.45" x14ac:dyDescent="0.3">
      <c r="A8" s="323"/>
      <c r="B8" s="341" t="s">
        <v>3</v>
      </c>
      <c r="C8" s="341" t="s">
        <v>16</v>
      </c>
      <c r="D8" s="339">
        <v>2.35</v>
      </c>
      <c r="E8" s="324">
        <v>15</v>
      </c>
      <c r="F8" s="326">
        <v>13.97</v>
      </c>
      <c r="G8" s="343">
        <f t="shared" si="0"/>
        <v>5.94468085106383</v>
      </c>
      <c r="H8" s="344">
        <f t="shared" si="1"/>
        <v>7.3729420186113045E-2</v>
      </c>
      <c r="I8" s="336">
        <v>23.2</v>
      </c>
      <c r="J8" s="324">
        <v>3.41</v>
      </c>
      <c r="K8" s="336">
        <v>7.9</v>
      </c>
      <c r="L8" s="324">
        <v>223.36</v>
      </c>
      <c r="M8" s="336"/>
      <c r="N8" s="324"/>
      <c r="O8" s="324"/>
      <c r="P8" s="324"/>
      <c r="Q8" s="324"/>
    </row>
    <row r="9" spans="1:17" ht="14.45" x14ac:dyDescent="0.3">
      <c r="A9" s="323"/>
      <c r="B9" s="341" t="s">
        <v>3</v>
      </c>
      <c r="C9" s="341" t="s">
        <v>150</v>
      </c>
      <c r="D9" s="339">
        <v>0.9</v>
      </c>
      <c r="E9" s="324">
        <v>3.3</v>
      </c>
      <c r="F9" s="326">
        <v>6.91</v>
      </c>
      <c r="G9" s="343">
        <f t="shared" si="0"/>
        <v>7.677777777777778</v>
      </c>
      <c r="H9" s="344">
        <f t="shared" si="1"/>
        <v>0.52243125904486254</v>
      </c>
      <c r="I9" s="336">
        <v>25.1</v>
      </c>
      <c r="J9" s="324">
        <v>3.54</v>
      </c>
      <c r="K9" s="336">
        <v>6.2</v>
      </c>
      <c r="L9" s="324">
        <v>184.3</v>
      </c>
      <c r="M9" s="336"/>
      <c r="N9" s="324"/>
      <c r="O9" s="324"/>
      <c r="P9" s="324"/>
      <c r="Q9" s="324"/>
    </row>
    <row r="10" spans="1:17" ht="14.45" x14ac:dyDescent="0.3">
      <c r="A10" s="323"/>
      <c r="B10" s="341"/>
      <c r="C10" s="341" t="s">
        <v>151</v>
      </c>
      <c r="D10" s="339">
        <v>0.9</v>
      </c>
      <c r="E10" s="324">
        <v>5.7</v>
      </c>
      <c r="F10" s="326">
        <v>6.66</v>
      </c>
      <c r="G10" s="343">
        <f t="shared" si="0"/>
        <v>7.4</v>
      </c>
      <c r="H10" s="344">
        <f t="shared" si="1"/>
        <v>0.14414414414414414</v>
      </c>
      <c r="I10" s="336">
        <v>23.7</v>
      </c>
      <c r="J10" s="324">
        <v>3.54</v>
      </c>
      <c r="K10" s="336">
        <v>6.3</v>
      </c>
      <c r="L10" s="324">
        <v>176.9</v>
      </c>
      <c r="M10" s="336"/>
      <c r="N10" s="324"/>
      <c r="O10" s="324"/>
      <c r="P10" s="324"/>
      <c r="Q10" s="324"/>
    </row>
    <row r="11" spans="1:17" ht="14.45" x14ac:dyDescent="0.3">
      <c r="A11" s="323"/>
      <c r="B11" s="341" t="s">
        <v>3</v>
      </c>
      <c r="C11" s="341" t="s">
        <v>152</v>
      </c>
      <c r="D11" s="339">
        <v>0.96</v>
      </c>
      <c r="E11" s="346">
        <v>3.8</v>
      </c>
      <c r="F11" s="326">
        <v>4.8499999999999996</v>
      </c>
      <c r="G11" s="343">
        <f t="shared" si="0"/>
        <v>5.052083333333333</v>
      </c>
      <c r="H11" s="344">
        <f t="shared" si="1"/>
        <v>0.21649484536082472</v>
      </c>
      <c r="I11" s="336">
        <v>25.1</v>
      </c>
      <c r="J11" s="324">
        <v>3.54</v>
      </c>
      <c r="K11" s="336">
        <v>6.2</v>
      </c>
      <c r="L11" s="324">
        <v>184.3</v>
      </c>
      <c r="M11" s="336"/>
      <c r="N11" s="324"/>
      <c r="O11" s="324"/>
      <c r="P11" s="324"/>
      <c r="Q11" s="324"/>
    </row>
    <row r="12" spans="1:17" ht="14.45" x14ac:dyDescent="0.3">
      <c r="A12" s="323"/>
      <c r="B12" s="341"/>
      <c r="C12" s="341" t="s">
        <v>153</v>
      </c>
      <c r="D12" s="339">
        <v>0.96</v>
      </c>
      <c r="E12" s="346">
        <v>7.5</v>
      </c>
      <c r="F12" s="326">
        <v>6.87</v>
      </c>
      <c r="G12" s="343">
        <f t="shared" si="0"/>
        <v>7.15625</v>
      </c>
      <c r="H12" s="344">
        <f t="shared" si="1"/>
        <v>9.170305676855893E-2</v>
      </c>
      <c r="I12" s="336">
        <v>23.7</v>
      </c>
      <c r="J12" s="324">
        <v>3.54</v>
      </c>
      <c r="K12" s="336">
        <v>6.3</v>
      </c>
      <c r="L12" s="324">
        <v>176.9</v>
      </c>
      <c r="M12" s="336"/>
      <c r="N12" s="324"/>
      <c r="O12" s="324"/>
      <c r="P12" s="324"/>
      <c r="Q12" s="324"/>
    </row>
    <row r="13" spans="1:17" ht="14.45" x14ac:dyDescent="0.3">
      <c r="A13" s="323"/>
      <c r="B13" s="341" t="s">
        <v>3</v>
      </c>
      <c r="C13" s="341" t="s">
        <v>154</v>
      </c>
      <c r="D13" s="339">
        <v>0.71499999999999997</v>
      </c>
      <c r="E13" s="346">
        <v>2.5</v>
      </c>
      <c r="F13" s="326">
        <v>4.1900000000000004</v>
      </c>
      <c r="G13" s="343">
        <f t="shared" si="0"/>
        <v>5.8601398601398609</v>
      </c>
      <c r="H13" s="344">
        <f t="shared" si="1"/>
        <v>0.40334128878281628</v>
      </c>
      <c r="I13" s="336">
        <v>25.1</v>
      </c>
      <c r="J13" s="324">
        <v>3.54</v>
      </c>
      <c r="K13" s="336">
        <v>6.2</v>
      </c>
      <c r="L13" s="324">
        <v>184.3</v>
      </c>
      <c r="M13" s="336"/>
      <c r="N13" s="324"/>
      <c r="O13" s="324"/>
      <c r="P13" s="324"/>
      <c r="Q13" s="324"/>
    </row>
    <row r="14" spans="1:17" ht="14.45" x14ac:dyDescent="0.3">
      <c r="A14" s="323"/>
      <c r="B14" s="341"/>
      <c r="C14" s="341" t="s">
        <v>155</v>
      </c>
      <c r="D14" s="339">
        <v>0.71499999999999997</v>
      </c>
      <c r="E14" s="346">
        <v>5.6</v>
      </c>
      <c r="F14" s="326">
        <v>8.25</v>
      </c>
      <c r="G14" s="343">
        <f t="shared" si="0"/>
        <v>11.538461538461538</v>
      </c>
      <c r="H14" s="344">
        <f t="shared" si="1"/>
        <v>0.32121212121212128</v>
      </c>
      <c r="I14" s="336">
        <v>23.7</v>
      </c>
      <c r="J14" s="324">
        <v>3.54</v>
      </c>
      <c r="K14" s="336">
        <v>6.3</v>
      </c>
      <c r="L14" s="324">
        <v>176.9</v>
      </c>
      <c r="M14" s="336"/>
      <c r="N14" s="324"/>
      <c r="O14" s="324"/>
      <c r="P14" s="324"/>
      <c r="Q14" s="324"/>
    </row>
    <row r="15" spans="1:17" ht="14.45" x14ac:dyDescent="0.3">
      <c r="A15" s="323"/>
      <c r="B15" s="341" t="s">
        <v>3</v>
      </c>
      <c r="C15" s="341" t="s">
        <v>156</v>
      </c>
      <c r="D15" s="339">
        <v>0.51500000000000001</v>
      </c>
      <c r="E15" s="346">
        <v>2.9</v>
      </c>
      <c r="F15" s="347">
        <v>2.8</v>
      </c>
      <c r="G15" s="343">
        <f t="shared" si="0"/>
        <v>5.4368932038834945</v>
      </c>
      <c r="H15" s="344">
        <f t="shared" si="1"/>
        <v>3.5714285714285747E-2</v>
      </c>
      <c r="I15" s="336">
        <v>25.1</v>
      </c>
      <c r="J15" s="324">
        <v>3.54</v>
      </c>
      <c r="K15" s="336">
        <v>6.2</v>
      </c>
      <c r="L15" s="324">
        <v>184.3</v>
      </c>
      <c r="M15" s="336"/>
      <c r="N15" s="324"/>
      <c r="O15" s="324"/>
      <c r="P15" s="324"/>
      <c r="Q15" s="324"/>
    </row>
    <row r="16" spans="1:17" ht="14.45" x14ac:dyDescent="0.3">
      <c r="A16" s="323"/>
      <c r="B16" s="324"/>
      <c r="C16" s="341" t="s">
        <v>157</v>
      </c>
      <c r="D16" s="339">
        <v>0.51500000000000001</v>
      </c>
      <c r="E16" s="346">
        <v>2</v>
      </c>
      <c r="F16" s="326">
        <v>2.61</v>
      </c>
      <c r="G16" s="343">
        <f t="shared" si="0"/>
        <v>5.0679611650485432</v>
      </c>
      <c r="H16" s="344">
        <f t="shared" si="1"/>
        <v>0.23371647509578541</v>
      </c>
      <c r="I16" s="336">
        <v>23.7</v>
      </c>
      <c r="J16" s="324">
        <v>3.54</v>
      </c>
      <c r="K16" s="336">
        <v>6.3</v>
      </c>
      <c r="L16" s="324">
        <v>176.9</v>
      </c>
      <c r="M16" s="336"/>
      <c r="N16" s="324"/>
      <c r="O16" s="324"/>
      <c r="P16" s="324"/>
      <c r="Q16" s="324"/>
    </row>
    <row r="17" spans="1:17" ht="14.45" x14ac:dyDescent="0.3">
      <c r="A17" s="323"/>
      <c r="B17" s="348" t="s">
        <v>84</v>
      </c>
      <c r="C17" s="341" t="s">
        <v>85</v>
      </c>
      <c r="D17" s="339">
        <v>0.85</v>
      </c>
      <c r="E17" s="324">
        <v>2.7</v>
      </c>
      <c r="F17" s="326">
        <v>2.83</v>
      </c>
      <c r="G17" s="343">
        <f t="shared" si="0"/>
        <v>3.3294117647058825</v>
      </c>
      <c r="H17" s="344">
        <f t="shared" si="1"/>
        <v>4.5936395759717273E-2</v>
      </c>
      <c r="I17" s="336">
        <v>24.2</v>
      </c>
      <c r="J17" s="324">
        <v>3.55</v>
      </c>
      <c r="K17" s="336">
        <v>8</v>
      </c>
      <c r="L17" s="324">
        <v>184.3</v>
      </c>
      <c r="M17" s="336">
        <v>1373.1</v>
      </c>
      <c r="N17" s="324"/>
      <c r="O17" s="324"/>
      <c r="P17" s="324"/>
      <c r="Q17" s="324"/>
    </row>
    <row r="18" spans="1:17" ht="14.45" x14ac:dyDescent="0.3">
      <c r="A18" s="323"/>
      <c r="B18" s="348" t="s">
        <v>86</v>
      </c>
      <c r="C18" s="341" t="s">
        <v>158</v>
      </c>
      <c r="D18" s="339">
        <v>1.1100000000000001</v>
      </c>
      <c r="E18" s="324">
        <v>1</v>
      </c>
      <c r="F18" s="326">
        <v>1.36</v>
      </c>
      <c r="G18" s="343">
        <f t="shared" si="0"/>
        <v>1.2252252252252251</v>
      </c>
      <c r="H18" s="344">
        <f t="shared" si="1"/>
        <v>0.26470588235294124</v>
      </c>
      <c r="I18" s="336">
        <v>24.2</v>
      </c>
      <c r="J18" s="324">
        <v>3.55</v>
      </c>
      <c r="K18" s="336">
        <v>8</v>
      </c>
      <c r="L18" s="324" t="s">
        <v>148</v>
      </c>
      <c r="M18" s="336">
        <v>1396</v>
      </c>
      <c r="N18" s="324"/>
      <c r="O18" s="324"/>
      <c r="P18" s="324"/>
      <c r="Q18" s="324"/>
    </row>
    <row r="19" spans="1:17" ht="14.45" x14ac:dyDescent="0.3">
      <c r="A19" s="323"/>
      <c r="B19" s="348" t="s">
        <v>7</v>
      </c>
      <c r="C19" s="341" t="s">
        <v>110</v>
      </c>
      <c r="D19" s="349">
        <v>2</v>
      </c>
      <c r="E19" s="350">
        <v>10</v>
      </c>
      <c r="F19" s="326">
        <v>14.28</v>
      </c>
      <c r="G19" s="343">
        <f t="shared" si="0"/>
        <v>7.14</v>
      </c>
      <c r="H19" s="344">
        <f t="shared" si="1"/>
        <v>0.29971988795518206</v>
      </c>
      <c r="I19" s="336">
        <v>23.4</v>
      </c>
      <c r="J19" s="324">
        <v>3.4</v>
      </c>
      <c r="K19" s="336">
        <v>4.2</v>
      </c>
      <c r="L19" s="324">
        <v>249.64</v>
      </c>
      <c r="M19" s="336">
        <v>1423</v>
      </c>
      <c r="N19" s="324" t="s">
        <v>5</v>
      </c>
      <c r="O19" s="324"/>
      <c r="P19" s="324"/>
      <c r="Q19" s="324"/>
    </row>
    <row r="20" spans="1:17" ht="14.45" x14ac:dyDescent="0.3">
      <c r="A20" s="323"/>
      <c r="B20" s="348" t="s">
        <v>7</v>
      </c>
      <c r="C20" s="341" t="s">
        <v>172</v>
      </c>
      <c r="D20" s="349">
        <v>1.5</v>
      </c>
      <c r="E20" s="350">
        <v>7.5</v>
      </c>
      <c r="F20" s="326">
        <v>7.76</v>
      </c>
      <c r="G20" s="343">
        <f t="shared" si="0"/>
        <v>5.1733333333333329</v>
      </c>
      <c r="H20" s="344">
        <f t="shared" si="1"/>
        <v>3.3505154639175229E-2</v>
      </c>
      <c r="I20" s="336">
        <v>23.8</v>
      </c>
      <c r="J20" s="324">
        <v>3.45</v>
      </c>
      <c r="K20" s="336">
        <v>7.9</v>
      </c>
      <c r="L20" s="324">
        <v>292.19</v>
      </c>
      <c r="M20" s="336"/>
      <c r="N20" s="324"/>
      <c r="O20" s="324"/>
      <c r="P20" s="324"/>
      <c r="Q20" s="324"/>
    </row>
    <row r="21" spans="1:17" ht="14.45" x14ac:dyDescent="0.3">
      <c r="A21" s="323"/>
      <c r="B21" s="348" t="s">
        <v>7</v>
      </c>
      <c r="C21" s="341" t="s">
        <v>100</v>
      </c>
      <c r="D21" s="349">
        <v>1.25</v>
      </c>
      <c r="E21" s="350">
        <v>5</v>
      </c>
      <c r="F21" s="326">
        <v>6.27</v>
      </c>
      <c r="G21" s="343">
        <f t="shared" si="0"/>
        <v>5.016</v>
      </c>
      <c r="H21" s="344">
        <f t="shared" si="1"/>
        <v>0.20255183413078146</v>
      </c>
      <c r="I21" s="336">
        <v>21.9</v>
      </c>
      <c r="J21" s="324">
        <v>3.36</v>
      </c>
      <c r="K21" s="336">
        <v>6.7</v>
      </c>
      <c r="L21" s="324">
        <v>218.66</v>
      </c>
      <c r="M21" s="336"/>
      <c r="N21" s="324"/>
      <c r="O21" s="324"/>
      <c r="P21" s="324"/>
      <c r="Q21" s="324"/>
    </row>
    <row r="22" spans="1:17" ht="14.45" x14ac:dyDescent="0.3">
      <c r="A22" s="323"/>
      <c r="B22" s="348" t="s">
        <v>7</v>
      </c>
      <c r="C22" s="351" t="s">
        <v>87</v>
      </c>
      <c r="D22" s="349">
        <v>10.5</v>
      </c>
      <c r="E22" s="350">
        <v>56.35</v>
      </c>
      <c r="F22" s="326">
        <v>57.71</v>
      </c>
      <c r="G22" s="343">
        <f t="shared" si="0"/>
        <v>5.4961904761904758</v>
      </c>
      <c r="H22" s="344">
        <f t="shared" si="1"/>
        <v>2.3566106394039152E-2</v>
      </c>
      <c r="I22" s="336">
        <v>24.3</v>
      </c>
      <c r="J22" s="324">
        <v>3.71</v>
      </c>
      <c r="K22" s="336">
        <v>5.9</v>
      </c>
      <c r="L22" s="324">
        <v>166.49</v>
      </c>
      <c r="M22" s="336"/>
      <c r="N22" s="324"/>
      <c r="O22" s="324"/>
      <c r="P22" s="324"/>
      <c r="Q22" s="324"/>
    </row>
    <row r="23" spans="1:17" ht="14.45" x14ac:dyDescent="0.3">
      <c r="A23" s="323"/>
      <c r="B23" s="348" t="s">
        <v>144</v>
      </c>
      <c r="C23" s="351" t="s">
        <v>122</v>
      </c>
      <c r="D23" s="349">
        <v>1.66</v>
      </c>
      <c r="E23" s="350">
        <v>8</v>
      </c>
      <c r="F23" s="326">
        <v>8.98</v>
      </c>
      <c r="G23" s="343">
        <f t="shared" si="0"/>
        <v>5.4096385542168681</v>
      </c>
      <c r="H23" s="344">
        <f t="shared" si="1"/>
        <v>0.10913140311804014</v>
      </c>
      <c r="I23" s="336">
        <v>23.7</v>
      </c>
      <c r="J23" s="324">
        <v>3.49</v>
      </c>
      <c r="K23" s="336">
        <v>7.3</v>
      </c>
      <c r="L23" s="324">
        <v>226.84</v>
      </c>
      <c r="M23" s="336"/>
      <c r="N23" s="324"/>
      <c r="O23" s="324"/>
      <c r="P23" s="324"/>
      <c r="Q23" s="324"/>
    </row>
    <row r="24" spans="1:17" ht="14.45" x14ac:dyDescent="0.3">
      <c r="A24" s="323"/>
      <c r="B24" s="352"/>
      <c r="C24" s="353" t="s">
        <v>115</v>
      </c>
      <c r="D24" s="354">
        <f>SUM(D4:D16)</f>
        <v>13.790000000000003</v>
      </c>
      <c r="E24" s="324">
        <f>SUM(E4:E17)</f>
        <v>84.399999999999991</v>
      </c>
      <c r="F24" s="336">
        <f>SUM(F4:F16)</f>
        <v>93.85</v>
      </c>
      <c r="G24" s="343"/>
      <c r="H24" s="355">
        <f t="shared" si="1"/>
        <v>0.10069259456579652</v>
      </c>
      <c r="I24" s="336"/>
      <c r="J24" s="324"/>
      <c r="K24" s="336"/>
      <c r="L24" s="324"/>
      <c r="M24" s="336"/>
      <c r="N24" s="324"/>
      <c r="O24" s="324"/>
      <c r="P24" s="324"/>
      <c r="Q24" s="324"/>
    </row>
    <row r="25" spans="1:17" ht="14.45" x14ac:dyDescent="0.3">
      <c r="A25" s="323"/>
      <c r="B25" s="352"/>
      <c r="C25" s="356" t="s">
        <v>119</v>
      </c>
      <c r="D25" s="357">
        <v>0.85</v>
      </c>
      <c r="E25" s="324">
        <f>SUM(E17:E18)</f>
        <v>3.7</v>
      </c>
      <c r="F25" s="336">
        <f>SUM(F17:F18)</f>
        <v>4.1900000000000004</v>
      </c>
      <c r="G25" s="343"/>
      <c r="H25" s="344">
        <f t="shared" si="1"/>
        <v>0.11694510739856806</v>
      </c>
      <c r="I25" s="336"/>
      <c r="J25" s="324"/>
      <c r="K25" s="336"/>
      <c r="L25" s="324"/>
      <c r="M25" s="336"/>
      <c r="N25" s="324"/>
      <c r="O25" s="324"/>
      <c r="P25" s="324"/>
      <c r="Q25" s="324"/>
    </row>
    <row r="26" spans="1:17" thickBot="1" x14ac:dyDescent="0.35">
      <c r="A26" s="323"/>
      <c r="B26" s="324"/>
      <c r="C26" s="358" t="s">
        <v>117</v>
      </c>
      <c r="D26" s="359">
        <f>SUM(D19:D22)</f>
        <v>15.25</v>
      </c>
      <c r="E26" s="324">
        <f>SUM(E19:E22)</f>
        <v>78.849999999999994</v>
      </c>
      <c r="F26" s="360">
        <f>SUM(F19:F23)</f>
        <v>95</v>
      </c>
      <c r="G26" s="343"/>
      <c r="H26" s="344">
        <f t="shared" si="1"/>
        <v>0.17000000000000007</v>
      </c>
      <c r="I26" s="336"/>
      <c r="J26" s="324"/>
      <c r="K26" s="336"/>
      <c r="L26" s="324"/>
      <c r="M26" s="336"/>
      <c r="N26" s="324"/>
      <c r="O26" s="324"/>
      <c r="P26" s="324"/>
      <c r="Q26" s="324"/>
    </row>
    <row r="27" spans="1:17" thickTop="1" x14ac:dyDescent="0.3">
      <c r="A27" s="323"/>
      <c r="B27" s="324"/>
      <c r="C27" s="361" t="s">
        <v>118</v>
      </c>
      <c r="D27" s="362">
        <f>SUM(D4:D22)</f>
        <v>31</v>
      </c>
      <c r="E27" s="324">
        <f>SUM(E24:E26)</f>
        <v>166.95</v>
      </c>
      <c r="F27" s="336">
        <f>SUM(F24:F26)</f>
        <v>193.04</v>
      </c>
      <c r="G27" s="343"/>
      <c r="H27" s="344">
        <f t="shared" si="1"/>
        <v>0.13515333609614591</v>
      </c>
      <c r="I27" s="336"/>
      <c r="J27" s="324"/>
      <c r="K27" s="336"/>
      <c r="L27" s="324"/>
      <c r="M27" s="336"/>
      <c r="N27" s="324"/>
      <c r="O27" s="324"/>
      <c r="P27" s="324"/>
      <c r="Q27" s="324"/>
    </row>
    <row r="28" spans="1:17" ht="14.45" x14ac:dyDescent="0.3">
      <c r="A28" s="337" t="s">
        <v>13</v>
      </c>
      <c r="B28" s="363"/>
      <c r="C28" s="363"/>
      <c r="D28" s="337"/>
      <c r="E28" s="324"/>
      <c r="F28" s="326"/>
      <c r="G28" s="343"/>
      <c r="H28" s="364"/>
      <c r="I28" s="336"/>
      <c r="J28" s="324"/>
      <c r="K28" s="336"/>
      <c r="L28" s="324"/>
      <c r="M28" s="336"/>
      <c r="N28" s="324"/>
      <c r="O28" s="324"/>
      <c r="P28" s="324"/>
      <c r="Q28" s="324"/>
    </row>
    <row r="29" spans="1:17" ht="14.45" x14ac:dyDescent="0.3">
      <c r="A29" s="323"/>
      <c r="B29" s="341" t="s">
        <v>3</v>
      </c>
      <c r="C29" s="341" t="s">
        <v>29</v>
      </c>
      <c r="D29" s="365">
        <v>4.32</v>
      </c>
      <c r="E29" s="366">
        <v>36</v>
      </c>
      <c r="F29" s="326">
        <v>36.72</v>
      </c>
      <c r="G29" s="343">
        <f>F29/D29</f>
        <v>8.5</v>
      </c>
      <c r="H29" s="344">
        <f t="shared" ref="H29:H36" si="2">(ABS(E29-F29))/F29</f>
        <v>1.960784313725487E-2</v>
      </c>
      <c r="I29" s="336">
        <v>22</v>
      </c>
      <c r="J29" s="324">
        <v>3.41</v>
      </c>
      <c r="K29" s="336">
        <v>8.8699999999999992</v>
      </c>
      <c r="L29" s="324">
        <v>203.82</v>
      </c>
      <c r="M29" s="336"/>
      <c r="N29" s="324"/>
      <c r="O29" s="324"/>
      <c r="P29" s="324"/>
      <c r="Q29" s="324"/>
    </row>
    <row r="30" spans="1:17" ht="14.45" x14ac:dyDescent="0.3">
      <c r="A30" s="323"/>
      <c r="B30" s="341" t="s">
        <v>3</v>
      </c>
      <c r="C30" s="341" t="s">
        <v>31</v>
      </c>
      <c r="D30" s="365">
        <v>1.92</v>
      </c>
      <c r="E30" s="366">
        <v>16</v>
      </c>
      <c r="F30" s="326">
        <v>13.52</v>
      </c>
      <c r="G30" s="343">
        <f>F30/D30</f>
        <v>7.041666666666667</v>
      </c>
      <c r="H30" s="344">
        <f t="shared" si="2"/>
        <v>0.18343195266272194</v>
      </c>
      <c r="I30" s="336">
        <v>21.6</v>
      </c>
      <c r="J30" s="324">
        <v>3.57</v>
      </c>
      <c r="K30" s="336">
        <v>5.6</v>
      </c>
      <c r="L30" s="324">
        <v>203.82</v>
      </c>
      <c r="M30" s="336"/>
      <c r="N30" s="324"/>
      <c r="O30" s="324"/>
      <c r="P30" s="324"/>
      <c r="Q30" s="324"/>
    </row>
    <row r="31" spans="1:17" ht="14.45" x14ac:dyDescent="0.3">
      <c r="A31" s="323"/>
      <c r="B31" s="341" t="s">
        <v>86</v>
      </c>
      <c r="C31" s="341" t="s">
        <v>32</v>
      </c>
      <c r="D31" s="367">
        <v>3.29</v>
      </c>
      <c r="E31" s="346">
        <v>27.8</v>
      </c>
      <c r="F31" s="326">
        <v>19.64</v>
      </c>
      <c r="G31" s="343">
        <f>F31/D31</f>
        <v>5.9696048632218845</v>
      </c>
      <c r="H31" s="344">
        <f t="shared" si="2"/>
        <v>0.41547861507128309</v>
      </c>
      <c r="I31" s="336">
        <v>19.649999999999999</v>
      </c>
      <c r="J31" s="324">
        <v>3.5</v>
      </c>
      <c r="K31" s="336">
        <v>7.2</v>
      </c>
      <c r="L31" s="324">
        <v>215.74</v>
      </c>
      <c r="M31" s="336"/>
      <c r="N31" s="324" t="s">
        <v>169</v>
      </c>
      <c r="O31" s="368">
        <v>1405.3</v>
      </c>
      <c r="P31" s="324" t="s">
        <v>170</v>
      </c>
      <c r="Q31" s="324">
        <v>1508.7</v>
      </c>
    </row>
    <row r="32" spans="1:17" x14ac:dyDescent="0.25">
      <c r="A32" s="323"/>
      <c r="B32" s="341" t="s">
        <v>84</v>
      </c>
      <c r="C32" s="341" t="s">
        <v>88</v>
      </c>
      <c r="D32" s="367">
        <v>4.63</v>
      </c>
      <c r="E32" s="345">
        <v>14</v>
      </c>
      <c r="F32" s="326">
        <v>13.2</v>
      </c>
      <c r="G32" s="343">
        <f>F32/D32</f>
        <v>2.8509719222462202</v>
      </c>
      <c r="H32" s="344">
        <f t="shared" si="2"/>
        <v>6.0606060606060663E-2</v>
      </c>
      <c r="I32" s="336">
        <v>20.5</v>
      </c>
      <c r="J32" s="324">
        <v>3.67</v>
      </c>
      <c r="K32" s="336">
        <v>6.8</v>
      </c>
      <c r="L32" s="324">
        <v>244.82</v>
      </c>
      <c r="M32" s="336">
        <v>1330.2</v>
      </c>
      <c r="N32" s="324"/>
      <c r="O32" s="324"/>
      <c r="P32" s="324"/>
      <c r="Q32" s="324"/>
    </row>
    <row r="33" spans="1:17" x14ac:dyDescent="0.25">
      <c r="A33" s="323"/>
      <c r="B33" s="352"/>
      <c r="C33" s="353" t="s">
        <v>115</v>
      </c>
      <c r="D33" s="369">
        <f>SUM(D29:D30)</f>
        <v>6.24</v>
      </c>
      <c r="E33" s="324">
        <f>SUM(E29:E30)</f>
        <v>52</v>
      </c>
      <c r="F33" s="336">
        <f>SUM(F29:F30)</f>
        <v>50.239999999999995</v>
      </c>
      <c r="G33" s="343"/>
      <c r="H33" s="344">
        <f t="shared" si="2"/>
        <v>3.5031847133758065E-2</v>
      </c>
      <c r="I33" s="336"/>
      <c r="J33" s="324"/>
      <c r="K33" s="336"/>
      <c r="L33" s="324"/>
      <c r="M33" s="336"/>
      <c r="N33" s="324"/>
      <c r="O33" s="324"/>
      <c r="P33" s="324"/>
      <c r="Q33" s="324"/>
    </row>
    <row r="34" spans="1:17" x14ac:dyDescent="0.25">
      <c r="A34" s="323"/>
      <c r="B34" s="352"/>
      <c r="C34" s="323" t="s">
        <v>120</v>
      </c>
      <c r="D34" s="370">
        <f>SUM(D31:D32)</f>
        <v>7.92</v>
      </c>
      <c r="E34" s="324">
        <f>SUM(E31:E32)</f>
        <v>41.8</v>
      </c>
      <c r="F34" s="336">
        <f>SUM(F31:F32)</f>
        <v>32.840000000000003</v>
      </c>
      <c r="G34" s="343"/>
      <c r="H34" s="344">
        <f t="shared" si="2"/>
        <v>0.27283800243605338</v>
      </c>
      <c r="I34" s="336"/>
      <c r="J34" s="324"/>
      <c r="K34" s="336"/>
      <c r="L34" s="324"/>
      <c r="M34" s="336"/>
      <c r="N34" s="324"/>
      <c r="O34" s="324"/>
      <c r="P34" s="324"/>
      <c r="Q34" s="324"/>
    </row>
    <row r="35" spans="1:17" ht="15.75" thickBot="1" x14ac:dyDescent="0.3">
      <c r="A35" s="323"/>
      <c r="B35" s="324"/>
      <c r="C35" s="371" t="s">
        <v>117</v>
      </c>
      <c r="D35" s="372">
        <v>0</v>
      </c>
      <c r="E35" s="324">
        <v>0</v>
      </c>
      <c r="F35" s="336">
        <v>0</v>
      </c>
      <c r="G35" s="343"/>
      <c r="H35" s="344" t="e">
        <f t="shared" si="2"/>
        <v>#DIV/0!</v>
      </c>
      <c r="I35" s="336"/>
      <c r="J35" s="324"/>
      <c r="K35" s="336"/>
      <c r="L35" s="324"/>
      <c r="M35" s="336"/>
      <c r="N35" s="324"/>
      <c r="O35" s="324"/>
      <c r="P35" s="324"/>
      <c r="Q35" s="324"/>
    </row>
    <row r="36" spans="1:17" ht="15.75" thickTop="1" x14ac:dyDescent="0.25">
      <c r="A36" s="323"/>
      <c r="B36" s="324"/>
      <c r="C36" s="373" t="s">
        <v>118</v>
      </c>
      <c r="D36" s="370">
        <f>SUM(D33:D34)</f>
        <v>14.16</v>
      </c>
      <c r="E36" s="324">
        <f>SUM(E33:E34)</f>
        <v>93.8</v>
      </c>
      <c r="F36" s="336">
        <f>SUM(F33:F34)</f>
        <v>83.08</v>
      </c>
      <c r="G36" s="343"/>
      <c r="H36" s="344">
        <f t="shared" si="2"/>
        <v>0.12903225806451613</v>
      </c>
      <c r="I36" s="336"/>
      <c r="J36" s="324"/>
      <c r="K36" s="336"/>
      <c r="L36" s="324"/>
      <c r="M36" s="336"/>
      <c r="N36" s="324"/>
      <c r="O36" s="324"/>
      <c r="P36" s="324"/>
      <c r="Q36" s="324"/>
    </row>
    <row r="37" spans="1:17" x14ac:dyDescent="0.25">
      <c r="A37" s="337" t="s">
        <v>15</v>
      </c>
      <c r="B37" s="363"/>
      <c r="C37" s="337"/>
      <c r="D37" s="374"/>
      <c r="E37" s="324"/>
      <c r="F37" s="326"/>
      <c r="G37" s="343"/>
      <c r="H37" s="375"/>
      <c r="I37" s="336"/>
      <c r="J37" s="324"/>
      <c r="K37" s="336"/>
      <c r="L37" s="324"/>
      <c r="M37" s="336"/>
      <c r="N37" s="324"/>
      <c r="O37" s="324"/>
      <c r="P37" s="324"/>
      <c r="Q37" s="324"/>
    </row>
    <row r="38" spans="1:17" x14ac:dyDescent="0.25">
      <c r="A38" s="323"/>
      <c r="B38" s="341" t="s">
        <v>3</v>
      </c>
      <c r="C38" s="341" t="s">
        <v>36</v>
      </c>
      <c r="D38" s="367">
        <v>4.04</v>
      </c>
      <c r="E38" s="324">
        <v>16.2</v>
      </c>
      <c r="F38" s="326">
        <v>26.77</v>
      </c>
      <c r="G38" s="343">
        <f>F38/D38</f>
        <v>6.6262376237623757</v>
      </c>
      <c r="H38" s="376">
        <f>(ABS(E38-F38))/F38</f>
        <v>0.39484497571908855</v>
      </c>
      <c r="I38" s="336">
        <v>23.75</v>
      </c>
      <c r="J38" s="324">
        <v>3.34</v>
      </c>
      <c r="K38" s="336">
        <v>8.25</v>
      </c>
      <c r="L38" s="324">
        <v>157.74</v>
      </c>
      <c r="M38" s="336"/>
      <c r="N38" s="324"/>
      <c r="O38" s="324"/>
      <c r="P38" s="324"/>
      <c r="Q38" s="324"/>
    </row>
    <row r="39" spans="1:17" x14ac:dyDescent="0.25">
      <c r="A39" s="323"/>
      <c r="B39" s="341" t="s">
        <v>86</v>
      </c>
      <c r="C39" s="341" t="s">
        <v>37</v>
      </c>
      <c r="D39" s="367">
        <v>5.04</v>
      </c>
      <c r="E39" s="324">
        <v>30.1</v>
      </c>
      <c r="F39" s="326">
        <v>32.630000000000003</v>
      </c>
      <c r="G39" s="343">
        <f>F39/D39</f>
        <v>6.4742063492063497</v>
      </c>
      <c r="H39" s="344">
        <f>(ABS(E39-F39))/F39</f>
        <v>7.7536009806926168E-2</v>
      </c>
      <c r="I39" s="336">
        <v>23</v>
      </c>
      <c r="J39" s="324">
        <v>3.2</v>
      </c>
      <c r="K39" s="336">
        <v>8.4</v>
      </c>
      <c r="L39" s="324">
        <v>180.19</v>
      </c>
      <c r="M39" s="336"/>
      <c r="N39" s="324"/>
      <c r="O39" s="324"/>
      <c r="P39" s="324"/>
      <c r="Q39" s="324"/>
    </row>
    <row r="40" spans="1:17" x14ac:dyDescent="0.25">
      <c r="A40" s="323"/>
      <c r="B40" s="341" t="s">
        <v>6</v>
      </c>
      <c r="C40" s="341" t="s">
        <v>38</v>
      </c>
      <c r="D40" s="367">
        <v>1.65</v>
      </c>
      <c r="E40" s="345">
        <v>12</v>
      </c>
      <c r="F40" s="326">
        <v>12.47</v>
      </c>
      <c r="G40" s="343">
        <f>F40/D40</f>
        <v>7.5575757575757585</v>
      </c>
      <c r="H40" s="344">
        <f>(ABS(E40-F40))/F40</f>
        <v>3.7690457097032927E-2</v>
      </c>
      <c r="I40" s="336">
        <v>24</v>
      </c>
      <c r="J40" s="324">
        <v>3.26</v>
      </c>
      <c r="K40" s="336">
        <v>9.8000000000000007</v>
      </c>
      <c r="L40" s="324">
        <v>241.52</v>
      </c>
      <c r="M40" s="336">
        <v>1597</v>
      </c>
      <c r="N40" s="324"/>
      <c r="O40" s="324"/>
      <c r="P40" s="324"/>
      <c r="Q40" s="324"/>
    </row>
    <row r="41" spans="1:17" x14ac:dyDescent="0.25">
      <c r="A41" s="323"/>
      <c r="B41" s="352"/>
      <c r="C41" s="353" t="s">
        <v>115</v>
      </c>
      <c r="D41" s="377">
        <f>SUM(D38,D40)</f>
        <v>5.6899999999999995</v>
      </c>
      <c r="E41" s="324">
        <f>SUM(E38,E40)</f>
        <v>28.2</v>
      </c>
      <c r="F41" s="336">
        <f>SUM(F38,F40)</f>
        <v>39.24</v>
      </c>
      <c r="G41" s="343"/>
      <c r="H41" s="344">
        <f>(ABS(E41-F41))/F41</f>
        <v>0.28134556574923553</v>
      </c>
      <c r="I41" s="336"/>
      <c r="J41" s="324"/>
      <c r="K41" s="336"/>
      <c r="L41" s="324"/>
      <c r="M41" s="336"/>
      <c r="N41" s="324"/>
      <c r="O41" s="324"/>
      <c r="P41" s="324"/>
      <c r="Q41" s="324"/>
    </row>
    <row r="42" spans="1:17" x14ac:dyDescent="0.25">
      <c r="A42" s="323"/>
      <c r="B42" s="352"/>
      <c r="C42" s="323" t="s">
        <v>119</v>
      </c>
      <c r="D42" s="378">
        <v>5.04</v>
      </c>
      <c r="E42" s="324">
        <f>E39</f>
        <v>30.1</v>
      </c>
      <c r="F42" s="336">
        <f>F39</f>
        <v>32.630000000000003</v>
      </c>
      <c r="G42" s="343"/>
      <c r="H42" s="344">
        <f>(ABS(E42-F42))/F42</f>
        <v>7.7536009806926168E-2</v>
      </c>
      <c r="I42" s="336"/>
      <c r="J42" s="324"/>
      <c r="K42" s="336"/>
      <c r="L42" s="324"/>
      <c r="M42" s="336"/>
      <c r="N42" s="324"/>
      <c r="O42" s="324"/>
      <c r="P42" s="324"/>
      <c r="Q42" s="324"/>
    </row>
    <row r="43" spans="1:17" ht="15.75" thickBot="1" x14ac:dyDescent="0.3">
      <c r="A43" s="323"/>
      <c r="B43" s="324"/>
      <c r="C43" s="371" t="s">
        <v>117</v>
      </c>
      <c r="D43" s="379" t="s">
        <v>109</v>
      </c>
      <c r="E43" s="324">
        <v>0</v>
      </c>
      <c r="F43" s="336">
        <v>0</v>
      </c>
      <c r="G43" s="343"/>
      <c r="H43" s="375"/>
      <c r="I43" s="336"/>
      <c r="J43" s="324"/>
      <c r="K43" s="336"/>
      <c r="L43" s="324"/>
      <c r="M43" s="336"/>
      <c r="N43" s="324"/>
      <c r="O43" s="324"/>
      <c r="P43" s="324"/>
      <c r="Q43" s="324"/>
    </row>
    <row r="44" spans="1:17" ht="15.75" thickTop="1" x14ac:dyDescent="0.25">
      <c r="A44" s="323"/>
      <c r="B44" s="324"/>
      <c r="C44" s="373" t="s">
        <v>118</v>
      </c>
      <c r="D44" s="370">
        <f>SUM(D41,D42)</f>
        <v>10.73</v>
      </c>
      <c r="E44" s="324">
        <f>SUM(E41:E43)</f>
        <v>58.3</v>
      </c>
      <c r="F44" s="336">
        <f>SUM(F41:F43)</f>
        <v>71.87</v>
      </c>
      <c r="G44" s="343"/>
      <c r="H44" s="344">
        <f>(ABS(E44-F44))/F44</f>
        <v>0.18881313482677065</v>
      </c>
      <c r="I44" s="336"/>
      <c r="J44" s="324"/>
      <c r="K44" s="336"/>
      <c r="L44" s="324"/>
      <c r="M44" s="336"/>
      <c r="N44" s="324"/>
      <c r="O44" s="324"/>
      <c r="P44" s="324"/>
      <c r="Q44" s="324"/>
    </row>
    <row r="45" spans="1:17" x14ac:dyDescent="0.25">
      <c r="A45" s="337" t="s">
        <v>17</v>
      </c>
      <c r="B45" s="363"/>
      <c r="C45" s="337"/>
      <c r="D45" s="374"/>
      <c r="E45" s="324"/>
      <c r="F45" s="326"/>
      <c r="G45" s="343"/>
      <c r="H45" s="375"/>
      <c r="I45" s="336"/>
      <c r="J45" s="324"/>
      <c r="K45" s="336"/>
      <c r="L45" s="324"/>
      <c r="M45" s="336"/>
      <c r="N45" s="324"/>
      <c r="O45" s="324"/>
      <c r="P45" s="324"/>
      <c r="Q45" s="324"/>
    </row>
    <row r="46" spans="1:17" x14ac:dyDescent="0.25">
      <c r="A46" s="323"/>
      <c r="B46" s="341" t="s">
        <v>3</v>
      </c>
      <c r="C46" s="341" t="s">
        <v>39</v>
      </c>
      <c r="D46" s="339">
        <v>1.89</v>
      </c>
      <c r="E46" s="366">
        <v>9</v>
      </c>
      <c r="F46" s="326">
        <v>10.07</v>
      </c>
      <c r="G46" s="343">
        <f t="shared" ref="G46:G55" si="3">F46/D46</f>
        <v>5.3280423280423284</v>
      </c>
      <c r="H46" s="344">
        <f>(ABS(E46-F46))/F46</f>
        <v>0.10625620655412117</v>
      </c>
      <c r="I46" s="336">
        <v>23.8</v>
      </c>
      <c r="J46" s="324">
        <v>3.36</v>
      </c>
      <c r="K46" s="336">
        <v>6.3</v>
      </c>
      <c r="L46" s="324">
        <v>189.87</v>
      </c>
      <c r="M46" s="336"/>
      <c r="N46" s="324"/>
      <c r="O46" s="324"/>
      <c r="P46" s="324"/>
      <c r="Q46" s="324"/>
    </row>
    <row r="47" spans="1:17" x14ac:dyDescent="0.25">
      <c r="A47" s="323"/>
      <c r="B47" s="341" t="s">
        <v>86</v>
      </c>
      <c r="C47" s="341" t="s">
        <v>31</v>
      </c>
      <c r="D47" s="339">
        <v>0.57999999999999996</v>
      </c>
      <c r="E47" s="366">
        <v>3</v>
      </c>
      <c r="F47" s="326">
        <v>3.99</v>
      </c>
      <c r="G47" s="343">
        <f t="shared" si="3"/>
        <v>6.8793103448275872</v>
      </c>
      <c r="H47" s="344">
        <f>(ABS(E47-F47))/F47</f>
        <v>0.24812030075187974</v>
      </c>
      <c r="I47" s="336">
        <v>23.5</v>
      </c>
      <c r="J47" s="324">
        <v>3.66</v>
      </c>
      <c r="K47" s="336">
        <v>4.5999999999999996</v>
      </c>
      <c r="L47" s="324">
        <v>236.63</v>
      </c>
      <c r="M47" s="336">
        <v>1393.1</v>
      </c>
      <c r="N47" s="324"/>
      <c r="O47" s="324"/>
      <c r="P47" s="324"/>
      <c r="Q47" s="324"/>
    </row>
    <row r="48" spans="1:17" x14ac:dyDescent="0.25">
      <c r="A48" s="323"/>
      <c r="B48" s="341" t="s">
        <v>4</v>
      </c>
      <c r="C48" s="341" t="s">
        <v>40</v>
      </c>
      <c r="D48" s="339">
        <v>9.11</v>
      </c>
      <c r="E48" s="350">
        <v>25</v>
      </c>
      <c r="F48" s="326">
        <v>22.92</v>
      </c>
      <c r="G48" s="343">
        <f t="shared" si="3"/>
        <v>2.5159165751920969</v>
      </c>
      <c r="H48" s="344">
        <f>(ABS(E48-F48))/F48</f>
        <v>9.0750436300174445E-2</v>
      </c>
      <c r="I48" s="336">
        <v>24.05</v>
      </c>
      <c r="J48" s="324">
        <v>3.63</v>
      </c>
      <c r="K48" s="336">
        <v>6.2</v>
      </c>
      <c r="L48" s="324">
        <v>203.12</v>
      </c>
      <c r="M48" s="336">
        <v>1342.3</v>
      </c>
      <c r="N48" s="324"/>
      <c r="O48" s="324"/>
      <c r="P48" s="324"/>
      <c r="Q48" s="324"/>
    </row>
    <row r="49" spans="1:17" x14ac:dyDescent="0.25">
      <c r="A49" s="323"/>
      <c r="B49" s="341" t="s">
        <v>89</v>
      </c>
      <c r="C49" s="341" t="s">
        <v>90</v>
      </c>
      <c r="D49" s="339">
        <v>7.34</v>
      </c>
      <c r="E49" s="345">
        <v>38</v>
      </c>
      <c r="F49" s="326">
        <v>46.96</v>
      </c>
      <c r="G49" s="343">
        <f t="shared" si="3"/>
        <v>6.3978201634877383</v>
      </c>
      <c r="H49" s="344">
        <f>(ABS(E49-F49))/F49</f>
        <v>0.19080068143100512</v>
      </c>
      <c r="I49" s="336">
        <v>24.3</v>
      </c>
      <c r="J49" s="324">
        <v>3.75</v>
      </c>
      <c r="K49" s="336">
        <v>4.9000000000000004</v>
      </c>
      <c r="L49" s="324">
        <v>223.19</v>
      </c>
      <c r="M49" s="336">
        <v>1481.3</v>
      </c>
      <c r="N49" s="324"/>
      <c r="O49" s="324"/>
      <c r="P49" s="324"/>
      <c r="Q49" s="324"/>
    </row>
    <row r="50" spans="1:17" x14ac:dyDescent="0.25">
      <c r="A50" s="340"/>
      <c r="B50" s="380" t="s">
        <v>7</v>
      </c>
      <c r="C50" s="380" t="s">
        <v>41</v>
      </c>
      <c r="D50" s="381">
        <v>2</v>
      </c>
      <c r="E50" s="350">
        <v>8</v>
      </c>
      <c r="F50" s="326">
        <v>8.5</v>
      </c>
      <c r="G50" s="343">
        <f t="shared" si="3"/>
        <v>4.25</v>
      </c>
      <c r="H50" s="375"/>
      <c r="I50" s="336">
        <v>23.5</v>
      </c>
      <c r="J50" s="324">
        <v>3.54</v>
      </c>
      <c r="K50" s="336">
        <v>6.9</v>
      </c>
      <c r="L50" s="324">
        <v>159.38999999999999</v>
      </c>
      <c r="M50" s="336"/>
      <c r="N50" s="324"/>
      <c r="O50" s="324"/>
      <c r="P50" s="324"/>
      <c r="Q50" s="324"/>
    </row>
    <row r="51" spans="1:17" x14ac:dyDescent="0.25">
      <c r="A51" s="323"/>
      <c r="B51" s="380" t="s">
        <v>7</v>
      </c>
      <c r="C51" s="380" t="s">
        <v>42</v>
      </c>
      <c r="D51" s="381">
        <v>2</v>
      </c>
      <c r="E51" s="350">
        <v>8</v>
      </c>
      <c r="F51" s="326">
        <v>12.64</v>
      </c>
      <c r="G51" s="343">
        <f t="shared" si="3"/>
        <v>6.32</v>
      </c>
      <c r="H51" s="344">
        <f t="shared" ref="H51:H59" si="4">(ABS(E51-F51))/F51</f>
        <v>0.36708860759493672</v>
      </c>
      <c r="I51" s="336">
        <v>21.7</v>
      </c>
      <c r="J51" s="324">
        <v>3.99</v>
      </c>
      <c r="K51" s="336">
        <v>4</v>
      </c>
      <c r="L51" s="324">
        <v>378.84</v>
      </c>
      <c r="M51" s="336"/>
      <c r="N51" s="324"/>
      <c r="O51" s="324"/>
      <c r="P51" s="324"/>
      <c r="Q51" s="324"/>
    </row>
    <row r="52" spans="1:17" x14ac:dyDescent="0.25">
      <c r="A52" s="323"/>
      <c r="B52" s="380" t="s">
        <v>7</v>
      </c>
      <c r="C52" s="380" t="s">
        <v>43</v>
      </c>
      <c r="D52" s="381">
        <v>4</v>
      </c>
      <c r="E52" s="350">
        <v>16</v>
      </c>
      <c r="F52" s="326">
        <v>26.79</v>
      </c>
      <c r="G52" s="343">
        <f t="shared" si="3"/>
        <v>6.6974999999999998</v>
      </c>
      <c r="H52" s="344">
        <f t="shared" si="4"/>
        <v>0.40276222471071293</v>
      </c>
      <c r="I52" s="336">
        <v>24</v>
      </c>
      <c r="J52" s="324">
        <v>3.37</v>
      </c>
      <c r="K52" s="336">
        <v>8.1</v>
      </c>
      <c r="L52" s="324">
        <v>184.52</v>
      </c>
      <c r="M52" s="336"/>
      <c r="N52" s="324"/>
      <c r="O52" s="324"/>
      <c r="P52" s="324"/>
      <c r="Q52" s="324"/>
    </row>
    <row r="53" spans="1:17" x14ac:dyDescent="0.25">
      <c r="A53" s="323"/>
      <c r="B53" s="380" t="s">
        <v>7</v>
      </c>
      <c r="C53" s="380" t="s">
        <v>91</v>
      </c>
      <c r="D53" s="381">
        <v>4.25</v>
      </c>
      <c r="E53" s="350">
        <v>15</v>
      </c>
      <c r="F53" s="326">
        <v>20.67</v>
      </c>
      <c r="G53" s="343">
        <f t="shared" si="3"/>
        <v>4.8635294117647065</v>
      </c>
      <c r="H53" s="344">
        <f t="shared" si="4"/>
        <v>0.27431059506531208</v>
      </c>
      <c r="I53" s="336">
        <v>23.65</v>
      </c>
      <c r="J53" s="324">
        <v>3.57</v>
      </c>
      <c r="K53" s="336">
        <v>5.15</v>
      </c>
      <c r="L53" s="324">
        <v>270.02999999999997</v>
      </c>
      <c r="M53" s="336"/>
      <c r="N53" s="324"/>
      <c r="O53" s="324"/>
      <c r="P53" s="324"/>
      <c r="Q53" s="324"/>
    </row>
    <row r="54" spans="1:17" x14ac:dyDescent="0.25">
      <c r="A54" s="323"/>
      <c r="B54" s="380" t="s">
        <v>7</v>
      </c>
      <c r="C54" s="341" t="s">
        <v>99</v>
      </c>
      <c r="D54" s="381">
        <v>3</v>
      </c>
      <c r="E54" s="350">
        <v>16</v>
      </c>
      <c r="F54" s="326">
        <v>16.84</v>
      </c>
      <c r="G54" s="343">
        <f t="shared" si="3"/>
        <v>5.6133333333333333</v>
      </c>
      <c r="H54" s="344">
        <f t="shared" si="4"/>
        <v>4.9881235154394292E-2</v>
      </c>
      <c r="I54" s="336">
        <v>23.6</v>
      </c>
      <c r="J54" s="324">
        <v>3.72</v>
      </c>
      <c r="K54" s="336">
        <v>5.9</v>
      </c>
      <c r="L54" s="324">
        <v>224.02</v>
      </c>
      <c r="M54" s="336">
        <v>1411.2</v>
      </c>
      <c r="N54" s="324" t="s">
        <v>5</v>
      </c>
      <c r="O54" s="324"/>
      <c r="P54" s="324"/>
      <c r="Q54" s="324"/>
    </row>
    <row r="55" spans="1:17" x14ac:dyDescent="0.25">
      <c r="A55" s="323"/>
      <c r="B55" s="380" t="s">
        <v>7</v>
      </c>
      <c r="C55" s="341" t="s">
        <v>100</v>
      </c>
      <c r="D55" s="381">
        <v>6.5</v>
      </c>
      <c r="E55" s="350">
        <v>15</v>
      </c>
      <c r="F55" s="326">
        <v>14.48</v>
      </c>
      <c r="G55" s="343">
        <f t="shared" si="3"/>
        <v>2.2276923076923079</v>
      </c>
      <c r="H55" s="376">
        <f t="shared" si="4"/>
        <v>3.5911602209944722E-2</v>
      </c>
      <c r="I55" s="336">
        <v>23.5</v>
      </c>
      <c r="J55" s="324">
        <v>3.51</v>
      </c>
      <c r="K55" s="336">
        <v>4.4000000000000004</v>
      </c>
      <c r="L55" s="324">
        <v>224.02</v>
      </c>
      <c r="M55" s="336"/>
      <c r="N55" s="324"/>
      <c r="O55" s="324"/>
      <c r="P55" s="324"/>
      <c r="Q55" s="324"/>
    </row>
    <row r="56" spans="1:17" x14ac:dyDescent="0.25">
      <c r="A56" s="324"/>
      <c r="B56" s="352"/>
      <c r="C56" s="353" t="s">
        <v>115</v>
      </c>
      <c r="D56" s="382">
        <f>SUM(D46)</f>
        <v>1.89</v>
      </c>
      <c r="E56" s="324">
        <f>SUM(E48,E46)</f>
        <v>34</v>
      </c>
      <c r="F56" s="336">
        <f>SUM(F48,F46)</f>
        <v>32.99</v>
      </c>
      <c r="G56" s="343"/>
      <c r="H56" s="344">
        <f t="shared" si="4"/>
        <v>3.0615337981206366E-2</v>
      </c>
      <c r="I56" s="336"/>
      <c r="J56" s="324"/>
      <c r="K56" s="336"/>
      <c r="L56" s="324"/>
      <c r="M56" s="336"/>
      <c r="N56" s="324"/>
      <c r="O56" s="324"/>
      <c r="P56" s="324"/>
      <c r="Q56" s="324"/>
    </row>
    <row r="57" spans="1:17" x14ac:dyDescent="0.25">
      <c r="A57" s="323"/>
      <c r="B57" s="352"/>
      <c r="C57" s="383" t="s">
        <v>119</v>
      </c>
      <c r="D57" s="362">
        <f>SUM(D47,D49)</f>
        <v>7.92</v>
      </c>
      <c r="E57" s="324">
        <f>SUM(E47,E49)</f>
        <v>41</v>
      </c>
      <c r="F57" s="336">
        <f>SUM(F47,F49)</f>
        <v>50.95</v>
      </c>
      <c r="G57" s="343"/>
      <c r="H57" s="344">
        <f t="shared" si="4"/>
        <v>0.19528949950932292</v>
      </c>
      <c r="I57" s="336"/>
      <c r="J57" s="324"/>
      <c r="K57" s="336"/>
      <c r="L57" s="324"/>
      <c r="M57" s="336"/>
      <c r="N57" s="324"/>
      <c r="O57" s="324"/>
      <c r="P57" s="324"/>
      <c r="Q57" s="324"/>
    </row>
    <row r="58" spans="1:17" ht="15.75" thickBot="1" x14ac:dyDescent="0.3">
      <c r="A58" s="323"/>
      <c r="B58" s="324"/>
      <c r="C58" s="358" t="s">
        <v>117</v>
      </c>
      <c r="D58" s="384">
        <f>SUM(D50:D55)</f>
        <v>21.75</v>
      </c>
      <c r="E58" s="324">
        <f>SUM(E50:E55)</f>
        <v>78</v>
      </c>
      <c r="F58" s="336">
        <f>SUM(F50:F55)</f>
        <v>99.92</v>
      </c>
      <c r="G58" s="343"/>
      <c r="H58" s="344">
        <f t="shared" si="4"/>
        <v>0.21937550040032028</v>
      </c>
      <c r="I58" s="336"/>
      <c r="J58" s="324"/>
      <c r="K58" s="336"/>
      <c r="L58" s="324"/>
      <c r="M58" s="336"/>
      <c r="N58" s="324"/>
      <c r="O58" s="324"/>
      <c r="P58" s="324"/>
      <c r="Q58" s="324"/>
    </row>
    <row r="59" spans="1:17" ht="15.75" thickTop="1" x14ac:dyDescent="0.25">
      <c r="A59" s="323"/>
      <c r="B59" s="324"/>
      <c r="C59" s="361" t="s">
        <v>9</v>
      </c>
      <c r="D59" s="385">
        <f>SUM(D56:D58)</f>
        <v>31.560000000000002</v>
      </c>
      <c r="E59" s="324">
        <f>SUM(E56:E58)</f>
        <v>153</v>
      </c>
      <c r="F59" s="360">
        <f>SUM(F56:F58)</f>
        <v>183.86</v>
      </c>
      <c r="G59" s="343"/>
      <c r="H59" s="344">
        <f t="shared" si="4"/>
        <v>0.16784509953225285</v>
      </c>
      <c r="I59" s="336"/>
      <c r="J59" s="324"/>
      <c r="K59" s="336"/>
      <c r="L59" s="324"/>
      <c r="M59" s="336"/>
      <c r="N59" s="324"/>
      <c r="O59" s="324"/>
      <c r="P59" s="324"/>
      <c r="Q59" s="324"/>
    </row>
    <row r="60" spans="1:17" x14ac:dyDescent="0.25">
      <c r="A60" s="337" t="s">
        <v>19</v>
      </c>
      <c r="B60" s="363"/>
      <c r="C60" s="337"/>
      <c r="D60" s="374"/>
      <c r="E60" s="324"/>
      <c r="F60" s="326"/>
      <c r="G60" s="343"/>
      <c r="H60" s="375"/>
      <c r="I60" s="336">
        <v>26.3</v>
      </c>
      <c r="J60" s="324">
        <v>3.76</v>
      </c>
      <c r="K60" s="336">
        <v>6</v>
      </c>
      <c r="L60" s="324">
        <v>256.64999999999998</v>
      </c>
      <c r="M60" s="336" t="s">
        <v>162</v>
      </c>
      <c r="N60" s="324"/>
      <c r="O60" s="324"/>
      <c r="P60" s="324"/>
      <c r="Q60" s="324"/>
    </row>
    <row r="61" spans="1:17" x14ac:dyDescent="0.25">
      <c r="A61" s="323"/>
      <c r="B61" s="341" t="s">
        <v>3</v>
      </c>
      <c r="C61" s="341" t="s">
        <v>37</v>
      </c>
      <c r="D61" s="367">
        <v>4.43</v>
      </c>
      <c r="E61" s="386">
        <v>15</v>
      </c>
      <c r="F61" s="326">
        <v>18.329999999999998</v>
      </c>
      <c r="G61" s="343">
        <f>F61/D61</f>
        <v>4.1376975169300225</v>
      </c>
      <c r="H61" s="344">
        <f>(ABS(E61-F61))/F61</f>
        <v>0.18166939443535179</v>
      </c>
      <c r="I61" s="336">
        <v>29.1</v>
      </c>
      <c r="J61" s="324">
        <v>3.78</v>
      </c>
      <c r="K61" s="336">
        <v>7.4</v>
      </c>
      <c r="L61" s="324">
        <v>280.98</v>
      </c>
      <c r="M61" s="336" t="s">
        <v>161</v>
      </c>
      <c r="N61" s="324"/>
      <c r="O61" s="324"/>
      <c r="P61" s="324"/>
      <c r="Q61" s="324"/>
    </row>
    <row r="62" spans="1:17" x14ac:dyDescent="0.25">
      <c r="A62" s="337" t="s">
        <v>21</v>
      </c>
      <c r="B62" s="363"/>
      <c r="C62" s="337"/>
      <c r="D62" s="374"/>
      <c r="E62" s="324"/>
      <c r="F62" s="326"/>
      <c r="G62" s="343"/>
      <c r="H62" s="375"/>
      <c r="I62" s="336"/>
      <c r="J62" s="324"/>
      <c r="K62" s="336"/>
      <c r="L62" s="324"/>
      <c r="M62" s="336"/>
      <c r="N62" s="324"/>
      <c r="O62" s="324"/>
      <c r="P62" s="324"/>
      <c r="Q62" s="324"/>
    </row>
    <row r="63" spans="1:17" x14ac:dyDescent="0.25">
      <c r="A63" s="323"/>
      <c r="B63" s="341" t="s">
        <v>3</v>
      </c>
      <c r="C63" s="341" t="s">
        <v>44</v>
      </c>
      <c r="D63" s="367">
        <v>3.55</v>
      </c>
      <c r="E63" s="366">
        <v>21.8</v>
      </c>
      <c r="F63" s="326">
        <v>18.940000000000001</v>
      </c>
      <c r="G63" s="343">
        <f>F63/D63</f>
        <v>5.3352112676056347</v>
      </c>
      <c r="H63" s="344">
        <f t="shared" ref="H63:H69" si="5">(ABS(E63-F63))/F63</f>
        <v>0.15100316789862719</v>
      </c>
      <c r="I63" s="336">
        <v>23.4</v>
      </c>
      <c r="J63" s="324">
        <v>3.42</v>
      </c>
      <c r="K63" s="336">
        <v>6.5</v>
      </c>
      <c r="L63" s="324">
        <v>176.46</v>
      </c>
      <c r="M63" s="336"/>
      <c r="N63" s="324"/>
      <c r="O63" s="324"/>
      <c r="P63" s="324"/>
      <c r="Q63" s="324"/>
    </row>
    <row r="64" spans="1:17" x14ac:dyDescent="0.25">
      <c r="A64" s="323"/>
      <c r="B64" s="341" t="s">
        <v>86</v>
      </c>
      <c r="C64" s="341" t="s">
        <v>45</v>
      </c>
      <c r="D64" s="367">
        <v>1.9</v>
      </c>
      <c r="E64" s="346">
        <v>11.8</v>
      </c>
      <c r="F64" s="326">
        <v>8.73</v>
      </c>
      <c r="G64" s="343">
        <f>F64/D64</f>
        <v>4.5947368421052639</v>
      </c>
      <c r="H64" s="344">
        <f t="shared" si="5"/>
        <v>0.3516609392898053</v>
      </c>
      <c r="I64" s="336">
        <v>18.8</v>
      </c>
      <c r="J64" s="324">
        <v>3.13</v>
      </c>
      <c r="K64" s="336">
        <v>6.8</v>
      </c>
      <c r="L64" s="324">
        <v>232.85</v>
      </c>
      <c r="M64" s="336">
        <v>1455.8</v>
      </c>
      <c r="N64" s="324"/>
      <c r="O64" s="324"/>
      <c r="P64" s="324"/>
      <c r="Q64" s="324"/>
    </row>
    <row r="65" spans="1:17" x14ac:dyDescent="0.25">
      <c r="A65" s="323"/>
      <c r="B65" s="380" t="s">
        <v>7</v>
      </c>
      <c r="C65" s="380" t="s">
        <v>92</v>
      </c>
      <c r="D65" s="381">
        <v>9.1</v>
      </c>
      <c r="E65" s="350">
        <v>35</v>
      </c>
      <c r="F65" s="326">
        <v>51.36</v>
      </c>
      <c r="G65" s="343">
        <f>F65/D65</f>
        <v>5.6439560439560443</v>
      </c>
      <c r="H65" s="344">
        <f t="shared" si="5"/>
        <v>0.31853582554517135</v>
      </c>
      <c r="I65" s="336">
        <v>23.83</v>
      </c>
      <c r="J65" s="324">
        <v>3.33</v>
      </c>
      <c r="K65" s="336">
        <v>7.6</v>
      </c>
      <c r="L65" s="324">
        <v>75.5</v>
      </c>
      <c r="M65" s="336" t="s">
        <v>148</v>
      </c>
      <c r="N65" s="324"/>
      <c r="O65" s="324"/>
      <c r="P65" s="324"/>
      <c r="Q65" s="324"/>
    </row>
    <row r="66" spans="1:17" x14ac:dyDescent="0.25">
      <c r="A66" s="323"/>
      <c r="B66" s="352"/>
      <c r="C66" s="353" t="s">
        <v>115</v>
      </c>
      <c r="D66" s="387">
        <v>3.55</v>
      </c>
      <c r="E66" s="324">
        <f t="shared" ref="E66:F68" si="6">E63</f>
        <v>21.8</v>
      </c>
      <c r="F66" s="336">
        <f t="shared" si="6"/>
        <v>18.940000000000001</v>
      </c>
      <c r="G66" s="343"/>
      <c r="H66" s="344">
        <f t="shared" si="5"/>
        <v>0.15100316789862719</v>
      </c>
      <c r="I66" s="336"/>
      <c r="J66" s="324"/>
      <c r="K66" s="336"/>
      <c r="L66" s="324"/>
      <c r="M66" s="336"/>
      <c r="N66" s="324"/>
      <c r="O66" s="324"/>
      <c r="P66" s="324"/>
      <c r="Q66" s="324"/>
    </row>
    <row r="67" spans="1:17" x14ac:dyDescent="0.25">
      <c r="A67" s="323"/>
      <c r="B67" s="352"/>
      <c r="C67" s="323" t="s">
        <v>119</v>
      </c>
      <c r="D67" s="388">
        <v>1.9</v>
      </c>
      <c r="E67" s="324">
        <f t="shared" si="6"/>
        <v>11.8</v>
      </c>
      <c r="F67" s="336">
        <f t="shared" si="6"/>
        <v>8.73</v>
      </c>
      <c r="G67" s="343"/>
      <c r="H67" s="344">
        <f t="shared" si="5"/>
        <v>0.3516609392898053</v>
      </c>
      <c r="I67" s="336"/>
      <c r="J67" s="324"/>
      <c r="K67" s="336"/>
      <c r="L67" s="324"/>
      <c r="M67" s="336"/>
      <c r="N67" s="324"/>
      <c r="O67" s="324"/>
      <c r="P67" s="324"/>
      <c r="Q67" s="324"/>
    </row>
    <row r="68" spans="1:17" ht="15.75" thickBot="1" x14ac:dyDescent="0.3">
      <c r="A68" s="323"/>
      <c r="B68" s="324"/>
      <c r="C68" s="371" t="s">
        <v>117</v>
      </c>
      <c r="D68" s="389">
        <v>7</v>
      </c>
      <c r="E68" s="350">
        <f t="shared" si="6"/>
        <v>35</v>
      </c>
      <c r="F68" s="336">
        <f t="shared" si="6"/>
        <v>51.36</v>
      </c>
      <c r="G68" s="343"/>
      <c r="H68" s="344">
        <f t="shared" si="5"/>
        <v>0.31853582554517135</v>
      </c>
      <c r="I68" s="336"/>
      <c r="J68" s="324"/>
      <c r="K68" s="336"/>
      <c r="L68" s="324"/>
      <c r="M68" s="336"/>
      <c r="N68" s="324"/>
      <c r="O68" s="324"/>
      <c r="P68" s="324"/>
      <c r="Q68" s="324"/>
    </row>
    <row r="69" spans="1:17" ht="15.75" thickTop="1" x14ac:dyDescent="0.25">
      <c r="A69" s="323"/>
      <c r="B69" s="341"/>
      <c r="C69" s="373" t="s">
        <v>118</v>
      </c>
      <c r="D69" s="385">
        <f>SUM(D66:D68)</f>
        <v>12.45</v>
      </c>
      <c r="E69" s="324">
        <f>SUM(E66:E67)</f>
        <v>33.6</v>
      </c>
      <c r="F69" s="336">
        <f>SUM(F66:F68)</f>
        <v>79.03</v>
      </c>
      <c r="G69" s="343"/>
      <c r="H69" s="344">
        <f t="shared" si="5"/>
        <v>0.57484499557130198</v>
      </c>
      <c r="I69" s="336"/>
      <c r="J69" s="324"/>
      <c r="K69" s="336"/>
      <c r="L69" s="324"/>
      <c r="M69" s="336"/>
      <c r="N69" s="324"/>
      <c r="O69" s="324"/>
      <c r="P69" s="324"/>
      <c r="Q69" s="324"/>
    </row>
    <row r="70" spans="1:17" x14ac:dyDescent="0.25">
      <c r="A70" s="337" t="s">
        <v>23</v>
      </c>
      <c r="B70" s="363"/>
      <c r="C70" s="363"/>
      <c r="D70" s="390"/>
      <c r="E70" s="324"/>
      <c r="F70" s="326"/>
      <c r="G70" s="343"/>
      <c r="H70" s="375"/>
      <c r="I70" s="336"/>
      <c r="J70" s="324"/>
      <c r="K70" s="336"/>
      <c r="L70" s="324"/>
      <c r="M70" s="336"/>
      <c r="N70" s="324"/>
      <c r="O70" s="324"/>
      <c r="P70" s="324"/>
      <c r="Q70" s="324"/>
    </row>
    <row r="71" spans="1:17" x14ac:dyDescent="0.25">
      <c r="A71" s="323"/>
      <c r="B71" s="380" t="s">
        <v>7</v>
      </c>
      <c r="C71" s="380" t="s">
        <v>42</v>
      </c>
      <c r="D71" s="381">
        <v>6</v>
      </c>
      <c r="E71" s="350">
        <v>24</v>
      </c>
      <c r="F71" s="326">
        <v>32.29</v>
      </c>
      <c r="G71" s="343">
        <f>F71/D71</f>
        <v>5.3816666666666668</v>
      </c>
      <c r="H71" s="344">
        <f t="shared" ref="H71:H77" si="7">(ABS(E71-F71))/F71</f>
        <v>0.25673583152678847</v>
      </c>
      <c r="I71" s="336">
        <v>22.25</v>
      </c>
      <c r="J71" s="324">
        <v>3.51</v>
      </c>
      <c r="K71" s="336">
        <v>6.45</v>
      </c>
      <c r="L71" s="324">
        <v>339.93</v>
      </c>
      <c r="M71" s="336"/>
      <c r="N71" s="324"/>
      <c r="O71" s="324"/>
      <c r="P71" s="324"/>
      <c r="Q71" s="324"/>
    </row>
    <row r="72" spans="1:17" x14ac:dyDescent="0.25">
      <c r="A72" s="323"/>
      <c r="B72" s="380" t="s">
        <v>7</v>
      </c>
      <c r="C72" s="380" t="s">
        <v>46</v>
      </c>
      <c r="D72" s="381">
        <v>3.8</v>
      </c>
      <c r="E72" s="350">
        <v>15</v>
      </c>
      <c r="F72" s="326">
        <v>19.010000000000002</v>
      </c>
      <c r="G72" s="343">
        <f>F72/D72</f>
        <v>5.0026315789473692</v>
      </c>
      <c r="H72" s="344">
        <f t="shared" si="7"/>
        <v>0.21094160967911632</v>
      </c>
      <c r="I72" s="336">
        <v>23.3</v>
      </c>
      <c r="J72" s="324">
        <v>3.62</v>
      </c>
      <c r="K72" s="336">
        <v>6.3</v>
      </c>
      <c r="L72" s="324">
        <v>341.21</v>
      </c>
      <c r="M72" s="336">
        <v>1394.7</v>
      </c>
      <c r="N72" s="324"/>
      <c r="O72" s="324"/>
      <c r="P72" s="324"/>
      <c r="Q72" s="324"/>
    </row>
    <row r="73" spans="1:17" x14ac:dyDescent="0.25">
      <c r="A73" s="323"/>
      <c r="B73" s="380" t="s">
        <v>7</v>
      </c>
      <c r="C73" s="380" t="s">
        <v>47</v>
      </c>
      <c r="D73" s="381">
        <v>2.5</v>
      </c>
      <c r="E73" s="350">
        <v>10</v>
      </c>
      <c r="F73" s="326">
        <v>17.97</v>
      </c>
      <c r="G73" s="343">
        <f>F73/D73</f>
        <v>7.1879999999999997</v>
      </c>
      <c r="H73" s="344">
        <f t="shared" si="7"/>
        <v>0.44351697273233165</v>
      </c>
      <c r="I73" s="336">
        <v>22.9</v>
      </c>
      <c r="J73" s="324">
        <v>3.47</v>
      </c>
      <c r="K73" s="336">
        <v>7.07</v>
      </c>
      <c r="L73" s="324">
        <v>303.19</v>
      </c>
      <c r="M73" s="336">
        <v>1394.7</v>
      </c>
      <c r="N73" s="324"/>
      <c r="O73" s="324"/>
      <c r="P73" s="324"/>
      <c r="Q73" s="324"/>
    </row>
    <row r="74" spans="1:17" x14ac:dyDescent="0.25">
      <c r="A74" s="323"/>
      <c r="B74" s="380" t="s">
        <v>7</v>
      </c>
      <c r="C74" s="380" t="s">
        <v>91</v>
      </c>
      <c r="D74" s="381">
        <v>1.75</v>
      </c>
      <c r="E74" s="350">
        <v>5</v>
      </c>
      <c r="F74" s="326">
        <v>7.68</v>
      </c>
      <c r="G74" s="343">
        <f>F74/D74</f>
        <v>4.3885714285714288</v>
      </c>
      <c r="H74" s="344">
        <f t="shared" si="7"/>
        <v>0.34895833333333331</v>
      </c>
      <c r="I74" s="336">
        <v>23.7</v>
      </c>
      <c r="J74" s="324">
        <v>3.41</v>
      </c>
      <c r="K74" s="336">
        <v>8.8000000000000007</v>
      </c>
      <c r="L74" s="324"/>
      <c r="M74" s="336"/>
      <c r="N74" s="324"/>
      <c r="O74" s="324"/>
      <c r="P74" s="324"/>
      <c r="Q74" s="324"/>
    </row>
    <row r="75" spans="1:17" x14ac:dyDescent="0.25">
      <c r="A75" s="323"/>
      <c r="B75" s="380" t="s">
        <v>7</v>
      </c>
      <c r="C75" s="391" t="s">
        <v>79</v>
      </c>
      <c r="D75" s="392">
        <v>5</v>
      </c>
      <c r="E75" s="350">
        <v>25</v>
      </c>
      <c r="F75" s="326">
        <v>32.56</v>
      </c>
      <c r="G75" s="343">
        <f>F75/D75</f>
        <v>6.5120000000000005</v>
      </c>
      <c r="H75" s="344">
        <f t="shared" si="7"/>
        <v>0.23218673218673225</v>
      </c>
      <c r="I75" s="336">
        <v>22.77</v>
      </c>
      <c r="J75" s="324">
        <v>3.69</v>
      </c>
      <c r="K75" s="336">
        <v>6.63</v>
      </c>
      <c r="L75" s="324">
        <v>341</v>
      </c>
      <c r="M75" s="336"/>
      <c r="N75" s="324"/>
      <c r="O75" s="324"/>
      <c r="P75" s="324"/>
      <c r="Q75" s="324"/>
    </row>
    <row r="76" spans="1:17" ht="15.75" thickBot="1" x14ac:dyDescent="0.3">
      <c r="A76" s="323"/>
      <c r="B76" s="324"/>
      <c r="C76" s="393" t="s">
        <v>117</v>
      </c>
      <c r="D76" s="384">
        <f>SUM(D71:D75)</f>
        <v>19.05</v>
      </c>
      <c r="E76" s="324">
        <f>SUM(E71:E75)</f>
        <v>79</v>
      </c>
      <c r="F76" s="336">
        <f>SUM(F71:F75)</f>
        <v>109.50999999999999</v>
      </c>
      <c r="G76" s="343"/>
      <c r="H76" s="344">
        <f t="shared" si="7"/>
        <v>0.2786046936352844</v>
      </c>
      <c r="I76" s="336"/>
      <c r="J76" s="324"/>
      <c r="K76" s="336"/>
      <c r="L76" s="324"/>
      <c r="M76" s="336"/>
      <c r="N76" s="324"/>
      <c r="O76" s="324"/>
      <c r="P76" s="324"/>
      <c r="Q76" s="324"/>
    </row>
    <row r="77" spans="1:17" ht="15.75" thickTop="1" x14ac:dyDescent="0.25">
      <c r="A77" s="323"/>
      <c r="B77" s="324"/>
      <c r="C77" s="394" t="s">
        <v>118</v>
      </c>
      <c r="D77" s="385">
        <v>28.79</v>
      </c>
      <c r="E77" s="324">
        <f>SUM(E76:E76)</f>
        <v>79</v>
      </c>
      <c r="F77" s="336">
        <f>SUM(F76:F76)</f>
        <v>109.50999999999999</v>
      </c>
      <c r="G77" s="343"/>
      <c r="H77" s="344">
        <f t="shared" si="7"/>
        <v>0.2786046936352844</v>
      </c>
      <c r="I77" s="336"/>
      <c r="J77" s="324"/>
      <c r="K77" s="336"/>
      <c r="L77" s="324"/>
      <c r="M77" s="336"/>
      <c r="N77" s="324"/>
      <c r="O77" s="324"/>
      <c r="P77" s="324"/>
      <c r="Q77" s="324"/>
    </row>
    <row r="78" spans="1:17" x14ac:dyDescent="0.25">
      <c r="A78" s="337" t="s">
        <v>48</v>
      </c>
      <c r="B78" s="363"/>
      <c r="C78" s="337"/>
      <c r="D78" s="374"/>
      <c r="E78" s="324"/>
      <c r="F78" s="326"/>
      <c r="G78" s="343"/>
      <c r="H78" s="375"/>
      <c r="I78" s="336"/>
      <c r="J78" s="324"/>
      <c r="K78" s="336"/>
      <c r="L78" s="324"/>
      <c r="M78" s="336"/>
      <c r="N78" s="324"/>
      <c r="O78" s="324"/>
      <c r="P78" s="324"/>
      <c r="Q78" s="324"/>
    </row>
    <row r="79" spans="1:17" x14ac:dyDescent="0.25">
      <c r="A79" s="323"/>
      <c r="B79" s="341" t="s">
        <v>3</v>
      </c>
      <c r="C79" s="341" t="s">
        <v>49</v>
      </c>
      <c r="D79" s="367">
        <v>5.07</v>
      </c>
      <c r="E79" s="386">
        <v>25</v>
      </c>
      <c r="F79" s="326">
        <v>30.52</v>
      </c>
      <c r="G79" s="343">
        <f>F79/D79</f>
        <v>6.0197238658777117</v>
      </c>
      <c r="H79" s="344">
        <f t="shared" ref="H79:H87" si="8">(ABS(E79-F79))/F79</f>
        <v>0.18086500655307994</v>
      </c>
      <c r="I79" s="336">
        <v>23.47</v>
      </c>
      <c r="J79" s="324">
        <v>3.23</v>
      </c>
      <c r="K79" s="336">
        <v>9.07</v>
      </c>
      <c r="L79" s="324">
        <v>221.63</v>
      </c>
      <c r="M79" s="336"/>
      <c r="N79" s="324"/>
      <c r="O79" s="324"/>
      <c r="P79" s="324"/>
      <c r="Q79" s="324"/>
    </row>
    <row r="80" spans="1:17" x14ac:dyDescent="0.25">
      <c r="A80" s="323"/>
      <c r="B80" s="341" t="s">
        <v>86</v>
      </c>
      <c r="C80" s="341" t="s">
        <v>50</v>
      </c>
      <c r="D80" s="367">
        <v>1.23</v>
      </c>
      <c r="E80" s="366">
        <v>4.8</v>
      </c>
      <c r="F80" s="326"/>
      <c r="G80" s="343"/>
      <c r="H80" s="344" t="e">
        <f t="shared" si="8"/>
        <v>#DIV/0!</v>
      </c>
      <c r="I80" s="336">
        <v>24.4</v>
      </c>
      <c r="J80" s="324">
        <v>3.28</v>
      </c>
      <c r="K80" s="336">
        <v>8.1300000000000008</v>
      </c>
      <c r="L80" s="324">
        <v>182.76</v>
      </c>
      <c r="M80" s="336">
        <v>1389.8</v>
      </c>
      <c r="N80" s="324"/>
      <c r="O80" s="324"/>
      <c r="P80" s="324"/>
      <c r="Q80" s="324"/>
    </row>
    <row r="81" spans="1:17" x14ac:dyDescent="0.25">
      <c r="A81" s="323"/>
      <c r="B81" s="341" t="s">
        <v>86</v>
      </c>
      <c r="C81" s="341" t="s">
        <v>51</v>
      </c>
      <c r="D81" s="367">
        <v>1.58</v>
      </c>
      <c r="E81" s="366">
        <v>3.6</v>
      </c>
      <c r="F81" s="326"/>
      <c r="G81" s="343"/>
      <c r="H81" s="344" t="e">
        <f t="shared" si="8"/>
        <v>#DIV/0!</v>
      </c>
      <c r="I81" s="336">
        <v>24.4</v>
      </c>
      <c r="J81" s="324">
        <v>3.28</v>
      </c>
      <c r="K81" s="336">
        <v>8.1300000000000008</v>
      </c>
      <c r="L81" s="324">
        <v>182.76</v>
      </c>
      <c r="M81" s="336">
        <v>1389.8</v>
      </c>
      <c r="N81" s="324"/>
      <c r="O81" s="324"/>
      <c r="P81" s="324"/>
      <c r="Q81" s="324"/>
    </row>
    <row r="82" spans="1:17" x14ac:dyDescent="0.25">
      <c r="A82" s="323"/>
      <c r="B82" s="341" t="s">
        <v>86</v>
      </c>
      <c r="C82" s="341" t="s">
        <v>11</v>
      </c>
      <c r="D82" s="367">
        <v>0.21</v>
      </c>
      <c r="E82" s="366">
        <v>0.9</v>
      </c>
      <c r="F82" s="326"/>
      <c r="G82" s="343"/>
      <c r="H82" s="344" t="e">
        <f t="shared" si="8"/>
        <v>#DIV/0!</v>
      </c>
      <c r="I82" s="336">
        <v>24.4</v>
      </c>
      <c r="J82" s="324">
        <v>3.28</v>
      </c>
      <c r="K82" s="336">
        <v>8.1300000000000008</v>
      </c>
      <c r="L82" s="324">
        <v>182.76</v>
      </c>
      <c r="M82" s="336">
        <v>1389.8</v>
      </c>
      <c r="N82" s="324"/>
      <c r="O82" s="324"/>
      <c r="P82" s="324"/>
      <c r="Q82" s="324"/>
    </row>
    <row r="83" spans="1:17" x14ac:dyDescent="0.25">
      <c r="A83" s="340"/>
      <c r="B83" s="341" t="s">
        <v>86</v>
      </c>
      <c r="C83" s="341" t="s">
        <v>52</v>
      </c>
      <c r="D83" s="367">
        <v>0.68</v>
      </c>
      <c r="E83" s="366">
        <v>2.5</v>
      </c>
      <c r="F83" s="326"/>
      <c r="G83" s="343"/>
      <c r="H83" s="344" t="e">
        <f t="shared" si="8"/>
        <v>#DIV/0!</v>
      </c>
      <c r="I83" s="336">
        <v>24.4</v>
      </c>
      <c r="J83" s="324">
        <v>3.28</v>
      </c>
      <c r="K83" s="336">
        <v>8.1300000000000008</v>
      </c>
      <c r="L83" s="324">
        <v>182.76</v>
      </c>
      <c r="M83" s="336">
        <v>1389.8</v>
      </c>
      <c r="N83" s="324"/>
      <c r="O83" s="324"/>
      <c r="P83" s="324"/>
      <c r="Q83" s="324"/>
    </row>
    <row r="84" spans="1:17" x14ac:dyDescent="0.25">
      <c r="A84" s="323"/>
      <c r="B84" s="341" t="s">
        <v>86</v>
      </c>
      <c r="C84" s="341" t="s">
        <v>53</v>
      </c>
      <c r="D84" s="367">
        <v>0.74</v>
      </c>
      <c r="E84" s="366">
        <v>6.2</v>
      </c>
      <c r="F84" s="326"/>
      <c r="G84" s="343"/>
      <c r="H84" s="344" t="e">
        <f t="shared" si="8"/>
        <v>#DIV/0!</v>
      </c>
      <c r="I84" s="336">
        <v>24.4</v>
      </c>
      <c r="J84" s="324">
        <v>3.28</v>
      </c>
      <c r="K84" s="336">
        <v>8.1300000000000008</v>
      </c>
      <c r="L84" s="324">
        <v>182.76</v>
      </c>
      <c r="M84" s="336">
        <v>1389.8</v>
      </c>
      <c r="N84" s="324"/>
      <c r="O84" s="324"/>
      <c r="P84" s="324"/>
      <c r="Q84" s="324"/>
    </row>
    <row r="85" spans="1:17" x14ac:dyDescent="0.25">
      <c r="A85" s="323"/>
      <c r="B85" s="341" t="s">
        <v>86</v>
      </c>
      <c r="C85" s="341" t="s">
        <v>54</v>
      </c>
      <c r="D85" s="367">
        <v>1.1299999999999999</v>
      </c>
      <c r="E85" s="346">
        <v>4.4000000000000004</v>
      </c>
      <c r="F85" s="326"/>
      <c r="G85" s="343"/>
      <c r="H85" s="344" t="e">
        <f t="shared" si="8"/>
        <v>#DIV/0!</v>
      </c>
      <c r="I85" s="336">
        <v>24.4</v>
      </c>
      <c r="J85" s="324">
        <v>3.28</v>
      </c>
      <c r="K85" s="336">
        <v>8.1300000000000008</v>
      </c>
      <c r="L85" s="324">
        <v>182.76</v>
      </c>
      <c r="M85" s="336">
        <v>1389.8</v>
      </c>
      <c r="N85" s="324"/>
      <c r="O85" s="324"/>
      <c r="P85" s="324"/>
      <c r="Q85" s="324"/>
    </row>
    <row r="86" spans="1:17" x14ac:dyDescent="0.25">
      <c r="A86" s="323"/>
      <c r="B86" s="341" t="s">
        <v>86</v>
      </c>
      <c r="C86" s="341" t="s">
        <v>163</v>
      </c>
      <c r="D86" s="367">
        <v>5.57</v>
      </c>
      <c r="E86" s="366">
        <v>22.4</v>
      </c>
      <c r="F86" s="326">
        <v>30.35</v>
      </c>
      <c r="G86" s="343">
        <f>F86/D86</f>
        <v>5.4488330341113107</v>
      </c>
      <c r="H86" s="344">
        <f t="shared" si="8"/>
        <v>0.26194398682042841</v>
      </c>
      <c r="I86" s="336"/>
      <c r="J86" s="324"/>
      <c r="K86" s="336"/>
      <c r="L86" s="324">
        <v>182.76</v>
      </c>
      <c r="M86" s="336">
        <v>1389.8</v>
      </c>
      <c r="N86" s="324"/>
      <c r="O86" s="324"/>
      <c r="P86" s="324"/>
      <c r="Q86" s="324"/>
    </row>
    <row r="87" spans="1:17" x14ac:dyDescent="0.25">
      <c r="A87" s="323"/>
      <c r="B87" s="341" t="s">
        <v>89</v>
      </c>
      <c r="C87" s="341" t="s">
        <v>55</v>
      </c>
      <c r="D87" s="367">
        <v>6.15</v>
      </c>
      <c r="E87" s="386">
        <v>31.5</v>
      </c>
      <c r="F87" s="326">
        <v>37.21</v>
      </c>
      <c r="G87" s="343">
        <f>F87/D87</f>
        <v>6.0504065040650401</v>
      </c>
      <c r="H87" s="344">
        <f t="shared" si="8"/>
        <v>0.15345337274926096</v>
      </c>
      <c r="I87" s="336">
        <v>21.5</v>
      </c>
      <c r="J87" s="324">
        <v>3.18</v>
      </c>
      <c r="K87" s="336">
        <v>8.5</v>
      </c>
      <c r="L87" s="324">
        <v>141.58000000000001</v>
      </c>
      <c r="M87" s="336">
        <v>1484.8</v>
      </c>
      <c r="N87" s="324"/>
      <c r="O87" s="324"/>
      <c r="P87" s="324"/>
      <c r="Q87" s="324"/>
    </row>
    <row r="88" spans="1:17" x14ac:dyDescent="0.25">
      <c r="A88" s="323"/>
      <c r="B88" s="341" t="s">
        <v>139</v>
      </c>
      <c r="C88" s="341" t="s">
        <v>5</v>
      </c>
      <c r="D88" s="367" t="s">
        <v>109</v>
      </c>
      <c r="E88" s="346">
        <v>0</v>
      </c>
      <c r="F88" s="326"/>
      <c r="G88" s="343"/>
      <c r="H88" s="375"/>
      <c r="I88" s="336"/>
      <c r="J88" s="324"/>
      <c r="K88" s="336"/>
      <c r="L88" s="324"/>
      <c r="M88" s="336"/>
      <c r="N88" s="324"/>
      <c r="O88" s="324"/>
      <c r="P88" s="324"/>
      <c r="Q88" s="324"/>
    </row>
    <row r="89" spans="1:17" x14ac:dyDescent="0.25">
      <c r="A89" s="323"/>
      <c r="B89" s="352"/>
      <c r="C89" s="353" t="s">
        <v>115</v>
      </c>
      <c r="D89" s="382">
        <v>5.07</v>
      </c>
      <c r="E89" s="324">
        <f>SUM(E79)</f>
        <v>25</v>
      </c>
      <c r="F89" s="336">
        <f>SUM(F79)</f>
        <v>30.52</v>
      </c>
      <c r="G89" s="343"/>
      <c r="H89" s="344">
        <f>(ABS(E89-F89))/F89</f>
        <v>0.18086500655307994</v>
      </c>
      <c r="I89" s="336"/>
      <c r="J89" s="324"/>
      <c r="K89" s="336"/>
      <c r="L89" s="324"/>
      <c r="M89" s="336"/>
      <c r="N89" s="324"/>
      <c r="O89" s="324"/>
      <c r="P89" s="324"/>
      <c r="Q89" s="324"/>
    </row>
    <row r="90" spans="1:17" x14ac:dyDescent="0.25">
      <c r="A90" s="323"/>
      <c r="B90" s="352"/>
      <c r="C90" s="323" t="s">
        <v>119</v>
      </c>
      <c r="D90" s="362">
        <f>SUM(D80:D87)</f>
        <v>17.29</v>
      </c>
      <c r="E90" s="324">
        <f>SUM(E86:E88)</f>
        <v>53.9</v>
      </c>
      <c r="F90" s="336">
        <f>SUM(F80:F88)</f>
        <v>67.56</v>
      </c>
      <c r="G90" s="343"/>
      <c r="H90" s="344">
        <f>(ABS(E90-F90))/F90</f>
        <v>0.20219064535227951</v>
      </c>
      <c r="I90" s="336"/>
      <c r="J90" s="324"/>
      <c r="K90" s="336"/>
      <c r="L90" s="324"/>
      <c r="M90" s="336"/>
      <c r="N90" s="324"/>
      <c r="O90" s="324"/>
      <c r="P90" s="324"/>
      <c r="Q90" s="324"/>
    </row>
    <row r="91" spans="1:17" ht="15.75" thickBot="1" x14ac:dyDescent="0.3">
      <c r="A91" s="323"/>
      <c r="B91" s="324"/>
      <c r="C91" s="371" t="s">
        <v>117</v>
      </c>
      <c r="D91" s="384" t="s">
        <v>109</v>
      </c>
      <c r="E91" s="324">
        <v>0</v>
      </c>
      <c r="F91" s="336">
        <v>0</v>
      </c>
      <c r="G91" s="343"/>
      <c r="H91" s="344"/>
      <c r="I91" s="336"/>
      <c r="J91" s="324"/>
      <c r="K91" s="336"/>
      <c r="L91" s="324"/>
      <c r="M91" s="336"/>
      <c r="N91" s="324"/>
      <c r="O91" s="324"/>
      <c r="P91" s="324"/>
      <c r="Q91" s="324"/>
    </row>
    <row r="92" spans="1:17" ht="15.75" thickTop="1" x14ac:dyDescent="0.25">
      <c r="A92" s="323"/>
      <c r="B92" s="324"/>
      <c r="C92" s="373" t="s">
        <v>118</v>
      </c>
      <c r="D92" s="385">
        <f>SUM(D89,D90)</f>
        <v>22.36</v>
      </c>
      <c r="E92" s="324">
        <f>SUM(E89:E91)</f>
        <v>78.900000000000006</v>
      </c>
      <c r="F92" s="336">
        <f>SUM(F89:F91)</f>
        <v>98.08</v>
      </c>
      <c r="G92" s="343"/>
      <c r="H92" s="344">
        <f>(ABS(E92-F92))/F92</f>
        <v>0.19555464926590532</v>
      </c>
      <c r="I92" s="336"/>
      <c r="J92" s="324"/>
      <c r="K92" s="336"/>
      <c r="L92" s="324"/>
      <c r="M92" s="336"/>
      <c r="N92" s="324"/>
      <c r="O92" s="324"/>
      <c r="P92" s="324"/>
      <c r="Q92" s="324"/>
    </row>
    <row r="93" spans="1:17" x14ac:dyDescent="0.25">
      <c r="A93" s="337" t="s">
        <v>25</v>
      </c>
      <c r="B93" s="363"/>
      <c r="C93" s="337"/>
      <c r="D93" s="374"/>
      <c r="E93" s="324"/>
      <c r="F93" s="326"/>
      <c r="G93" s="343"/>
      <c r="H93" s="375"/>
      <c r="I93" s="336"/>
      <c r="J93" s="324"/>
      <c r="K93" s="336"/>
      <c r="L93" s="324"/>
      <c r="M93" s="336"/>
      <c r="N93" s="324"/>
      <c r="O93" s="324"/>
      <c r="P93" s="324"/>
      <c r="Q93" s="324"/>
    </row>
    <row r="94" spans="1:17" x14ac:dyDescent="0.25">
      <c r="A94" s="395"/>
      <c r="B94" s="396" t="s">
        <v>3</v>
      </c>
      <c r="C94" s="396" t="s">
        <v>56</v>
      </c>
      <c r="D94" s="397">
        <v>1.49</v>
      </c>
      <c r="E94" s="366">
        <v>7.8</v>
      </c>
      <c r="F94" s="326">
        <v>10.050000000000001</v>
      </c>
      <c r="G94" s="343">
        <f>F94/D94</f>
        <v>6.7449664429530207</v>
      </c>
      <c r="H94" s="344">
        <f>(ABS(E94-F94))/F94</f>
        <v>0.22388059701492544</v>
      </c>
      <c r="I94" s="336">
        <v>21.9</v>
      </c>
      <c r="J94" s="324">
        <v>3.34</v>
      </c>
      <c r="K94" s="336">
        <v>6.4</v>
      </c>
      <c r="L94" s="324">
        <v>121.5</v>
      </c>
      <c r="M94" s="336"/>
      <c r="N94" s="324"/>
      <c r="O94" s="324"/>
      <c r="P94" s="324"/>
      <c r="Q94" s="324"/>
    </row>
    <row r="95" spans="1:17" x14ac:dyDescent="0.25">
      <c r="A95" s="340" t="s">
        <v>93</v>
      </c>
      <c r="B95" s="398"/>
      <c r="C95" s="340"/>
      <c r="D95" s="399"/>
      <c r="E95" s="324"/>
      <c r="F95" s="326"/>
      <c r="G95" s="343"/>
      <c r="H95" s="375"/>
      <c r="I95" s="336"/>
      <c r="J95" s="324"/>
      <c r="K95" s="336"/>
      <c r="L95" s="324"/>
      <c r="M95" s="336"/>
      <c r="N95" s="324"/>
      <c r="O95" s="324"/>
      <c r="P95" s="324"/>
      <c r="Q95" s="324"/>
    </row>
    <row r="96" spans="1:17" x14ac:dyDescent="0.25">
      <c r="A96" s="323"/>
      <c r="B96" s="341" t="s">
        <v>7</v>
      </c>
      <c r="C96" s="341" t="s">
        <v>99</v>
      </c>
      <c r="D96" s="400">
        <v>1</v>
      </c>
      <c r="E96" s="350">
        <v>5</v>
      </c>
      <c r="F96" s="326">
        <v>4.93</v>
      </c>
      <c r="G96" s="343">
        <f>F96/D96</f>
        <v>4.93</v>
      </c>
      <c r="H96" s="344">
        <f>(ABS(E96-F96))/F96</f>
        <v>1.4198782961460505E-2</v>
      </c>
      <c r="I96" s="336">
        <v>23</v>
      </c>
      <c r="J96" s="324">
        <v>3.2</v>
      </c>
      <c r="K96" s="336">
        <v>9.3000000000000007</v>
      </c>
      <c r="L96" s="324" t="s">
        <v>148</v>
      </c>
      <c r="M96" s="336">
        <v>1420.5</v>
      </c>
      <c r="N96" s="324"/>
      <c r="O96" s="324"/>
      <c r="P96" s="324"/>
      <c r="Q96" s="324"/>
    </row>
    <row r="97" spans="1:17" x14ac:dyDescent="0.25">
      <c r="A97" s="401" t="s">
        <v>103</v>
      </c>
      <c r="B97" s="363"/>
      <c r="C97" s="402"/>
      <c r="D97" s="403"/>
      <c r="E97" s="324"/>
      <c r="F97" s="326"/>
      <c r="G97" s="343"/>
      <c r="H97" s="375"/>
      <c r="I97" s="336"/>
      <c r="J97" s="324"/>
      <c r="K97" s="336"/>
      <c r="L97" s="324"/>
      <c r="M97" s="336"/>
      <c r="N97" s="324"/>
      <c r="O97" s="324"/>
      <c r="P97" s="324"/>
      <c r="Q97" s="324"/>
    </row>
    <row r="98" spans="1:17" x14ac:dyDescent="0.25">
      <c r="A98" s="404"/>
      <c r="B98" s="351" t="s">
        <v>7</v>
      </c>
      <c r="C98" s="405" t="s">
        <v>122</v>
      </c>
      <c r="D98" s="406">
        <v>3.98</v>
      </c>
      <c r="E98" s="350">
        <v>10</v>
      </c>
      <c r="F98" s="326">
        <v>10.029999999999999</v>
      </c>
      <c r="G98" s="343">
        <f>F98/D98</f>
        <v>2.5201005025125625</v>
      </c>
      <c r="H98" s="355">
        <f>(ABS(E98-F98))/F98</f>
        <v>2.9910269192422096E-3</v>
      </c>
      <c r="I98" s="336">
        <v>24.7</v>
      </c>
      <c r="J98" s="324">
        <v>3.5</v>
      </c>
      <c r="K98" s="336">
        <v>5.8</v>
      </c>
      <c r="L98" s="324">
        <v>162.1</v>
      </c>
      <c r="M98" s="336"/>
      <c r="N98" s="324"/>
      <c r="O98" s="324"/>
      <c r="P98" s="324"/>
      <c r="Q98" s="324"/>
    </row>
    <row r="99" spans="1:17" x14ac:dyDescent="0.25">
      <c r="A99" s="401" t="s">
        <v>149</v>
      </c>
      <c r="B99" s="407"/>
      <c r="C99" s="407"/>
      <c r="D99" s="406"/>
      <c r="E99" s="350"/>
      <c r="F99" s="326"/>
      <c r="G99" s="343"/>
      <c r="H99" s="355" t="e">
        <f t="shared" ref="H99:H102" si="9">(ABS(E99-F99))/F99</f>
        <v>#DIV/0!</v>
      </c>
      <c r="I99" s="336"/>
      <c r="J99" s="324"/>
      <c r="K99" s="336"/>
      <c r="L99" s="324"/>
      <c r="M99" s="336"/>
      <c r="N99" s="324"/>
      <c r="O99" s="324"/>
      <c r="P99" s="324"/>
      <c r="Q99" s="324"/>
    </row>
    <row r="100" spans="1:17" x14ac:dyDescent="0.25">
      <c r="A100" s="404"/>
      <c r="B100" s="351" t="s">
        <v>7</v>
      </c>
      <c r="C100" s="405" t="s">
        <v>99</v>
      </c>
      <c r="D100" s="406">
        <v>2</v>
      </c>
      <c r="E100" s="350">
        <v>10</v>
      </c>
      <c r="F100" s="326">
        <v>11.69</v>
      </c>
      <c r="G100" s="343">
        <f>F100/D100</f>
        <v>5.8449999999999998</v>
      </c>
      <c r="H100" s="355">
        <f t="shared" si="9"/>
        <v>0.14456800684345592</v>
      </c>
      <c r="I100" s="336">
        <v>23</v>
      </c>
      <c r="J100" s="324">
        <v>3.2</v>
      </c>
      <c r="K100" s="336">
        <v>9.3000000000000007</v>
      </c>
      <c r="L100" s="324" t="s">
        <v>148</v>
      </c>
      <c r="M100" s="336"/>
      <c r="N100" s="324"/>
      <c r="O100" s="324"/>
      <c r="P100" s="324"/>
      <c r="Q100" s="324"/>
    </row>
    <row r="101" spans="1:17" s="256" customFormat="1" x14ac:dyDescent="0.25">
      <c r="A101" s="401" t="s">
        <v>159</v>
      </c>
      <c r="B101" s="407"/>
      <c r="C101" s="407"/>
      <c r="D101" s="408"/>
      <c r="E101" s="409"/>
      <c r="F101" s="410"/>
      <c r="G101" s="343"/>
      <c r="H101" s="355" t="e">
        <f t="shared" si="9"/>
        <v>#DIV/0!</v>
      </c>
      <c r="I101" s="411"/>
      <c r="J101" s="363"/>
      <c r="K101" s="411"/>
      <c r="L101" s="363"/>
      <c r="M101" s="411"/>
      <c r="N101" s="363"/>
      <c r="O101" s="363"/>
      <c r="P101" s="363"/>
      <c r="Q101" s="363"/>
    </row>
    <row r="102" spans="1:17" s="255" customFormat="1" x14ac:dyDescent="0.25">
      <c r="A102" s="395"/>
      <c r="B102" s="412" t="s">
        <v>160</v>
      </c>
      <c r="C102" s="412" t="s">
        <v>122</v>
      </c>
      <c r="D102" s="413">
        <v>1.68</v>
      </c>
      <c r="E102" s="414">
        <v>10</v>
      </c>
      <c r="F102" s="415">
        <v>8.4</v>
      </c>
      <c r="G102" s="343">
        <f>F102/D102</f>
        <v>5</v>
      </c>
      <c r="H102" s="416">
        <f t="shared" si="9"/>
        <v>0.19047619047619044</v>
      </c>
      <c r="I102" s="417">
        <v>26.3</v>
      </c>
      <c r="J102" s="418">
        <v>3.74</v>
      </c>
      <c r="K102" s="417">
        <v>5.8</v>
      </c>
      <c r="L102" s="418">
        <v>127.68</v>
      </c>
      <c r="M102" s="417"/>
      <c r="N102" s="418"/>
      <c r="O102" s="418"/>
      <c r="P102" s="418"/>
      <c r="Q102" s="418"/>
    </row>
    <row r="103" spans="1:17" x14ac:dyDescent="0.25">
      <c r="A103" s="404" t="s">
        <v>27</v>
      </c>
      <c r="B103" s="398"/>
      <c r="C103" s="340"/>
      <c r="D103" s="399"/>
      <c r="E103" s="324"/>
      <c r="F103" s="326"/>
      <c r="G103" s="343"/>
      <c r="H103" s="375"/>
      <c r="I103" s="336"/>
      <c r="J103" s="324"/>
      <c r="K103" s="336"/>
      <c r="L103" s="324"/>
      <c r="M103" s="336"/>
      <c r="N103" s="324"/>
      <c r="O103" s="324"/>
      <c r="P103" s="324"/>
      <c r="Q103" s="324"/>
    </row>
    <row r="104" spans="1:17" x14ac:dyDescent="0.25">
      <c r="A104" s="323"/>
      <c r="B104" s="341" t="s">
        <v>3</v>
      </c>
      <c r="C104" s="341" t="s">
        <v>57</v>
      </c>
      <c r="D104" s="367">
        <v>7.0000000000000007E-2</v>
      </c>
      <c r="E104" s="350">
        <v>0.25</v>
      </c>
      <c r="F104" s="326">
        <v>0.8</v>
      </c>
      <c r="G104" s="343">
        <f>F104/D104</f>
        <v>11.428571428571429</v>
      </c>
      <c r="H104" s="344">
        <f t="shared" ref="H104:H109" si="10">(ABS(E104-F104))/F104</f>
        <v>0.6875</v>
      </c>
      <c r="I104" s="336"/>
      <c r="J104" s="324"/>
      <c r="K104" s="336"/>
      <c r="L104" s="324" t="s">
        <v>148</v>
      </c>
      <c r="M104" s="336"/>
      <c r="N104" s="324"/>
      <c r="O104" s="324"/>
      <c r="P104" s="324"/>
      <c r="Q104" s="324"/>
    </row>
    <row r="105" spans="1:17" x14ac:dyDescent="0.25">
      <c r="A105" s="340"/>
      <c r="B105" s="341"/>
      <c r="C105" s="341" t="s">
        <v>58</v>
      </c>
      <c r="D105" s="367">
        <v>2.36</v>
      </c>
      <c r="E105" s="386">
        <v>8.1</v>
      </c>
      <c r="F105" s="326">
        <v>10.02</v>
      </c>
      <c r="G105" s="343">
        <f>F105/D105</f>
        <v>4.2457627118644066</v>
      </c>
      <c r="H105" s="344">
        <f t="shared" si="10"/>
        <v>0.19161676646706588</v>
      </c>
      <c r="I105" s="336">
        <v>27.2</v>
      </c>
      <c r="J105" s="324">
        <v>3.62</v>
      </c>
      <c r="K105" s="336">
        <v>6.8</v>
      </c>
      <c r="L105" s="324">
        <v>131.77000000000001</v>
      </c>
      <c r="M105" s="336"/>
      <c r="N105" s="324"/>
      <c r="O105" s="324"/>
      <c r="P105" s="324"/>
      <c r="Q105" s="324"/>
    </row>
    <row r="106" spans="1:17" x14ac:dyDescent="0.25">
      <c r="A106" s="323"/>
      <c r="B106" s="341"/>
      <c r="C106" s="341" t="s">
        <v>59</v>
      </c>
      <c r="D106" s="367">
        <v>1.17</v>
      </c>
      <c r="E106" s="386">
        <v>5.2</v>
      </c>
      <c r="F106" s="326">
        <v>4.7699999999999996</v>
      </c>
      <c r="G106" s="343">
        <f>F106/D106</f>
        <v>4.0769230769230766</v>
      </c>
      <c r="H106" s="344">
        <f t="shared" si="10"/>
        <v>9.0146750524109143E-2</v>
      </c>
      <c r="I106" s="336">
        <v>28</v>
      </c>
      <c r="J106" s="324">
        <v>3.75</v>
      </c>
      <c r="K106" s="336">
        <v>6.4</v>
      </c>
      <c r="L106" s="324">
        <v>150.37</v>
      </c>
      <c r="M106" s="336"/>
      <c r="N106" s="324"/>
      <c r="O106" s="324"/>
      <c r="P106" s="324"/>
      <c r="Q106" s="324"/>
    </row>
    <row r="107" spans="1:17" x14ac:dyDescent="0.25">
      <c r="A107" s="323"/>
      <c r="B107" s="341"/>
      <c r="C107" s="341" t="s">
        <v>60</v>
      </c>
      <c r="D107" s="367">
        <v>0.95</v>
      </c>
      <c r="E107" s="346">
        <v>3.8</v>
      </c>
      <c r="F107" s="326">
        <v>3.88</v>
      </c>
      <c r="G107" s="343">
        <f>F107/D107</f>
        <v>4.0842105263157897</v>
      </c>
      <c r="H107" s="344">
        <f t="shared" si="10"/>
        <v>2.0618556701030948E-2</v>
      </c>
      <c r="I107" s="336">
        <v>26.5</v>
      </c>
      <c r="J107" s="324">
        <v>3.67</v>
      </c>
      <c r="K107" s="336">
        <v>6.9</v>
      </c>
      <c r="L107" s="324">
        <v>151</v>
      </c>
      <c r="M107" s="336"/>
      <c r="N107" s="324"/>
      <c r="O107" s="324"/>
      <c r="P107" s="324"/>
      <c r="Q107" s="324"/>
    </row>
    <row r="108" spans="1:17" x14ac:dyDescent="0.25">
      <c r="A108" s="323"/>
      <c r="B108" s="380" t="s">
        <v>7</v>
      </c>
      <c r="C108" s="380" t="s">
        <v>122</v>
      </c>
      <c r="D108" s="381">
        <v>3.02</v>
      </c>
      <c r="E108" s="350">
        <v>10</v>
      </c>
      <c r="F108" s="326">
        <v>9.19</v>
      </c>
      <c r="G108" s="343">
        <f>F108/D108</f>
        <v>3.0430463576158937</v>
      </c>
      <c r="H108" s="344">
        <f t="shared" si="10"/>
        <v>8.8139281828074054E-2</v>
      </c>
      <c r="I108" s="336">
        <v>24.2</v>
      </c>
      <c r="J108" s="324">
        <v>3.85</v>
      </c>
      <c r="K108" s="336">
        <v>5.2</v>
      </c>
      <c r="L108" s="324">
        <v>203.68</v>
      </c>
      <c r="M108" s="336"/>
      <c r="N108" s="324"/>
      <c r="O108" s="324"/>
      <c r="P108" s="324"/>
      <c r="Q108" s="324"/>
    </row>
    <row r="109" spans="1:17" x14ac:dyDescent="0.25">
      <c r="A109" s="323"/>
      <c r="B109" s="352"/>
      <c r="C109" s="353" t="s">
        <v>115</v>
      </c>
      <c r="D109" s="382">
        <f>SUM(D104:D107)</f>
        <v>4.55</v>
      </c>
      <c r="E109" s="324">
        <f>SUM(E104:E107)</f>
        <v>17.350000000000001</v>
      </c>
      <c r="F109" s="336">
        <f>SUM(F104:F107)</f>
        <v>19.47</v>
      </c>
      <c r="G109" s="343"/>
      <c r="H109" s="344">
        <f t="shared" si="10"/>
        <v>0.10888546481766809</v>
      </c>
      <c r="I109" s="336"/>
      <c r="J109" s="324"/>
      <c r="K109" s="336"/>
      <c r="L109" s="324"/>
      <c r="M109" s="336"/>
      <c r="N109" s="324"/>
      <c r="O109" s="324"/>
      <c r="P109" s="324"/>
      <c r="Q109" s="324"/>
    </row>
    <row r="110" spans="1:17" x14ac:dyDescent="0.25">
      <c r="A110" s="323"/>
      <c r="B110" s="352"/>
      <c r="C110" s="323" t="s">
        <v>120</v>
      </c>
      <c r="D110" s="362" t="s">
        <v>109</v>
      </c>
      <c r="E110" s="386">
        <v>0</v>
      </c>
      <c r="F110" s="336">
        <v>0</v>
      </c>
      <c r="G110" s="343"/>
      <c r="H110" s="344"/>
      <c r="I110" s="336"/>
      <c r="J110" s="324"/>
      <c r="K110" s="336"/>
      <c r="L110" s="324"/>
      <c r="M110" s="336"/>
      <c r="N110" s="324"/>
      <c r="O110" s="324"/>
      <c r="P110" s="324"/>
      <c r="Q110" s="324"/>
    </row>
    <row r="111" spans="1:17" ht="15.75" thickBot="1" x14ac:dyDescent="0.3">
      <c r="A111" s="323"/>
      <c r="B111" s="324"/>
      <c r="C111" s="371" t="s">
        <v>117</v>
      </c>
      <c r="D111" s="384">
        <v>12.06</v>
      </c>
      <c r="E111" s="324">
        <f>E108</f>
        <v>10</v>
      </c>
      <c r="F111" s="336">
        <f>F108</f>
        <v>9.19</v>
      </c>
      <c r="G111" s="343"/>
      <c r="H111" s="344">
        <f>(ABS(E111-F111))/F111</f>
        <v>8.8139281828074054E-2</v>
      </c>
      <c r="I111" s="336"/>
      <c r="J111" s="324"/>
      <c r="K111" s="336"/>
      <c r="L111" s="324"/>
      <c r="M111" s="336"/>
      <c r="N111" s="324"/>
      <c r="O111" s="324"/>
      <c r="P111" s="324"/>
      <c r="Q111" s="324"/>
    </row>
    <row r="112" spans="1:17" ht="15.75" thickTop="1" x14ac:dyDescent="0.25">
      <c r="A112" s="323"/>
      <c r="B112" s="324"/>
      <c r="C112" s="373" t="s">
        <v>118</v>
      </c>
      <c r="D112" s="385">
        <f>SUM(D109,D111)</f>
        <v>16.61</v>
      </c>
      <c r="E112" s="324">
        <f>SUM(E109:E111)</f>
        <v>27.35</v>
      </c>
      <c r="F112" s="336">
        <f>SUM(F109:F111)</f>
        <v>28.659999999999997</v>
      </c>
      <c r="G112" s="343"/>
      <c r="H112" s="344">
        <f>(ABS(E112-F112))/F112</f>
        <v>4.5708304256803743E-2</v>
      </c>
      <c r="I112" s="336"/>
      <c r="J112" s="324"/>
      <c r="K112" s="336"/>
      <c r="L112" s="324"/>
      <c r="M112" s="336"/>
      <c r="N112" s="324"/>
      <c r="O112" s="324"/>
      <c r="P112" s="324"/>
      <c r="Q112" s="324"/>
    </row>
    <row r="113" spans="1:17" x14ac:dyDescent="0.25">
      <c r="A113" s="337" t="s">
        <v>28</v>
      </c>
      <c r="B113" s="363"/>
      <c r="C113" s="337"/>
      <c r="D113" s="374"/>
      <c r="E113" s="324"/>
      <c r="F113" s="326"/>
      <c r="G113" s="343"/>
      <c r="H113" s="375"/>
      <c r="I113" s="336"/>
      <c r="J113" s="324"/>
      <c r="K113" s="336"/>
      <c r="L113" s="324"/>
      <c r="M113" s="336"/>
      <c r="N113" s="324"/>
      <c r="O113" s="324"/>
      <c r="P113" s="324"/>
      <c r="Q113" s="324"/>
    </row>
    <row r="114" spans="1:17" x14ac:dyDescent="0.25">
      <c r="A114" s="323"/>
      <c r="B114" s="341" t="s">
        <v>3</v>
      </c>
      <c r="C114" s="341" t="s">
        <v>53</v>
      </c>
      <c r="D114" s="367">
        <v>1.1000000000000001</v>
      </c>
      <c r="E114" s="324">
        <v>4.5999999999999996</v>
      </c>
      <c r="F114" s="326">
        <v>5.36</v>
      </c>
      <c r="G114" s="343">
        <f>F114/D114</f>
        <v>4.872727272727273</v>
      </c>
      <c r="H114" s="344">
        <f t="shared" ref="H114:H119" si="11">(ABS(E114-F114))/F114</f>
        <v>0.14179104477611951</v>
      </c>
      <c r="I114" s="336">
        <v>27.2</v>
      </c>
      <c r="J114" s="324">
        <v>3.68</v>
      </c>
      <c r="K114" s="336">
        <v>7.7</v>
      </c>
      <c r="L114" s="324">
        <v>224</v>
      </c>
      <c r="M114" s="336"/>
      <c r="N114" s="324"/>
      <c r="O114" s="324"/>
      <c r="P114" s="324"/>
      <c r="Q114" s="324"/>
    </row>
    <row r="115" spans="1:17" x14ac:dyDescent="0.25">
      <c r="A115" s="323"/>
      <c r="B115" s="341" t="s">
        <v>3</v>
      </c>
      <c r="C115" s="341" t="s">
        <v>61</v>
      </c>
      <c r="D115" s="367">
        <v>0.83</v>
      </c>
      <c r="E115" s="419">
        <v>3</v>
      </c>
      <c r="F115" s="326">
        <v>6.04</v>
      </c>
      <c r="G115" s="343">
        <f>F115/D115</f>
        <v>7.2771084337349405</v>
      </c>
      <c r="H115" s="344">
        <f t="shared" si="11"/>
        <v>0.50331125827814571</v>
      </c>
      <c r="I115" s="336">
        <v>27.2</v>
      </c>
      <c r="J115" s="324">
        <v>3.68</v>
      </c>
      <c r="K115" s="336">
        <v>7.7</v>
      </c>
      <c r="L115" s="324">
        <v>224</v>
      </c>
      <c r="M115" s="336"/>
      <c r="N115" s="324"/>
      <c r="O115" s="324"/>
      <c r="P115" s="324"/>
      <c r="Q115" s="324"/>
    </row>
    <row r="116" spans="1:17" x14ac:dyDescent="0.25">
      <c r="A116" s="323"/>
      <c r="B116" s="341" t="s">
        <v>86</v>
      </c>
      <c r="C116" s="341"/>
      <c r="D116" s="367">
        <v>0.05</v>
      </c>
      <c r="E116" s="350">
        <v>0.23</v>
      </c>
      <c r="F116" s="326">
        <v>0.24</v>
      </c>
      <c r="G116" s="343">
        <f>F116/D116</f>
        <v>4.8</v>
      </c>
      <c r="H116" s="344">
        <f t="shared" si="11"/>
        <v>4.1666666666666588E-2</v>
      </c>
      <c r="I116" s="336" t="s">
        <v>148</v>
      </c>
      <c r="J116" s="324" t="s">
        <v>148</v>
      </c>
      <c r="K116" s="336" t="s">
        <v>148</v>
      </c>
      <c r="L116" s="324" t="s">
        <v>148</v>
      </c>
      <c r="M116" s="336">
        <v>1342.2</v>
      </c>
      <c r="N116" s="324"/>
      <c r="O116" s="324"/>
      <c r="P116" s="324"/>
      <c r="Q116" s="324"/>
    </row>
    <row r="117" spans="1:17" x14ac:dyDescent="0.25">
      <c r="A117" s="323"/>
      <c r="B117" s="341" t="s">
        <v>6</v>
      </c>
      <c r="C117" s="341"/>
      <c r="D117" s="367">
        <v>13.45</v>
      </c>
      <c r="E117" s="420">
        <v>48.8</v>
      </c>
      <c r="F117" s="326">
        <v>51.54</v>
      </c>
      <c r="G117" s="343">
        <f>F117/D117</f>
        <v>3.8319702602230485</v>
      </c>
      <c r="H117" s="344">
        <f t="shared" si="11"/>
        <v>5.316259216142806E-2</v>
      </c>
      <c r="I117" s="336">
        <v>25.7</v>
      </c>
      <c r="J117" s="324">
        <v>3.63</v>
      </c>
      <c r="K117" s="336">
        <v>8.43</v>
      </c>
      <c r="L117" s="324">
        <v>180.77</v>
      </c>
      <c r="M117" s="336">
        <v>1482.1</v>
      </c>
      <c r="N117" s="324"/>
      <c r="O117" s="324"/>
      <c r="P117" s="324"/>
      <c r="Q117" s="324"/>
    </row>
    <row r="118" spans="1:17" x14ac:dyDescent="0.25">
      <c r="A118" s="323"/>
      <c r="B118" s="352"/>
      <c r="C118" s="353" t="s">
        <v>115</v>
      </c>
      <c r="D118" s="382">
        <f>SUM(D114:D115,D117)</f>
        <v>15.379999999999999</v>
      </c>
      <c r="E118" s="419">
        <f>SUM(E114:E115,E117)</f>
        <v>56.4</v>
      </c>
      <c r="F118" s="421">
        <f>SUM(F114:F115,F117)</f>
        <v>62.94</v>
      </c>
      <c r="G118" s="343"/>
      <c r="H118" s="344">
        <f t="shared" si="11"/>
        <v>0.10390848427073403</v>
      </c>
      <c r="I118" s="336"/>
      <c r="J118" s="324"/>
      <c r="K118" s="336"/>
      <c r="L118" s="324"/>
      <c r="M118" s="336"/>
      <c r="N118" s="324"/>
      <c r="O118" s="324"/>
      <c r="P118" s="324"/>
      <c r="Q118" s="324"/>
    </row>
    <row r="119" spans="1:17" x14ac:dyDescent="0.25">
      <c r="A119" s="323"/>
      <c r="B119" s="352"/>
      <c r="C119" s="323" t="s">
        <v>119</v>
      </c>
      <c r="D119" s="362">
        <v>0.05</v>
      </c>
      <c r="E119" s="324">
        <f>E116</f>
        <v>0.23</v>
      </c>
      <c r="F119" s="336">
        <f>F116</f>
        <v>0.24</v>
      </c>
      <c r="G119" s="343"/>
      <c r="H119" s="344">
        <f t="shared" si="11"/>
        <v>4.1666666666666588E-2</v>
      </c>
      <c r="I119" s="336"/>
      <c r="J119" s="324"/>
      <c r="K119" s="336"/>
      <c r="L119" s="324"/>
      <c r="M119" s="336"/>
      <c r="N119" s="324"/>
      <c r="O119" s="324"/>
      <c r="P119" s="324"/>
      <c r="Q119" s="324"/>
    </row>
    <row r="120" spans="1:17" ht="15.75" thickBot="1" x14ac:dyDescent="0.3">
      <c r="A120" s="323"/>
      <c r="B120" s="324"/>
      <c r="C120" s="371" t="s">
        <v>117</v>
      </c>
      <c r="D120" s="384" t="s">
        <v>109</v>
      </c>
      <c r="E120" s="324">
        <v>0</v>
      </c>
      <c r="F120" s="336">
        <v>0</v>
      </c>
      <c r="G120" s="343"/>
      <c r="H120" s="344"/>
      <c r="I120" s="336"/>
      <c r="J120" s="324"/>
      <c r="K120" s="336"/>
      <c r="L120" s="324"/>
      <c r="M120" s="336"/>
      <c r="N120" s="324"/>
      <c r="O120" s="324"/>
      <c r="P120" s="324"/>
      <c r="Q120" s="324"/>
    </row>
    <row r="121" spans="1:17" ht="15.75" thickTop="1" x14ac:dyDescent="0.25">
      <c r="A121" s="323"/>
      <c r="B121" s="324"/>
      <c r="C121" s="373" t="s">
        <v>118</v>
      </c>
      <c r="D121" s="385">
        <f>SUM(D118:D119)</f>
        <v>15.43</v>
      </c>
      <c r="E121" s="419">
        <f>SUM(E118:E120)</f>
        <v>56.629999999999995</v>
      </c>
      <c r="F121" s="360">
        <f>SUM(F118:F120)</f>
        <v>63.18</v>
      </c>
      <c r="G121" s="343"/>
      <c r="H121" s="344">
        <f>(ABS(E121-F121))/F121</f>
        <v>0.10367204811649262</v>
      </c>
      <c r="I121" s="336"/>
      <c r="J121" s="324"/>
      <c r="K121" s="336"/>
      <c r="L121" s="324"/>
      <c r="M121" s="336"/>
      <c r="N121" s="324"/>
      <c r="O121" s="324"/>
      <c r="P121" s="324"/>
      <c r="Q121" s="324"/>
    </row>
    <row r="122" spans="1:17" x14ac:dyDescent="0.25">
      <c r="A122" s="337" t="s">
        <v>62</v>
      </c>
      <c r="B122" s="363"/>
      <c r="C122" s="337"/>
      <c r="D122" s="374"/>
      <c r="E122" s="324"/>
      <c r="F122" s="326"/>
      <c r="G122" s="343"/>
      <c r="H122" s="375"/>
      <c r="I122" s="336"/>
      <c r="J122" s="324"/>
      <c r="K122" s="336"/>
      <c r="L122" s="324"/>
      <c r="M122" s="336"/>
      <c r="N122" s="324"/>
      <c r="O122" s="324"/>
      <c r="P122" s="324"/>
      <c r="Q122" s="324"/>
    </row>
    <row r="123" spans="1:17" x14ac:dyDescent="0.25">
      <c r="A123" s="323"/>
      <c r="B123" s="380" t="s">
        <v>7</v>
      </c>
      <c r="C123" s="380" t="s">
        <v>46</v>
      </c>
      <c r="D123" s="381">
        <v>11.2</v>
      </c>
      <c r="E123" s="366">
        <v>60</v>
      </c>
      <c r="F123" s="326">
        <v>58.81</v>
      </c>
      <c r="G123" s="343">
        <f>F123/D123</f>
        <v>5.2508928571428575</v>
      </c>
      <c r="H123" s="344">
        <f>(ABS(E123-F123))/F123</f>
        <v>2.0234653970413154E-2</v>
      </c>
      <c r="I123" s="336">
        <v>24.6</v>
      </c>
      <c r="J123" s="324">
        <v>3.4</v>
      </c>
      <c r="K123" s="336">
        <v>7.98</v>
      </c>
      <c r="L123" s="324">
        <v>245.09</v>
      </c>
      <c r="M123" s="336"/>
      <c r="N123" s="324"/>
      <c r="O123" s="324"/>
      <c r="P123" s="324"/>
      <c r="Q123" s="324"/>
    </row>
    <row r="124" spans="1:17" x14ac:dyDescent="0.25">
      <c r="A124" s="323"/>
      <c r="B124" s="380" t="s">
        <v>7</v>
      </c>
      <c r="C124" s="341" t="s">
        <v>99</v>
      </c>
      <c r="D124" s="381">
        <v>7</v>
      </c>
      <c r="E124" s="366">
        <v>30</v>
      </c>
      <c r="F124" s="326">
        <v>38.14</v>
      </c>
      <c r="G124" s="343">
        <f>F124/D124</f>
        <v>5.4485714285714284</v>
      </c>
      <c r="H124" s="344">
        <f>(ABS(E124-F124))/F124</f>
        <v>0.21342422653382276</v>
      </c>
      <c r="I124" s="336">
        <v>24</v>
      </c>
      <c r="J124" s="324">
        <v>3.42</v>
      </c>
      <c r="K124" s="336">
        <v>8.2799999999999994</v>
      </c>
      <c r="L124" s="324">
        <v>241.46</v>
      </c>
      <c r="M124" s="336">
        <v>1432.1</v>
      </c>
      <c r="N124" s="324" t="s">
        <v>171</v>
      </c>
      <c r="O124" s="324"/>
      <c r="P124" s="324"/>
      <c r="Q124" s="324"/>
    </row>
    <row r="125" spans="1:17" x14ac:dyDescent="0.25">
      <c r="A125" s="323"/>
      <c r="B125" s="352"/>
      <c r="C125" s="353" t="s">
        <v>115</v>
      </c>
      <c r="D125" s="422" t="s">
        <v>109</v>
      </c>
      <c r="E125" s="324">
        <v>0</v>
      </c>
      <c r="F125" s="336">
        <v>0</v>
      </c>
      <c r="G125" s="343"/>
      <c r="H125" s="344"/>
      <c r="I125" s="336"/>
      <c r="J125" s="324"/>
      <c r="K125" s="336"/>
      <c r="L125" s="324"/>
      <c r="M125" s="336"/>
      <c r="N125" s="324"/>
      <c r="O125" s="324"/>
      <c r="P125" s="324"/>
      <c r="Q125" s="324"/>
    </row>
    <row r="126" spans="1:17" x14ac:dyDescent="0.25">
      <c r="A126" s="323"/>
      <c r="B126" s="352"/>
      <c r="C126" s="323" t="s">
        <v>120</v>
      </c>
      <c r="D126" s="423" t="s">
        <v>109</v>
      </c>
      <c r="E126" s="324">
        <v>0</v>
      </c>
      <c r="F126" s="336">
        <v>0</v>
      </c>
      <c r="G126" s="343"/>
      <c r="H126" s="344"/>
      <c r="I126" s="336"/>
      <c r="J126" s="324"/>
      <c r="K126" s="336"/>
      <c r="L126" s="324"/>
      <c r="M126" s="336"/>
      <c r="N126" s="324"/>
      <c r="O126" s="324"/>
      <c r="P126" s="324"/>
      <c r="Q126" s="324"/>
    </row>
    <row r="127" spans="1:17" ht="15.75" thickBot="1" x14ac:dyDescent="0.3">
      <c r="A127" s="323"/>
      <c r="B127" s="324"/>
      <c r="C127" s="371" t="s">
        <v>117</v>
      </c>
      <c r="D127" s="424">
        <f>SUM(D123:D124)</f>
        <v>18.2</v>
      </c>
      <c r="E127" s="324">
        <f>SUM(E123:E124)</f>
        <v>90</v>
      </c>
      <c r="F127" s="336">
        <f>SUM(F123:F124)</f>
        <v>96.95</v>
      </c>
      <c r="G127" s="343"/>
      <c r="H127" s="344">
        <f>(ABS(E127-F127))/F127</f>
        <v>7.1686436307374965E-2</v>
      </c>
      <c r="I127" s="336"/>
      <c r="J127" s="324"/>
      <c r="K127" s="336"/>
      <c r="L127" s="324"/>
      <c r="M127" s="336"/>
      <c r="N127" s="324"/>
      <c r="O127" s="324"/>
      <c r="P127" s="324"/>
      <c r="Q127" s="324"/>
    </row>
    <row r="128" spans="1:17" ht="15.75" thickTop="1" x14ac:dyDescent="0.25">
      <c r="A128" s="323"/>
      <c r="B128" s="324"/>
      <c r="C128" s="373" t="s">
        <v>118</v>
      </c>
      <c r="D128" s="370">
        <v>18.2</v>
      </c>
      <c r="E128" s="324">
        <f>SUM(E125:E127)</f>
        <v>90</v>
      </c>
      <c r="F128" s="336">
        <f>SUM(F125:F127)</f>
        <v>96.95</v>
      </c>
      <c r="G128" s="343"/>
      <c r="H128" s="344">
        <f>(ABS(E128-F128))/F128</f>
        <v>7.1686436307374965E-2</v>
      </c>
      <c r="I128" s="336"/>
      <c r="J128" s="324"/>
      <c r="K128" s="336"/>
      <c r="L128" s="324"/>
      <c r="M128" s="336"/>
      <c r="N128" s="324"/>
      <c r="O128" s="324"/>
      <c r="P128" s="324"/>
      <c r="Q128" s="324"/>
    </row>
    <row r="129" spans="1:17" x14ac:dyDescent="0.25">
      <c r="A129" s="401" t="s">
        <v>30</v>
      </c>
      <c r="B129" s="363"/>
      <c r="C129" s="337"/>
      <c r="D129" s="374"/>
      <c r="E129" s="324"/>
      <c r="F129" s="326"/>
      <c r="G129" s="343"/>
      <c r="H129" s="375"/>
      <c r="I129" s="336"/>
      <c r="J129" s="324"/>
      <c r="K129" s="336"/>
      <c r="L129" s="324"/>
      <c r="M129" s="336"/>
      <c r="N129" s="324"/>
      <c r="O129" s="324"/>
      <c r="P129" s="324"/>
      <c r="Q129" s="324"/>
    </row>
    <row r="130" spans="1:17" x14ac:dyDescent="0.25">
      <c r="A130" s="323"/>
      <c r="B130" s="341" t="s">
        <v>3</v>
      </c>
      <c r="C130" s="341" t="s">
        <v>57</v>
      </c>
      <c r="D130" s="367">
        <v>0.66</v>
      </c>
      <c r="E130" s="386">
        <v>3.3</v>
      </c>
      <c r="F130" s="326">
        <v>2.57</v>
      </c>
      <c r="G130" s="343">
        <f t="shared" ref="G130:G136" si="12">F130/D130</f>
        <v>3.8939393939393936</v>
      </c>
      <c r="H130" s="344">
        <f t="shared" ref="H130:H137" si="13">(ABS(E130-F130))/F130</f>
        <v>0.28404669260700388</v>
      </c>
      <c r="I130" s="336"/>
      <c r="J130" s="324"/>
      <c r="K130" s="336"/>
      <c r="L130" s="324" t="s">
        <v>148</v>
      </c>
      <c r="M130" s="336"/>
      <c r="N130" s="324"/>
      <c r="O130" s="324"/>
      <c r="P130" s="324"/>
      <c r="Q130" s="324"/>
    </row>
    <row r="131" spans="1:17" x14ac:dyDescent="0.25">
      <c r="A131" s="340"/>
      <c r="B131" s="341" t="s">
        <v>3</v>
      </c>
      <c r="C131" s="341" t="s">
        <v>51</v>
      </c>
      <c r="D131" s="367">
        <v>2.79</v>
      </c>
      <c r="E131" s="366">
        <v>7.5</v>
      </c>
      <c r="F131" s="326">
        <v>9.8000000000000007</v>
      </c>
      <c r="G131" s="343">
        <f t="shared" si="12"/>
        <v>3.5125448028673838</v>
      </c>
      <c r="H131" s="344">
        <f t="shared" si="13"/>
        <v>0.23469387755102047</v>
      </c>
      <c r="I131" s="336">
        <v>28.3</v>
      </c>
      <c r="J131" s="324">
        <v>3.82</v>
      </c>
      <c r="K131" s="336">
        <v>5</v>
      </c>
      <c r="L131" s="324">
        <v>106.56</v>
      </c>
      <c r="M131" s="336"/>
      <c r="N131" s="324"/>
      <c r="O131" s="324"/>
      <c r="P131" s="324"/>
      <c r="Q131" s="324"/>
    </row>
    <row r="132" spans="1:17" x14ac:dyDescent="0.25">
      <c r="A132" s="323"/>
      <c r="B132" s="341" t="s">
        <v>3</v>
      </c>
      <c r="C132" s="341" t="s">
        <v>63</v>
      </c>
      <c r="D132" s="367">
        <v>2.7</v>
      </c>
      <c r="E132" s="346">
        <v>7.5</v>
      </c>
      <c r="F132" s="326">
        <v>7.68</v>
      </c>
      <c r="G132" s="343">
        <f t="shared" si="12"/>
        <v>2.8444444444444441</v>
      </c>
      <c r="H132" s="344">
        <f t="shared" si="13"/>
        <v>2.3437499999999965E-2</v>
      </c>
      <c r="I132" s="336">
        <v>28.5</v>
      </c>
      <c r="J132" s="324">
        <v>3.85</v>
      </c>
      <c r="K132" s="336">
        <v>6.8</v>
      </c>
      <c r="L132" s="324">
        <v>183.13</v>
      </c>
      <c r="M132" s="336"/>
      <c r="N132" s="324"/>
      <c r="O132" s="324"/>
      <c r="P132" s="324"/>
      <c r="Q132" s="324"/>
    </row>
    <row r="133" spans="1:17" x14ac:dyDescent="0.25">
      <c r="A133" s="323"/>
      <c r="B133" s="341" t="s">
        <v>3</v>
      </c>
      <c r="C133" s="341" t="s">
        <v>64</v>
      </c>
      <c r="D133" s="367">
        <v>0.85</v>
      </c>
      <c r="E133" s="346">
        <v>2</v>
      </c>
      <c r="F133" s="326">
        <v>1.3</v>
      </c>
      <c r="G133" s="343">
        <f t="shared" si="12"/>
        <v>1.5294117647058825</v>
      </c>
      <c r="H133" s="344">
        <f t="shared" si="13"/>
        <v>0.53846153846153844</v>
      </c>
      <c r="I133" s="336">
        <v>28.5</v>
      </c>
      <c r="J133" s="324">
        <v>3.85</v>
      </c>
      <c r="K133" s="336">
        <v>6.8</v>
      </c>
      <c r="L133" s="324">
        <v>183.13</v>
      </c>
      <c r="M133" s="336"/>
      <c r="N133" s="324"/>
      <c r="O133" s="324"/>
      <c r="P133" s="324"/>
      <c r="Q133" s="324"/>
    </row>
    <row r="134" spans="1:17" x14ac:dyDescent="0.25">
      <c r="A134" s="323"/>
      <c r="B134" s="341" t="s">
        <v>3</v>
      </c>
      <c r="C134" s="341" t="s">
        <v>45</v>
      </c>
      <c r="D134" s="367">
        <v>0.78</v>
      </c>
      <c r="E134" s="386">
        <v>2.2000000000000002</v>
      </c>
      <c r="F134" s="326">
        <v>1.1000000000000001</v>
      </c>
      <c r="G134" s="343">
        <f t="shared" si="12"/>
        <v>1.4102564102564104</v>
      </c>
      <c r="H134" s="344">
        <f t="shared" si="13"/>
        <v>1</v>
      </c>
      <c r="I134" s="336">
        <v>28.5</v>
      </c>
      <c r="J134" s="324">
        <v>3.85</v>
      </c>
      <c r="K134" s="336">
        <v>6.8</v>
      </c>
      <c r="L134" s="324">
        <v>183.13</v>
      </c>
      <c r="M134" s="336"/>
      <c r="N134" s="324"/>
      <c r="O134" s="324"/>
      <c r="P134" s="324"/>
      <c r="Q134" s="324"/>
    </row>
    <row r="135" spans="1:17" x14ac:dyDescent="0.25">
      <c r="A135" s="340"/>
      <c r="B135" s="341" t="s">
        <v>3</v>
      </c>
      <c r="C135" s="341" t="s">
        <v>65</v>
      </c>
      <c r="D135" s="367">
        <v>4.92</v>
      </c>
      <c r="E135" s="346">
        <v>21.9</v>
      </c>
      <c r="F135" s="326">
        <v>15.29</v>
      </c>
      <c r="G135" s="343">
        <f t="shared" si="12"/>
        <v>3.1077235772357721</v>
      </c>
      <c r="H135" s="344">
        <f t="shared" si="13"/>
        <v>0.43230869849574882</v>
      </c>
      <c r="I135" s="336">
        <v>29.97</v>
      </c>
      <c r="J135" s="324">
        <v>3.8</v>
      </c>
      <c r="K135" s="336">
        <v>4.8</v>
      </c>
      <c r="L135" s="324">
        <v>90.24</v>
      </c>
      <c r="M135" s="336"/>
      <c r="N135" s="324"/>
      <c r="O135" s="324"/>
      <c r="P135" s="324"/>
      <c r="Q135" s="324"/>
    </row>
    <row r="136" spans="1:17" x14ac:dyDescent="0.25">
      <c r="A136" s="340"/>
      <c r="B136" s="380" t="s">
        <v>7</v>
      </c>
      <c r="C136" s="380" t="s">
        <v>87</v>
      </c>
      <c r="D136" s="381">
        <v>6.41</v>
      </c>
      <c r="E136" s="350">
        <v>23.13</v>
      </c>
      <c r="F136" s="326">
        <v>25.8</v>
      </c>
      <c r="G136" s="343">
        <f t="shared" si="12"/>
        <v>4.0249609984399379</v>
      </c>
      <c r="H136" s="355">
        <f t="shared" si="13"/>
        <v>0.10348837209302332</v>
      </c>
      <c r="I136" s="336">
        <v>27.35</v>
      </c>
      <c r="J136" s="324">
        <v>3.8</v>
      </c>
      <c r="K136" s="336">
        <v>6.5</v>
      </c>
      <c r="L136" s="324">
        <v>46.09</v>
      </c>
      <c r="M136" s="336"/>
      <c r="N136" s="324"/>
      <c r="O136" s="324"/>
      <c r="P136" s="324"/>
      <c r="Q136" s="324"/>
    </row>
    <row r="137" spans="1:17" x14ac:dyDescent="0.25">
      <c r="A137" s="323"/>
      <c r="B137" s="352"/>
      <c r="C137" s="353" t="s">
        <v>115</v>
      </c>
      <c r="D137" s="382">
        <f>SUM(D130:D135)</f>
        <v>12.7</v>
      </c>
      <c r="E137" s="324">
        <f>SUM(E130:E135)</f>
        <v>44.4</v>
      </c>
      <c r="F137" s="336">
        <f>SUM(F130:F135)</f>
        <v>37.74</v>
      </c>
      <c r="G137" s="343"/>
      <c r="H137" s="344">
        <f t="shared" si="13"/>
        <v>0.17647058823529402</v>
      </c>
      <c r="I137" s="336"/>
      <c r="J137" s="324"/>
      <c r="K137" s="336"/>
      <c r="L137" s="324"/>
      <c r="M137" s="336"/>
      <c r="N137" s="324"/>
      <c r="O137" s="324"/>
      <c r="P137" s="324"/>
      <c r="Q137" s="324"/>
    </row>
    <row r="138" spans="1:17" x14ac:dyDescent="0.25">
      <c r="A138" s="323"/>
      <c r="B138" s="352"/>
      <c r="C138" s="323" t="s">
        <v>121</v>
      </c>
      <c r="D138" s="362" t="s">
        <v>109</v>
      </c>
      <c r="E138" s="324">
        <v>0</v>
      </c>
      <c r="F138" s="336">
        <v>0</v>
      </c>
      <c r="G138" s="343"/>
      <c r="H138" s="344"/>
      <c r="I138" s="336"/>
      <c r="J138" s="324"/>
      <c r="K138" s="336"/>
      <c r="L138" s="324"/>
      <c r="M138" s="336"/>
      <c r="N138" s="324"/>
      <c r="O138" s="324"/>
      <c r="P138" s="324"/>
      <c r="Q138" s="324"/>
    </row>
    <row r="139" spans="1:17" ht="15.75" thickBot="1" x14ac:dyDescent="0.3">
      <c r="A139" s="323"/>
      <c r="B139" s="324"/>
      <c r="C139" s="371" t="s">
        <v>117</v>
      </c>
      <c r="D139" s="384">
        <v>6.41</v>
      </c>
      <c r="E139" s="324">
        <f>SUM(E136)</f>
        <v>23.13</v>
      </c>
      <c r="F139" s="336">
        <f>SUM(F136)</f>
        <v>25.8</v>
      </c>
      <c r="G139" s="343"/>
      <c r="H139" s="344">
        <f>(ABS(E139-F139))/F139</f>
        <v>0.10348837209302332</v>
      </c>
      <c r="I139" s="336"/>
      <c r="J139" s="324"/>
      <c r="K139" s="336"/>
      <c r="L139" s="324"/>
      <c r="M139" s="336"/>
      <c r="N139" s="324"/>
      <c r="O139" s="324"/>
      <c r="P139" s="324"/>
      <c r="Q139" s="324"/>
    </row>
    <row r="140" spans="1:17" ht="15.75" thickTop="1" x14ac:dyDescent="0.25">
      <c r="A140" s="323"/>
      <c r="B140" s="324"/>
      <c r="C140" s="373" t="s">
        <v>118</v>
      </c>
      <c r="D140" s="385">
        <f>SUM(D137,D139)</f>
        <v>19.11</v>
      </c>
      <c r="E140" s="324">
        <f>SUM(E137:E139)</f>
        <v>67.53</v>
      </c>
      <c r="F140" s="336">
        <f>SUM(F137:F139)</f>
        <v>63.540000000000006</v>
      </c>
      <c r="G140" s="343"/>
      <c r="H140" s="344">
        <f>(ABS(E140-F140))/F140</f>
        <v>6.2795089707270921E-2</v>
      </c>
      <c r="I140" s="336"/>
      <c r="J140" s="324"/>
      <c r="K140" s="336"/>
      <c r="L140" s="324"/>
      <c r="M140" s="336"/>
      <c r="N140" s="324"/>
      <c r="O140" s="324"/>
      <c r="P140" s="324"/>
      <c r="Q140" s="324"/>
    </row>
    <row r="141" spans="1:17" x14ac:dyDescent="0.25">
      <c r="A141" s="337" t="s">
        <v>33</v>
      </c>
      <c r="B141" s="363"/>
      <c r="C141" s="363"/>
      <c r="D141" s="390"/>
      <c r="E141" s="324"/>
      <c r="F141" s="326"/>
      <c r="G141" s="343"/>
      <c r="H141" s="375"/>
      <c r="I141" s="336"/>
      <c r="J141" s="324"/>
      <c r="K141" s="336"/>
      <c r="L141" s="324"/>
      <c r="M141" s="336"/>
      <c r="N141" s="324"/>
      <c r="O141" s="324"/>
      <c r="P141" s="324"/>
      <c r="Q141" s="324"/>
    </row>
    <row r="142" spans="1:17" x14ac:dyDescent="0.25">
      <c r="A142" s="323"/>
      <c r="B142" s="341" t="s">
        <v>3</v>
      </c>
      <c r="C142" s="341" t="s">
        <v>52</v>
      </c>
      <c r="D142" s="367">
        <v>1.79</v>
      </c>
      <c r="E142" s="324">
        <v>6.2</v>
      </c>
      <c r="F142" s="326">
        <v>7.67</v>
      </c>
      <c r="G142" s="343">
        <f t="shared" ref="G142:G165" si="14">F142/D142</f>
        <v>4.2849162011173183</v>
      </c>
      <c r="H142" s="344">
        <f t="shared" ref="H142:H169" si="15">(ABS(E142-F142))/F142</f>
        <v>0.19165580182529332</v>
      </c>
      <c r="I142" s="336">
        <v>24.1</v>
      </c>
      <c r="J142" s="324">
        <v>3.66</v>
      </c>
      <c r="K142" s="336">
        <v>5</v>
      </c>
      <c r="L142" s="324">
        <v>191.69</v>
      </c>
      <c r="M142" s="336"/>
      <c r="N142" s="324"/>
      <c r="O142" s="324"/>
      <c r="P142" s="324"/>
      <c r="Q142" s="324"/>
    </row>
    <row r="143" spans="1:17" x14ac:dyDescent="0.25">
      <c r="A143" s="323"/>
      <c r="B143" s="341" t="s">
        <v>3</v>
      </c>
      <c r="C143" s="341" t="s">
        <v>32</v>
      </c>
      <c r="D143" s="367">
        <v>2.4700000000000002</v>
      </c>
      <c r="E143" s="386">
        <v>9.5</v>
      </c>
      <c r="F143" s="326">
        <v>9.4600000000000009</v>
      </c>
      <c r="G143" s="343">
        <f t="shared" si="14"/>
        <v>3.8299595141700404</v>
      </c>
      <c r="H143" s="344">
        <f t="shared" si="15"/>
        <v>4.2283298097250677E-3</v>
      </c>
      <c r="I143" s="336">
        <v>23.1</v>
      </c>
      <c r="J143" s="324">
        <v>3.67</v>
      </c>
      <c r="K143" s="336">
        <v>5.3</v>
      </c>
      <c r="L143" s="324">
        <v>191.69</v>
      </c>
      <c r="M143" s="336"/>
      <c r="N143" s="324"/>
      <c r="O143" s="324"/>
      <c r="P143" s="324"/>
      <c r="Q143" s="324"/>
    </row>
    <row r="144" spans="1:17" x14ac:dyDescent="0.25">
      <c r="A144" s="323"/>
      <c r="B144" s="341" t="s">
        <v>3</v>
      </c>
      <c r="C144" s="341" t="s">
        <v>54</v>
      </c>
      <c r="D144" s="367">
        <v>0.92</v>
      </c>
      <c r="E144" s="324">
        <v>2.9</v>
      </c>
      <c r="F144" s="326">
        <v>4.51</v>
      </c>
      <c r="G144" s="343">
        <f t="shared" si="14"/>
        <v>4.9021739130434776</v>
      </c>
      <c r="H144" s="344">
        <f t="shared" si="15"/>
        <v>0.35698447893569846</v>
      </c>
      <c r="I144" s="336">
        <v>25</v>
      </c>
      <c r="J144" s="324">
        <v>3.58</v>
      </c>
      <c r="K144" s="336">
        <v>6.35</v>
      </c>
      <c r="L144" s="324">
        <v>129.72999999999999</v>
      </c>
      <c r="M144" s="336"/>
      <c r="N144" s="324"/>
      <c r="O144" s="324"/>
      <c r="P144" s="324"/>
      <c r="Q144" s="324"/>
    </row>
    <row r="145" spans="1:17" x14ac:dyDescent="0.25">
      <c r="A145" s="323"/>
      <c r="B145" s="341" t="s">
        <v>3</v>
      </c>
      <c r="C145" s="341" t="s">
        <v>66</v>
      </c>
      <c r="D145" s="367">
        <v>0.55000000000000004</v>
      </c>
      <c r="E145" s="324">
        <v>1.3</v>
      </c>
      <c r="F145" s="326">
        <v>1.1299999999999999</v>
      </c>
      <c r="G145" s="343">
        <f t="shared" si="14"/>
        <v>2.0545454545454542</v>
      </c>
      <c r="H145" s="344">
        <f t="shared" si="15"/>
        <v>0.15044247787610635</v>
      </c>
      <c r="I145" s="336">
        <v>25</v>
      </c>
      <c r="J145" s="324">
        <v>3.58</v>
      </c>
      <c r="K145" s="336">
        <v>6.35</v>
      </c>
      <c r="L145" s="324">
        <v>129.72999999999999</v>
      </c>
      <c r="M145" s="336"/>
      <c r="N145" s="324"/>
      <c r="O145" s="324"/>
      <c r="P145" s="324"/>
      <c r="Q145" s="324"/>
    </row>
    <row r="146" spans="1:17" x14ac:dyDescent="0.25">
      <c r="A146" s="340"/>
      <c r="B146" s="341" t="s">
        <v>3</v>
      </c>
      <c r="C146" s="341" t="s">
        <v>67</v>
      </c>
      <c r="D146" s="367">
        <v>0.96</v>
      </c>
      <c r="E146" s="324">
        <v>3</v>
      </c>
      <c r="F146" s="326">
        <v>2.46</v>
      </c>
      <c r="G146" s="343">
        <f t="shared" si="14"/>
        <v>2.5625</v>
      </c>
      <c r="H146" s="344">
        <f t="shared" si="15"/>
        <v>0.21951219512195125</v>
      </c>
      <c r="I146" s="336">
        <v>25</v>
      </c>
      <c r="J146" s="324">
        <v>3.58</v>
      </c>
      <c r="K146" s="336">
        <v>6.35</v>
      </c>
      <c r="L146" s="324">
        <v>129.72999999999999</v>
      </c>
      <c r="M146" s="336"/>
      <c r="N146" s="324"/>
      <c r="O146" s="324"/>
      <c r="P146" s="324"/>
      <c r="Q146" s="324"/>
    </row>
    <row r="147" spans="1:17" x14ac:dyDescent="0.25">
      <c r="A147" s="323"/>
      <c r="B147" s="341" t="s">
        <v>3</v>
      </c>
      <c r="C147" s="341" t="s">
        <v>68</v>
      </c>
      <c r="D147" s="367">
        <v>0.56999999999999995</v>
      </c>
      <c r="E147" s="386">
        <v>1.8</v>
      </c>
      <c r="F147" s="326">
        <v>1.32</v>
      </c>
      <c r="G147" s="343">
        <f t="shared" si="14"/>
        <v>2.3157894736842106</v>
      </c>
      <c r="H147" s="344">
        <f t="shared" si="15"/>
        <v>0.36363636363636359</v>
      </c>
      <c r="I147" s="336">
        <v>25</v>
      </c>
      <c r="J147" s="324">
        <v>3.58</v>
      </c>
      <c r="K147" s="336">
        <v>6.35</v>
      </c>
      <c r="L147" s="324">
        <v>129.72999999999999</v>
      </c>
      <c r="M147" s="336"/>
      <c r="N147" s="324"/>
      <c r="O147" s="324"/>
      <c r="P147" s="324"/>
      <c r="Q147" s="324"/>
    </row>
    <row r="148" spans="1:17" x14ac:dyDescent="0.25">
      <c r="A148" s="323"/>
      <c r="B148" s="341" t="s">
        <v>3</v>
      </c>
      <c r="C148" s="341" t="s">
        <v>69</v>
      </c>
      <c r="D148" s="367">
        <v>0.9</v>
      </c>
      <c r="E148" s="324">
        <v>4.3</v>
      </c>
      <c r="F148" s="326">
        <v>3.84</v>
      </c>
      <c r="G148" s="343">
        <f t="shared" si="14"/>
        <v>4.2666666666666666</v>
      </c>
      <c r="H148" s="344">
        <f t="shared" si="15"/>
        <v>0.11979166666666666</v>
      </c>
      <c r="I148" s="336">
        <v>27</v>
      </c>
      <c r="J148" s="324">
        <v>3.59</v>
      </c>
      <c r="K148" s="336">
        <v>7.2</v>
      </c>
      <c r="L148" s="324">
        <v>121.87</v>
      </c>
      <c r="M148" s="336"/>
      <c r="N148" s="324"/>
      <c r="O148" s="324"/>
      <c r="P148" s="324"/>
      <c r="Q148" s="324"/>
    </row>
    <row r="149" spans="1:17" x14ac:dyDescent="0.25">
      <c r="A149" s="323"/>
      <c r="B149" s="341" t="s">
        <v>3</v>
      </c>
      <c r="C149" s="341" t="s">
        <v>70</v>
      </c>
      <c r="D149" s="367">
        <v>2.68</v>
      </c>
      <c r="E149" s="324">
        <v>9.5</v>
      </c>
      <c r="F149" s="326">
        <v>11.47</v>
      </c>
      <c r="G149" s="343">
        <f t="shared" si="14"/>
        <v>4.2798507462686564</v>
      </c>
      <c r="H149" s="344">
        <f t="shared" si="15"/>
        <v>0.17175239755884922</v>
      </c>
      <c r="I149" s="336">
        <v>24.1</v>
      </c>
      <c r="J149" s="324">
        <v>3.59</v>
      </c>
      <c r="K149" s="336">
        <v>5.5</v>
      </c>
      <c r="L149" s="324">
        <v>96.06</v>
      </c>
      <c r="M149" s="336"/>
      <c r="N149" s="324"/>
      <c r="O149" s="324"/>
      <c r="P149" s="324"/>
      <c r="Q149" s="324"/>
    </row>
    <row r="150" spans="1:17" x14ac:dyDescent="0.25">
      <c r="A150" s="340"/>
      <c r="B150" s="341" t="s">
        <v>3</v>
      </c>
      <c r="C150" s="341" t="s">
        <v>71</v>
      </c>
      <c r="D150" s="367">
        <v>0.53</v>
      </c>
      <c r="E150" s="324">
        <v>2</v>
      </c>
      <c r="F150" s="326">
        <v>3.75</v>
      </c>
      <c r="G150" s="343">
        <f t="shared" si="14"/>
        <v>7.0754716981132075</v>
      </c>
      <c r="H150" s="344">
        <f t="shared" si="15"/>
        <v>0.46666666666666667</v>
      </c>
      <c r="I150" s="336">
        <v>24.8</v>
      </c>
      <c r="J150" s="324">
        <v>3.54</v>
      </c>
      <c r="K150" s="336">
        <v>5.8</v>
      </c>
      <c r="L150" s="324">
        <v>156.5</v>
      </c>
      <c r="M150" s="336"/>
      <c r="N150" s="324"/>
      <c r="O150" s="324"/>
      <c r="P150" s="324"/>
      <c r="Q150" s="324"/>
    </row>
    <row r="151" spans="1:17" x14ac:dyDescent="0.25">
      <c r="A151" s="323"/>
      <c r="B151" s="341" t="s">
        <v>3</v>
      </c>
      <c r="C151" s="341" t="s">
        <v>72</v>
      </c>
      <c r="D151" s="367">
        <v>1.25</v>
      </c>
      <c r="E151" s="324">
        <v>4.0999999999999996</v>
      </c>
      <c r="F151" s="326">
        <v>4.1100000000000003</v>
      </c>
      <c r="G151" s="343">
        <f t="shared" si="14"/>
        <v>3.2880000000000003</v>
      </c>
      <c r="H151" s="344">
        <f t="shared" si="15"/>
        <v>2.4330900243310642E-3</v>
      </c>
      <c r="I151" s="336">
        <v>24.8</v>
      </c>
      <c r="J151" s="324">
        <v>3.54</v>
      </c>
      <c r="K151" s="336">
        <v>5.8</v>
      </c>
      <c r="L151" s="324">
        <v>156.5</v>
      </c>
      <c r="M151" s="336"/>
      <c r="N151" s="324"/>
      <c r="O151" s="324"/>
      <c r="P151" s="324"/>
      <c r="Q151" s="324"/>
    </row>
    <row r="152" spans="1:17" x14ac:dyDescent="0.25">
      <c r="A152" s="323"/>
      <c r="B152" s="341" t="s">
        <v>3</v>
      </c>
      <c r="C152" s="341" t="s">
        <v>73</v>
      </c>
      <c r="D152" s="367">
        <v>1.63</v>
      </c>
      <c r="E152" s="386">
        <v>6.7</v>
      </c>
      <c r="F152" s="326">
        <v>6.91</v>
      </c>
      <c r="G152" s="343">
        <f t="shared" si="14"/>
        <v>4.2392638036809815</v>
      </c>
      <c r="H152" s="344">
        <f t="shared" si="15"/>
        <v>3.0390738060781471E-2</v>
      </c>
      <c r="I152" s="336">
        <v>24.1</v>
      </c>
      <c r="J152" s="324">
        <v>3.78</v>
      </c>
      <c r="K152" s="336">
        <v>5.6</v>
      </c>
      <c r="L152" s="324">
        <v>289.32</v>
      </c>
      <c r="M152" s="336"/>
      <c r="N152" s="324"/>
      <c r="O152" s="324"/>
      <c r="P152" s="324"/>
      <c r="Q152" s="324"/>
    </row>
    <row r="153" spans="1:17" x14ac:dyDescent="0.25">
      <c r="A153" s="323"/>
      <c r="B153" s="341" t="s">
        <v>3</v>
      </c>
      <c r="C153" s="341" t="s">
        <v>74</v>
      </c>
      <c r="D153" s="367">
        <v>1.72</v>
      </c>
      <c r="E153" s="386">
        <v>6</v>
      </c>
      <c r="F153" s="326">
        <v>7.39</v>
      </c>
      <c r="G153" s="343">
        <f t="shared" si="14"/>
        <v>4.2965116279069768</v>
      </c>
      <c r="H153" s="344">
        <f t="shared" si="15"/>
        <v>0.18809201623815963</v>
      </c>
      <c r="I153" s="336">
        <v>24.3</v>
      </c>
      <c r="J153" s="324">
        <v>3.64</v>
      </c>
      <c r="K153" s="336">
        <v>4.8499999999999996</v>
      </c>
      <c r="L153" s="324">
        <v>211.43</v>
      </c>
      <c r="M153" s="336"/>
      <c r="N153" s="324"/>
      <c r="O153" s="324"/>
      <c r="P153" s="324"/>
      <c r="Q153" s="324"/>
    </row>
    <row r="154" spans="1:17" x14ac:dyDescent="0.25">
      <c r="A154" s="340"/>
      <c r="B154" s="341" t="s">
        <v>3</v>
      </c>
      <c r="C154" s="341" t="s">
        <v>75</v>
      </c>
      <c r="D154" s="367">
        <v>1.57</v>
      </c>
      <c r="E154" s="324">
        <v>3.7</v>
      </c>
      <c r="F154" s="326">
        <v>5.29</v>
      </c>
      <c r="G154" s="343">
        <f t="shared" si="14"/>
        <v>3.3694267515923566</v>
      </c>
      <c r="H154" s="344">
        <f t="shared" si="15"/>
        <v>0.30056710775047257</v>
      </c>
      <c r="I154" s="336">
        <v>24.1</v>
      </c>
      <c r="J154" s="324">
        <v>3.72</v>
      </c>
      <c r="K154" s="336">
        <v>4</v>
      </c>
      <c r="L154" s="324">
        <v>262.7</v>
      </c>
      <c r="M154" s="336"/>
      <c r="N154" s="324"/>
      <c r="O154" s="324"/>
      <c r="P154" s="324"/>
      <c r="Q154" s="324"/>
    </row>
    <row r="155" spans="1:17" x14ac:dyDescent="0.25">
      <c r="A155" s="323"/>
      <c r="B155" s="341" t="s">
        <v>3</v>
      </c>
      <c r="C155" s="341" t="s">
        <v>76</v>
      </c>
      <c r="D155" s="367">
        <v>1.01</v>
      </c>
      <c r="E155" s="346">
        <v>3.6</v>
      </c>
      <c r="F155" s="326">
        <v>4.6399999999999997</v>
      </c>
      <c r="G155" s="343">
        <f t="shared" si="14"/>
        <v>4.5940594059405937</v>
      </c>
      <c r="H155" s="344">
        <f t="shared" si="15"/>
        <v>0.22413793103448268</v>
      </c>
      <c r="I155" s="336">
        <v>26.35</v>
      </c>
      <c r="J155" s="324">
        <v>3.7</v>
      </c>
      <c r="K155" s="336">
        <v>5.45</v>
      </c>
      <c r="L155" s="324">
        <v>220.72</v>
      </c>
      <c r="M155" s="336"/>
      <c r="N155" s="324"/>
      <c r="O155" s="324"/>
      <c r="P155" s="324"/>
      <c r="Q155" s="324"/>
    </row>
    <row r="156" spans="1:17" x14ac:dyDescent="0.25">
      <c r="A156" s="323"/>
      <c r="B156" s="341" t="s">
        <v>3</v>
      </c>
      <c r="C156" s="341" t="s">
        <v>77</v>
      </c>
      <c r="D156" s="367">
        <v>1.5</v>
      </c>
      <c r="E156" s="386">
        <v>7.3</v>
      </c>
      <c r="F156" s="326">
        <v>5.47</v>
      </c>
      <c r="G156" s="343">
        <f t="shared" si="14"/>
        <v>3.6466666666666665</v>
      </c>
      <c r="H156" s="344">
        <f t="shared" si="15"/>
        <v>0.33455210237659966</v>
      </c>
      <c r="I156" s="336">
        <v>26.35</v>
      </c>
      <c r="J156" s="324">
        <v>3.7</v>
      </c>
      <c r="K156" s="336">
        <v>5.45</v>
      </c>
      <c r="L156" s="324">
        <v>156.94999999999999</v>
      </c>
      <c r="M156" s="336"/>
      <c r="N156" s="324"/>
      <c r="O156" s="324"/>
      <c r="P156" s="324"/>
      <c r="Q156" s="324"/>
    </row>
    <row r="157" spans="1:17" x14ac:dyDescent="0.25">
      <c r="A157" s="323"/>
      <c r="B157" s="341" t="s">
        <v>86</v>
      </c>
      <c r="C157" s="341" t="s">
        <v>49</v>
      </c>
      <c r="D157" s="367">
        <v>2.71</v>
      </c>
      <c r="E157" s="346">
        <v>6.3</v>
      </c>
      <c r="F157" s="326">
        <v>9.73</v>
      </c>
      <c r="G157" s="343">
        <f t="shared" si="14"/>
        <v>3.5904059040590406</v>
      </c>
      <c r="H157" s="344">
        <f t="shared" si="15"/>
        <v>0.35251798561151082</v>
      </c>
      <c r="I157" s="336">
        <v>25.4</v>
      </c>
      <c r="J157" s="324">
        <v>3.52</v>
      </c>
      <c r="K157" s="336">
        <v>9.1</v>
      </c>
      <c r="L157" s="324">
        <v>234.9</v>
      </c>
      <c r="M157" s="336">
        <v>1503.4</v>
      </c>
      <c r="N157" s="324"/>
      <c r="O157" s="324"/>
      <c r="P157" s="324"/>
      <c r="Q157" s="324"/>
    </row>
    <row r="158" spans="1:17" x14ac:dyDescent="0.25">
      <c r="A158" s="340"/>
      <c r="B158" s="341" t="s">
        <v>86</v>
      </c>
      <c r="C158" s="341" t="s">
        <v>44</v>
      </c>
      <c r="D158" s="367">
        <v>1.04</v>
      </c>
      <c r="E158" s="346">
        <v>4.5</v>
      </c>
      <c r="F158" s="326">
        <v>3.67</v>
      </c>
      <c r="G158" s="343">
        <f t="shared" si="14"/>
        <v>3.5288461538461537</v>
      </c>
      <c r="H158" s="344">
        <f t="shared" si="15"/>
        <v>0.226158038147139</v>
      </c>
      <c r="I158" s="336">
        <v>24</v>
      </c>
      <c r="J158" s="324">
        <v>3.62</v>
      </c>
      <c r="K158" s="336">
        <v>9.8000000000000007</v>
      </c>
      <c r="L158" s="324">
        <v>227.12</v>
      </c>
      <c r="M158" s="336">
        <v>1429.5</v>
      </c>
      <c r="N158" s="324"/>
      <c r="O158" s="324"/>
      <c r="P158" s="324"/>
      <c r="Q158" s="324"/>
    </row>
    <row r="159" spans="1:17" x14ac:dyDescent="0.25">
      <c r="A159" s="323"/>
      <c r="B159" s="341" t="s">
        <v>86</v>
      </c>
      <c r="C159" s="341" t="s">
        <v>12</v>
      </c>
      <c r="D159" s="367">
        <v>1.31</v>
      </c>
      <c r="E159" s="346">
        <v>4.7</v>
      </c>
      <c r="F159" s="326">
        <v>7.92</v>
      </c>
      <c r="G159" s="343">
        <f t="shared" si="14"/>
        <v>6.0458015267175567</v>
      </c>
      <c r="H159" s="344">
        <f t="shared" si="15"/>
        <v>0.40656565656565652</v>
      </c>
      <c r="I159" s="336">
        <v>23.4</v>
      </c>
      <c r="J159" s="324">
        <v>3.6</v>
      </c>
      <c r="K159" s="336">
        <v>10.95</v>
      </c>
      <c r="L159" s="324">
        <v>212.79</v>
      </c>
      <c r="M159" s="336">
        <v>1429.5</v>
      </c>
      <c r="N159" s="324"/>
      <c r="O159" s="324"/>
      <c r="P159" s="324"/>
      <c r="Q159" s="324"/>
    </row>
    <row r="160" spans="1:17" x14ac:dyDescent="0.25">
      <c r="A160" s="323"/>
      <c r="B160" s="341" t="s">
        <v>86</v>
      </c>
      <c r="C160" s="341" t="s">
        <v>36</v>
      </c>
      <c r="D160" s="367">
        <v>1.22</v>
      </c>
      <c r="E160" s="386">
        <v>5</v>
      </c>
      <c r="F160" s="326">
        <v>3.81</v>
      </c>
      <c r="G160" s="343">
        <f t="shared" si="14"/>
        <v>3.1229508196721314</v>
      </c>
      <c r="H160" s="344">
        <f t="shared" si="15"/>
        <v>0.31233595800524933</v>
      </c>
      <c r="I160" s="336">
        <v>23.4</v>
      </c>
      <c r="J160" s="324">
        <v>3.6</v>
      </c>
      <c r="K160" s="336">
        <v>10.95</v>
      </c>
      <c r="L160" s="324">
        <v>212.79</v>
      </c>
      <c r="M160" s="336">
        <v>1429.5</v>
      </c>
      <c r="N160" s="324"/>
      <c r="O160" s="324"/>
      <c r="P160" s="324"/>
      <c r="Q160" s="324"/>
    </row>
    <row r="161" spans="1:17" x14ac:dyDescent="0.25">
      <c r="A161" s="323"/>
      <c r="B161" s="341" t="s">
        <v>86</v>
      </c>
      <c r="C161" s="341" t="s">
        <v>63</v>
      </c>
      <c r="D161" s="367">
        <v>0.45</v>
      </c>
      <c r="E161" s="346">
        <v>2</v>
      </c>
      <c r="F161" s="326">
        <v>1.81</v>
      </c>
      <c r="G161" s="343">
        <f t="shared" si="14"/>
        <v>4.0222222222222221</v>
      </c>
      <c r="H161" s="355">
        <f t="shared" si="15"/>
        <v>0.1049723756906077</v>
      </c>
      <c r="I161" s="336">
        <v>23.4</v>
      </c>
      <c r="J161" s="324">
        <v>3.6</v>
      </c>
      <c r="K161" s="336">
        <v>10.95</v>
      </c>
      <c r="L161" s="324">
        <v>212.79</v>
      </c>
      <c r="M161" s="336">
        <v>1429.5</v>
      </c>
      <c r="N161" s="324"/>
      <c r="O161" s="324"/>
      <c r="P161" s="324"/>
      <c r="Q161" s="324"/>
    </row>
    <row r="162" spans="1:17" x14ac:dyDescent="0.25">
      <c r="A162" s="340"/>
      <c r="B162" s="341" t="s">
        <v>86</v>
      </c>
      <c r="C162" s="341" t="s">
        <v>64</v>
      </c>
      <c r="D162" s="367">
        <v>0.32</v>
      </c>
      <c r="E162" s="346">
        <v>1.6</v>
      </c>
      <c r="F162" s="326">
        <v>0.94</v>
      </c>
      <c r="G162" s="343">
        <f t="shared" si="14"/>
        <v>2.9374999999999996</v>
      </c>
      <c r="H162" s="344">
        <f t="shared" si="15"/>
        <v>0.70212765957446832</v>
      </c>
      <c r="I162" s="336">
        <v>23.4</v>
      </c>
      <c r="J162" s="324">
        <v>3.6</v>
      </c>
      <c r="K162" s="336">
        <v>10.95</v>
      </c>
      <c r="L162" s="324">
        <v>227.12</v>
      </c>
      <c r="M162" s="336">
        <v>1429.5</v>
      </c>
      <c r="N162" s="324"/>
      <c r="O162" s="324"/>
      <c r="P162" s="324"/>
      <c r="Q162" s="324"/>
    </row>
    <row r="163" spans="1:17" x14ac:dyDescent="0.25">
      <c r="A163" s="323"/>
      <c r="B163" s="380" t="s">
        <v>7</v>
      </c>
      <c r="C163" s="380" t="s">
        <v>46</v>
      </c>
      <c r="D163" s="381">
        <v>5.0999999999999996</v>
      </c>
      <c r="E163" s="346">
        <v>28.8</v>
      </c>
      <c r="F163" s="326">
        <v>30.54</v>
      </c>
      <c r="G163" s="343">
        <f t="shared" si="14"/>
        <v>5.9882352941176471</v>
      </c>
      <c r="H163" s="344">
        <f t="shared" si="15"/>
        <v>5.6974459724950834E-2</v>
      </c>
      <c r="I163" s="336">
        <v>24.5</v>
      </c>
      <c r="J163" s="324">
        <v>3.43</v>
      </c>
      <c r="K163" s="336">
        <v>7.4</v>
      </c>
      <c r="L163" s="324">
        <v>316.67</v>
      </c>
      <c r="M163" s="336">
        <v>1394.7</v>
      </c>
      <c r="N163" s="324" t="s">
        <v>167</v>
      </c>
      <c r="O163" s="368">
        <v>1418.4</v>
      </c>
      <c r="P163" s="324" t="s">
        <v>168</v>
      </c>
      <c r="Q163" s="324"/>
    </row>
    <row r="164" spans="1:17" x14ac:dyDescent="0.25">
      <c r="A164" s="323"/>
      <c r="B164" s="380" t="s">
        <v>7</v>
      </c>
      <c r="C164" s="380" t="s">
        <v>42</v>
      </c>
      <c r="D164" s="381">
        <v>4</v>
      </c>
      <c r="E164" s="350">
        <v>12</v>
      </c>
      <c r="F164" s="326">
        <v>22.5</v>
      </c>
      <c r="G164" s="343">
        <f t="shared" si="14"/>
        <v>5.625</v>
      </c>
      <c r="H164" s="344">
        <f t="shared" si="15"/>
        <v>0.46666666666666667</v>
      </c>
      <c r="I164" s="336">
        <v>22.74</v>
      </c>
      <c r="J164" s="324">
        <v>3.53</v>
      </c>
      <c r="K164" s="336">
        <v>5.94</v>
      </c>
      <c r="L164" s="324">
        <v>335.2</v>
      </c>
      <c r="M164" s="336"/>
      <c r="N164" s="324"/>
      <c r="O164" s="324"/>
      <c r="P164" s="324"/>
      <c r="Q164" s="324"/>
    </row>
    <row r="165" spans="1:17" x14ac:dyDescent="0.25">
      <c r="A165" s="323"/>
      <c r="B165" s="380" t="s">
        <v>7</v>
      </c>
      <c r="C165" s="380" t="s">
        <v>47</v>
      </c>
      <c r="D165" s="381">
        <v>4.5</v>
      </c>
      <c r="E165" s="350">
        <v>16</v>
      </c>
      <c r="F165" s="326">
        <v>22.76</v>
      </c>
      <c r="G165" s="343">
        <f t="shared" si="14"/>
        <v>5.0577777777777779</v>
      </c>
      <c r="H165" s="344">
        <f t="shared" si="15"/>
        <v>0.29701230228471004</v>
      </c>
      <c r="I165" s="336">
        <v>24.35</v>
      </c>
      <c r="J165" s="324">
        <v>3.47</v>
      </c>
      <c r="K165" s="336">
        <v>7.3</v>
      </c>
      <c r="L165" s="324">
        <v>231.71</v>
      </c>
      <c r="M165" s="336">
        <v>1429.9</v>
      </c>
      <c r="N165" s="324"/>
      <c r="O165" s="324"/>
      <c r="P165" s="324"/>
      <c r="Q165" s="324"/>
    </row>
    <row r="166" spans="1:17" x14ac:dyDescent="0.25">
      <c r="A166" s="323"/>
      <c r="B166" s="352"/>
      <c r="C166" s="353" t="s">
        <v>115</v>
      </c>
      <c r="D166" s="382">
        <f>SUM(D142:D156)</f>
        <v>20.05</v>
      </c>
      <c r="E166" s="324">
        <f>SUM(E142:E156)</f>
        <v>71.900000000000006</v>
      </c>
      <c r="F166" s="336">
        <f>SUM(F142:F156)</f>
        <v>79.42</v>
      </c>
      <c r="G166" s="343"/>
      <c r="H166" s="344">
        <f t="shared" si="15"/>
        <v>9.4686476957945048E-2</v>
      </c>
      <c r="I166" s="336"/>
      <c r="J166" s="324"/>
      <c r="K166" s="336"/>
      <c r="L166" s="324"/>
      <c r="M166" s="336"/>
      <c r="N166" s="324"/>
      <c r="O166" s="324"/>
      <c r="P166" s="324"/>
      <c r="Q166" s="324"/>
    </row>
    <row r="167" spans="1:17" x14ac:dyDescent="0.25">
      <c r="A167" s="323"/>
      <c r="B167" s="352"/>
      <c r="C167" s="323" t="s">
        <v>119</v>
      </c>
      <c r="D167" s="362">
        <f>SUM(D157:D162)</f>
        <v>7.0500000000000007</v>
      </c>
      <c r="E167" s="324">
        <f>SUM(E157:E162)</f>
        <v>24.1</v>
      </c>
      <c r="F167" s="336">
        <f>SUM(F157:F162)</f>
        <v>27.88</v>
      </c>
      <c r="G167" s="343"/>
      <c r="H167" s="344">
        <f t="shared" si="15"/>
        <v>0.1355810616929698</v>
      </c>
      <c r="I167" s="336"/>
      <c r="J167" s="324"/>
      <c r="K167" s="336"/>
      <c r="L167" s="324"/>
      <c r="M167" s="336"/>
      <c r="N167" s="324"/>
      <c r="O167" s="324"/>
      <c r="P167" s="324"/>
      <c r="Q167" s="324"/>
    </row>
    <row r="168" spans="1:17" ht="15.75" thickBot="1" x14ac:dyDescent="0.3">
      <c r="A168" s="323"/>
      <c r="B168" s="324"/>
      <c r="C168" s="371" t="s">
        <v>117</v>
      </c>
      <c r="D168" s="384">
        <f>SUM(D163:D165)</f>
        <v>13.6</v>
      </c>
      <c r="E168" s="324">
        <f>SUM(E163:E165)</f>
        <v>56.8</v>
      </c>
      <c r="F168" s="336">
        <f>SUM(F163:F165)</f>
        <v>75.8</v>
      </c>
      <c r="G168" s="343"/>
      <c r="H168" s="344">
        <f t="shared" si="15"/>
        <v>0.2506596306068602</v>
      </c>
      <c r="I168" s="336"/>
      <c r="J168" s="324"/>
      <c r="K168" s="336"/>
      <c r="L168" s="324"/>
      <c r="M168" s="336"/>
      <c r="N168" s="324"/>
      <c r="O168" s="324"/>
      <c r="P168" s="324"/>
      <c r="Q168" s="324"/>
    </row>
    <row r="169" spans="1:17" ht="15.75" thickTop="1" x14ac:dyDescent="0.25">
      <c r="A169" s="404"/>
      <c r="B169" s="398"/>
      <c r="C169" s="373" t="s">
        <v>118</v>
      </c>
      <c r="D169" s="385">
        <f>SUM(D166:D168)</f>
        <v>40.700000000000003</v>
      </c>
      <c r="E169" s="324">
        <f>SUM(E166:E168)</f>
        <v>152.80000000000001</v>
      </c>
      <c r="F169" s="336">
        <f>SUM(F166:F168)</f>
        <v>183.1</v>
      </c>
      <c r="G169" s="343"/>
      <c r="H169" s="344">
        <f t="shared" si="15"/>
        <v>0.16548334243582732</v>
      </c>
      <c r="I169" s="336"/>
      <c r="J169" s="324"/>
      <c r="K169" s="336"/>
      <c r="L169" s="324"/>
      <c r="M169" s="336"/>
      <c r="N169" s="324"/>
      <c r="O169" s="324"/>
      <c r="P169" s="324"/>
      <c r="Q169" s="324"/>
    </row>
    <row r="170" spans="1:17" x14ac:dyDescent="0.25">
      <c r="A170" s="337" t="s">
        <v>34</v>
      </c>
      <c r="B170" s="363"/>
      <c r="C170" s="337"/>
      <c r="D170" s="374"/>
      <c r="E170" s="324"/>
      <c r="F170" s="326"/>
      <c r="G170" s="343"/>
      <c r="H170" s="375"/>
      <c r="I170" s="336"/>
      <c r="J170" s="324"/>
      <c r="K170" s="336"/>
      <c r="L170" s="324"/>
      <c r="M170" s="336"/>
      <c r="N170" s="324"/>
      <c r="O170" s="324"/>
      <c r="P170" s="324"/>
      <c r="Q170" s="324"/>
    </row>
    <row r="171" spans="1:17" x14ac:dyDescent="0.25">
      <c r="A171" s="323"/>
      <c r="B171" s="341" t="s">
        <v>3</v>
      </c>
      <c r="C171" s="341" t="s">
        <v>50</v>
      </c>
      <c r="D171" s="367">
        <v>2.69</v>
      </c>
      <c r="E171" s="366">
        <v>7.8</v>
      </c>
      <c r="F171" s="326">
        <v>7.65</v>
      </c>
      <c r="G171" s="343">
        <f>F171/D171</f>
        <v>2.8438661710037176</v>
      </c>
      <c r="H171" s="344">
        <f>(ABS(E171-F171))/F171</f>
        <v>1.9607843137254832E-2</v>
      </c>
      <c r="I171" s="336">
        <v>27.55</v>
      </c>
      <c r="J171" s="324">
        <v>3.86</v>
      </c>
      <c r="K171" s="336">
        <v>5.35</v>
      </c>
      <c r="L171" s="324">
        <v>225.59</v>
      </c>
      <c r="M171" s="336"/>
      <c r="N171" s="324"/>
      <c r="O171" s="324"/>
      <c r="P171" s="324"/>
      <c r="Q171" s="324"/>
    </row>
    <row r="172" spans="1:17" x14ac:dyDescent="0.25">
      <c r="A172" s="323"/>
      <c r="B172" s="341" t="s">
        <v>6</v>
      </c>
      <c r="C172" s="341" t="s">
        <v>38</v>
      </c>
      <c r="D172" s="367">
        <v>1.6</v>
      </c>
      <c r="E172" s="386">
        <v>7.9</v>
      </c>
      <c r="F172" s="326">
        <v>1.9</v>
      </c>
      <c r="G172" s="343">
        <f>F172/D172</f>
        <v>1.1874999999999998</v>
      </c>
      <c r="H172" s="344">
        <f>(ABS(E172-F172))/F172</f>
        <v>3.1578947368421053</v>
      </c>
      <c r="I172" s="336"/>
      <c r="J172" s="324"/>
      <c r="K172" s="336"/>
      <c r="L172" s="324" t="s">
        <v>148</v>
      </c>
      <c r="M172" s="336">
        <v>1597</v>
      </c>
      <c r="N172" s="324"/>
      <c r="O172" s="324"/>
      <c r="P172" s="324"/>
      <c r="Q172" s="324"/>
    </row>
    <row r="173" spans="1:17" x14ac:dyDescent="0.25">
      <c r="A173" s="323"/>
      <c r="B173" s="380" t="s">
        <v>7</v>
      </c>
      <c r="C173" s="380" t="s">
        <v>122</v>
      </c>
      <c r="D173" s="367">
        <v>2.85</v>
      </c>
      <c r="E173" s="350">
        <v>10</v>
      </c>
      <c r="F173" s="326">
        <v>10.039999999999999</v>
      </c>
      <c r="G173" s="343">
        <f>F173/D173</f>
        <v>3.5228070175438591</v>
      </c>
      <c r="H173" s="344">
        <f>(ABS(E173-F173))/F173</f>
        <v>3.9840637450198361E-3</v>
      </c>
      <c r="I173" s="336">
        <v>24.7</v>
      </c>
      <c r="J173" s="324">
        <v>4.0199999999999996</v>
      </c>
      <c r="K173" s="336">
        <v>5.0999999999999996</v>
      </c>
      <c r="L173" s="324">
        <v>217.11</v>
      </c>
      <c r="M173" s="336"/>
      <c r="N173" s="324"/>
      <c r="O173" s="324"/>
      <c r="P173" s="324"/>
      <c r="Q173" s="324"/>
    </row>
    <row r="174" spans="1:17" x14ac:dyDescent="0.25">
      <c r="A174" s="323"/>
      <c r="B174" s="352"/>
      <c r="C174" s="353" t="s">
        <v>115</v>
      </c>
      <c r="D174" s="377">
        <f>SUM(D171:D172)</f>
        <v>4.29</v>
      </c>
      <c r="E174" s="324">
        <f>SUM(E171:E172)</f>
        <v>15.7</v>
      </c>
      <c r="F174" s="336">
        <f>SUM(F171:F172)</f>
        <v>9.5500000000000007</v>
      </c>
      <c r="G174" s="343"/>
      <c r="H174" s="344">
        <f>(ABS(E174-F174))/F174</f>
        <v>0.64397905759162288</v>
      </c>
      <c r="I174" s="336"/>
      <c r="J174" s="324"/>
      <c r="K174" s="336"/>
      <c r="L174" s="324"/>
      <c r="M174" s="336"/>
      <c r="N174" s="324"/>
      <c r="O174" s="324"/>
      <c r="P174" s="324"/>
      <c r="Q174" s="324"/>
    </row>
    <row r="175" spans="1:17" x14ac:dyDescent="0.25">
      <c r="A175" s="323"/>
      <c r="B175" s="352"/>
      <c r="C175" s="323" t="s">
        <v>116</v>
      </c>
      <c r="D175" s="378" t="s">
        <v>109</v>
      </c>
      <c r="E175" s="324">
        <v>0</v>
      </c>
      <c r="F175" s="336">
        <v>0</v>
      </c>
      <c r="G175" s="343"/>
      <c r="H175" s="344"/>
      <c r="I175" s="336"/>
      <c r="J175" s="324"/>
      <c r="K175" s="336"/>
      <c r="L175" s="324"/>
      <c r="M175" s="336"/>
      <c r="N175" s="324"/>
      <c r="O175" s="324"/>
      <c r="P175" s="324"/>
      <c r="Q175" s="324"/>
    </row>
    <row r="176" spans="1:17" ht="15.75" thickBot="1" x14ac:dyDescent="0.3">
      <c r="A176" s="323"/>
      <c r="B176" s="324"/>
      <c r="C176" s="371" t="s">
        <v>117</v>
      </c>
      <c r="D176" s="379">
        <v>8.5500000000000007</v>
      </c>
      <c r="E176" s="324">
        <f>E173</f>
        <v>10</v>
      </c>
      <c r="F176" s="336">
        <f>F173</f>
        <v>10.039999999999999</v>
      </c>
      <c r="G176" s="343"/>
      <c r="H176" s="344">
        <f>(ABS(E176-F176))/F176</f>
        <v>3.9840637450198361E-3</v>
      </c>
      <c r="I176" s="336"/>
      <c r="J176" s="324"/>
      <c r="K176" s="336"/>
      <c r="L176" s="324"/>
      <c r="M176" s="336"/>
      <c r="N176" s="324"/>
      <c r="O176" s="324"/>
      <c r="P176" s="324"/>
      <c r="Q176" s="324"/>
    </row>
    <row r="177" spans="1:17" ht="15.75" thickTop="1" x14ac:dyDescent="0.25">
      <c r="A177" s="323"/>
      <c r="B177" s="324"/>
      <c r="C177" s="373" t="s">
        <v>9</v>
      </c>
      <c r="D177" s="378">
        <f>SUM(D174,D176)</f>
        <v>12.84</v>
      </c>
      <c r="E177" s="324">
        <f>SUM(E174:E176)</f>
        <v>25.7</v>
      </c>
      <c r="F177" s="336">
        <f>SUM(F174:F176)</f>
        <v>19.59</v>
      </c>
      <c r="G177" s="343"/>
      <c r="H177" s="344">
        <f>(ABS(E177-F177))/F177</f>
        <v>0.31189382337927513</v>
      </c>
      <c r="I177" s="336"/>
      <c r="J177" s="324"/>
      <c r="K177" s="336"/>
      <c r="L177" s="324"/>
      <c r="M177" s="336"/>
      <c r="N177" s="324"/>
      <c r="O177" s="324"/>
      <c r="P177" s="324"/>
      <c r="Q177" s="324"/>
    </row>
    <row r="178" spans="1:17" x14ac:dyDescent="0.25">
      <c r="G178" s="319"/>
      <c r="H178" s="284"/>
    </row>
    <row r="179" spans="1:17" s="69" customFormat="1" ht="15.75" customHeight="1" x14ac:dyDescent="0.25">
      <c r="A179" s="20"/>
      <c r="B179" s="15"/>
      <c r="C179" s="425" t="s">
        <v>124</v>
      </c>
      <c r="D179" s="426"/>
      <c r="E179" s="427">
        <f>SUM(E24:E25,E33:E34,E41:E42,E56:E57,E66:E67,E61,E89:E90,E94,E109,E118:E119,E137,E166:E167,E174)</f>
        <v>680.58</v>
      </c>
      <c r="F179" s="428">
        <f>SUM(F24:F25,F33:F34,F41:F42,F56:F57,F66:F67,F61,F89:F90,F94,F109,F118:F119,F137,F166:F167,F174)</f>
        <v>728.3</v>
      </c>
      <c r="G179" s="343"/>
      <c r="H179" s="344">
        <f>(ABS(E179-F179))/F179</f>
        <v>6.5522449540024605E-2</v>
      </c>
      <c r="I179" s="119"/>
      <c r="K179" s="119"/>
      <c r="M179" s="119"/>
    </row>
    <row r="180" spans="1:17" s="69" customFormat="1" ht="15.75" customHeight="1" x14ac:dyDescent="0.25">
      <c r="A180" s="22"/>
      <c r="C180" s="429" t="s">
        <v>123</v>
      </c>
      <c r="D180" s="430"/>
      <c r="E180" s="431">
        <f>SUM(E26,E35,E58,E68,E76,E96,E98,E111,E127,E139,E168,E176,E102)</f>
        <v>485.78000000000003</v>
      </c>
      <c r="F180" s="432">
        <f>SUM(F26,F35,F58,F68,F76,F96,F98,F111,F127,F139,F168,F176,F100,F102)</f>
        <v>608.62</v>
      </c>
      <c r="G180" s="343"/>
      <c r="H180" s="344">
        <f>(ABS(E180-F180))/F180</f>
        <v>0.2018336564687325</v>
      </c>
      <c r="I180" s="119"/>
      <c r="K180" s="119"/>
      <c r="M180" s="119"/>
    </row>
    <row r="181" spans="1:17" s="69" customFormat="1" ht="15.75" customHeight="1" thickBot="1" x14ac:dyDescent="0.3">
      <c r="A181" s="23"/>
      <c r="B181" s="10"/>
      <c r="C181" s="433" t="s">
        <v>97</v>
      </c>
      <c r="D181" s="434"/>
      <c r="E181" s="435">
        <f>SUM(E179:E180)</f>
        <v>1166.3600000000001</v>
      </c>
      <c r="F181" s="436">
        <f>SUM(F179:F180)</f>
        <v>1336.92</v>
      </c>
      <c r="G181" s="378"/>
      <c r="H181" s="344">
        <f>(ABS(E181-F181))/F181</f>
        <v>0.12757681835861528</v>
      </c>
      <c r="I181" s="119"/>
      <c r="K181" s="119"/>
      <c r="M181" s="119"/>
    </row>
    <row r="182" spans="1:17" ht="15.75" thickTop="1" x14ac:dyDescent="0.25">
      <c r="C182" s="324"/>
      <c r="D182" s="324"/>
      <c r="E182" s="324"/>
      <c r="F182" s="326"/>
      <c r="G182" s="437"/>
      <c r="H182" s="375"/>
    </row>
    <row r="183" spans="1:17" x14ac:dyDescent="0.25">
      <c r="C183" s="324"/>
      <c r="D183" s="323" t="s">
        <v>175</v>
      </c>
      <c r="E183" s="438">
        <f>SUM(E177,E169,E140,E128,E121,E112,E102)</f>
        <v>430.01</v>
      </c>
      <c r="F183" s="439"/>
      <c r="G183" s="440"/>
      <c r="H183" s="344"/>
    </row>
    <row r="184" spans="1:17" x14ac:dyDescent="0.25">
      <c r="C184" s="324"/>
      <c r="D184" s="323" t="s">
        <v>174</v>
      </c>
      <c r="E184" s="323">
        <f>SUM(E27,E36,E44,E59,E61,E69,E77,E92,E94,E96,E98,E100)</f>
        <v>711.34999999999991</v>
      </c>
      <c r="F184" s="441"/>
      <c r="G184" s="442"/>
      <c r="H184" s="344"/>
    </row>
  </sheetData>
  <mergeCells count="1">
    <mergeCell ref="B2:C2"/>
  </mergeCells>
  <conditionalFormatting sqref="H4:H184">
    <cfRule type="containsText" dxfId="31" priority="6" operator="containsText" text="BLANK">
      <formula>NOT(ISERROR(SEARCH("BLANK",H4)))</formula>
    </cfRule>
    <cfRule type="cellIs" dxfId="30" priority="7" operator="equal">
      <formula>0.1</formula>
    </cfRule>
    <cfRule type="cellIs" dxfId="29" priority="11" operator="between">
      <formula>0.11</formula>
      <formula>0.39</formula>
    </cfRule>
    <cfRule type="cellIs" dxfId="28" priority="12" operator="lessThan">
      <formula>0.1</formula>
    </cfRule>
    <cfRule type="cellIs" dxfId="27" priority="13" operator="greaterThan">
      <formula>0.4</formula>
    </cfRule>
  </conditionalFormatting>
  <conditionalFormatting sqref="H3:H184">
    <cfRule type="cellIs" dxfId="26" priority="10" operator="greaterThan">
      <formula>0.4</formula>
    </cfRule>
  </conditionalFormatting>
  <conditionalFormatting sqref="H3:H184">
    <cfRule type="cellIs" dxfId="25" priority="9" operator="equal">
      <formula>0.4</formula>
    </cfRule>
  </conditionalFormatting>
  <conditionalFormatting sqref="H3">
    <cfRule type="containsText" dxfId="24" priority="8" operator="containsText" text="blank">
      <formula>NOT(ISERROR(SEARCH("blank",H3)))</formula>
    </cfRule>
  </conditionalFormatting>
  <conditionalFormatting sqref="H23">
    <cfRule type="cellIs" dxfId="23" priority="1" operator="between">
      <formula>0.11</formula>
      <formula>0.01</formula>
    </cfRule>
    <cfRule type="cellIs" dxfId="22" priority="2" operator="equal">
      <formula>0.11</formula>
    </cfRule>
    <cfRule type="cellIs" dxfId="21" priority="3" operator="equal">
      <formula>0.11</formula>
    </cfRule>
    <cfRule type="cellIs" dxfId="20" priority="4" operator="equal">
      <formula>0.11</formula>
    </cfRule>
    <cfRule type="cellIs" dxfId="19" priority="5" operator="between">
      <formula>0.11</formula>
      <formula>0.39</formula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1"/>
  <sheetViews>
    <sheetView topLeftCell="K1" workbookViewId="0">
      <selection activeCell="K15" sqref="K15"/>
    </sheetView>
  </sheetViews>
  <sheetFormatPr defaultRowHeight="15" x14ac:dyDescent="0.25"/>
  <cols>
    <col min="1" max="1" width="9.140625" style="70"/>
    <col min="2" max="2" width="15.42578125" style="70" customWidth="1"/>
    <col min="3" max="3" width="21.85546875" style="70" customWidth="1"/>
    <col min="4" max="4" width="9.140625" style="70"/>
    <col min="5" max="5" width="16.42578125" style="70" customWidth="1"/>
    <col min="6" max="6" width="14.5703125" style="70" customWidth="1"/>
    <col min="7" max="7" width="15.85546875" style="70" customWidth="1"/>
    <col min="8" max="8" width="19.85546875" style="70" customWidth="1"/>
    <col min="9" max="9" width="16.85546875" style="282" customWidth="1"/>
    <col min="10" max="10" width="16.85546875" style="317" customWidth="1"/>
    <col min="11" max="11" width="16.42578125" style="70" customWidth="1"/>
    <col min="12" max="12" width="18.140625" style="268" customWidth="1"/>
    <col min="13" max="13" width="20.42578125" style="279" customWidth="1"/>
    <col min="14" max="14" width="21.5703125" style="70" customWidth="1"/>
    <col min="15" max="15" width="9.140625" style="268" customWidth="1"/>
    <col min="16" max="16" width="9.140625" style="70" customWidth="1"/>
    <col min="17" max="17" width="9.140625" style="268" customWidth="1"/>
    <col min="18" max="18" width="9.140625" style="70" customWidth="1"/>
    <col min="19" max="19" width="9.140625" style="268" customWidth="1"/>
    <col min="20" max="20" width="9.140625" style="70" customWidth="1"/>
    <col min="21" max="21" width="9.140625" style="268" customWidth="1"/>
    <col min="22" max="22" width="20.5703125" style="483" customWidth="1"/>
    <col min="23" max="23" width="21.42578125" customWidth="1"/>
  </cols>
  <sheetData>
    <row r="1" spans="1:23" x14ac:dyDescent="0.25">
      <c r="A1" s="71"/>
      <c r="B1" s="69"/>
      <c r="C1" s="69"/>
      <c r="D1" s="63"/>
      <c r="E1" s="110">
        <v>2013</v>
      </c>
      <c r="F1" s="90">
        <v>2014</v>
      </c>
      <c r="G1" s="122"/>
      <c r="I1" s="282">
        <v>2015</v>
      </c>
      <c r="J1" s="317">
        <v>2015</v>
      </c>
      <c r="K1" s="279">
        <v>2015</v>
      </c>
      <c r="L1" s="293">
        <v>2015</v>
      </c>
      <c r="M1" s="317">
        <v>2016</v>
      </c>
      <c r="N1" s="317">
        <v>2016</v>
      </c>
      <c r="O1" s="322" t="s">
        <v>145</v>
      </c>
      <c r="P1" s="279" t="s">
        <v>146</v>
      </c>
      <c r="Q1" s="282" t="s">
        <v>147</v>
      </c>
      <c r="R1" s="279" t="s">
        <v>165</v>
      </c>
      <c r="S1" s="282" t="s">
        <v>166</v>
      </c>
      <c r="T1" s="279" t="s">
        <v>176</v>
      </c>
      <c r="U1" s="282" t="s">
        <v>177</v>
      </c>
      <c r="W1" s="279">
        <v>2017</v>
      </c>
    </row>
    <row r="2" spans="1:23" x14ac:dyDescent="0.25">
      <c r="A2" s="71" t="s">
        <v>0</v>
      </c>
      <c r="B2" s="761" t="s">
        <v>1</v>
      </c>
      <c r="C2" s="761"/>
      <c r="D2" s="482" t="s">
        <v>82</v>
      </c>
      <c r="E2" s="110" t="s">
        <v>108</v>
      </c>
      <c r="F2" s="90" t="s">
        <v>108</v>
      </c>
      <c r="G2" s="110" t="s">
        <v>113</v>
      </c>
      <c r="H2" s="483" t="s">
        <v>138</v>
      </c>
      <c r="I2" s="283" t="s">
        <v>108</v>
      </c>
      <c r="J2" s="318" t="s">
        <v>164</v>
      </c>
      <c r="K2" s="70" t="s">
        <v>142</v>
      </c>
      <c r="L2" s="237" t="s">
        <v>143</v>
      </c>
      <c r="M2" s="483" t="s">
        <v>126</v>
      </c>
      <c r="N2" s="483" t="s">
        <v>108</v>
      </c>
      <c r="U2" s="282" t="s">
        <v>178</v>
      </c>
      <c r="V2" s="483" t="s">
        <v>198</v>
      </c>
      <c r="W2" s="483" t="s">
        <v>200</v>
      </c>
    </row>
    <row r="3" spans="1:23" x14ac:dyDescent="0.25">
      <c r="A3" s="3" t="s">
        <v>2</v>
      </c>
      <c r="B3" s="4"/>
      <c r="C3" s="4"/>
      <c r="D3" s="62"/>
      <c r="E3" s="110"/>
      <c r="F3" s="90"/>
      <c r="G3" s="110"/>
      <c r="L3" s="237"/>
    </row>
    <row r="4" spans="1:23" x14ac:dyDescent="0.25">
      <c r="A4" s="1"/>
      <c r="B4" s="9" t="s">
        <v>3</v>
      </c>
      <c r="C4" s="9" t="s">
        <v>10</v>
      </c>
      <c r="D4" s="91">
        <v>0.75</v>
      </c>
      <c r="E4" s="126">
        <v>1.57</v>
      </c>
      <c r="F4" s="95">
        <v>2.63</v>
      </c>
      <c r="G4" s="126">
        <f>E4-F4</f>
        <v>-1.0599999999999998</v>
      </c>
      <c r="H4" s="70">
        <v>3.4</v>
      </c>
      <c r="I4" s="282">
        <v>3.7</v>
      </c>
      <c r="J4" s="319">
        <f>I4/D4</f>
        <v>4.9333333333333336</v>
      </c>
      <c r="K4" s="70">
        <f t="shared" ref="K4:K10" si="0">H4-I4</f>
        <v>-0.30000000000000027</v>
      </c>
      <c r="L4" s="284">
        <f t="shared" ref="L4:L28" si="1">(ABS(H4-I4))/I4</f>
        <v>8.1081081081081155E-2</v>
      </c>
      <c r="M4" s="279">
        <v>4</v>
      </c>
      <c r="N4" s="70">
        <v>3.28</v>
      </c>
      <c r="W4">
        <v>3</v>
      </c>
    </row>
    <row r="5" spans="1:23" x14ac:dyDescent="0.25">
      <c r="A5" s="1"/>
      <c r="B5" s="9" t="s">
        <v>3</v>
      </c>
      <c r="C5" s="9" t="s">
        <v>11</v>
      </c>
      <c r="D5" s="62">
        <v>1.4</v>
      </c>
      <c r="E5" s="126">
        <v>8</v>
      </c>
      <c r="F5" s="95">
        <v>3.67</v>
      </c>
      <c r="G5" s="126">
        <f t="shared" ref="G5:G23" si="2">E5-F5</f>
        <v>4.33</v>
      </c>
      <c r="H5" s="287">
        <v>10</v>
      </c>
      <c r="I5" s="282">
        <v>10</v>
      </c>
      <c r="J5" s="319">
        <f t="shared" ref="J5:J70" si="3">I5/D5</f>
        <v>7.1428571428571432</v>
      </c>
      <c r="K5" s="70">
        <f t="shared" si="0"/>
        <v>0</v>
      </c>
      <c r="L5" s="284">
        <f t="shared" si="1"/>
        <v>0</v>
      </c>
      <c r="M5" s="279">
        <v>10</v>
      </c>
      <c r="N5" s="70">
        <v>17.25</v>
      </c>
      <c r="W5">
        <v>17</v>
      </c>
    </row>
    <row r="6" spans="1:23" x14ac:dyDescent="0.25">
      <c r="A6" s="71"/>
      <c r="B6" s="9" t="s">
        <v>3</v>
      </c>
      <c r="C6" s="9" t="s">
        <v>12</v>
      </c>
      <c r="D6" s="62">
        <v>0.72</v>
      </c>
      <c r="E6" s="126">
        <v>4.84</v>
      </c>
      <c r="F6" s="95">
        <v>13.19</v>
      </c>
      <c r="G6" s="126">
        <f t="shared" si="2"/>
        <v>-8.35</v>
      </c>
      <c r="H6" s="287">
        <v>6</v>
      </c>
      <c r="I6" s="282">
        <v>7.28</v>
      </c>
      <c r="J6" s="319">
        <f t="shared" si="3"/>
        <v>10.111111111111112</v>
      </c>
      <c r="K6" s="70">
        <f t="shared" si="0"/>
        <v>-1.2800000000000002</v>
      </c>
      <c r="L6" s="284">
        <f t="shared" si="1"/>
        <v>0.17582417582417587</v>
      </c>
      <c r="M6" s="279">
        <v>7</v>
      </c>
    </row>
    <row r="7" spans="1:23" x14ac:dyDescent="0.25">
      <c r="A7" s="71"/>
      <c r="B7" s="9" t="s">
        <v>3</v>
      </c>
      <c r="C7" s="9" t="s">
        <v>14</v>
      </c>
      <c r="D7" s="62">
        <v>2.39</v>
      </c>
      <c r="E7" s="126">
        <v>15.51</v>
      </c>
      <c r="F7" s="95">
        <v>15.96</v>
      </c>
      <c r="G7" s="126">
        <f t="shared" si="2"/>
        <v>-0.45000000000000107</v>
      </c>
      <c r="H7" s="70">
        <v>14</v>
      </c>
      <c r="I7" s="282">
        <v>15.76</v>
      </c>
      <c r="J7" s="319">
        <f t="shared" si="3"/>
        <v>6.5941422594142258</v>
      </c>
      <c r="K7" s="70">
        <f t="shared" si="0"/>
        <v>-1.7599999999999998</v>
      </c>
      <c r="L7" s="284">
        <f t="shared" si="1"/>
        <v>0.11167512690355329</v>
      </c>
      <c r="M7" s="279">
        <v>15</v>
      </c>
      <c r="N7" s="70">
        <v>13.3</v>
      </c>
      <c r="W7">
        <v>15</v>
      </c>
    </row>
    <row r="8" spans="1:23" x14ac:dyDescent="0.25">
      <c r="A8" s="71"/>
      <c r="B8" s="9" t="s">
        <v>3</v>
      </c>
      <c r="C8" s="9" t="s">
        <v>16</v>
      </c>
      <c r="D8" s="62">
        <v>2.35</v>
      </c>
      <c r="E8" s="126">
        <v>13.53</v>
      </c>
      <c r="F8" s="95">
        <v>14.05</v>
      </c>
      <c r="G8" s="126">
        <f t="shared" si="2"/>
        <v>-0.52000000000000135</v>
      </c>
      <c r="H8" s="70">
        <v>15</v>
      </c>
      <c r="I8" s="282">
        <v>13.97</v>
      </c>
      <c r="J8" s="319">
        <f t="shared" si="3"/>
        <v>5.94468085106383</v>
      </c>
      <c r="K8" s="70">
        <f t="shared" si="0"/>
        <v>1.0299999999999994</v>
      </c>
      <c r="L8" s="284">
        <f t="shared" si="1"/>
        <v>7.3729420186113045E-2</v>
      </c>
      <c r="M8" s="279">
        <v>14</v>
      </c>
      <c r="N8" s="70">
        <v>13.85</v>
      </c>
      <c r="W8">
        <v>14</v>
      </c>
    </row>
    <row r="9" spans="1:23" x14ac:dyDescent="0.25">
      <c r="A9" s="71"/>
      <c r="B9" s="9" t="s">
        <v>3</v>
      </c>
      <c r="C9" s="72" t="s">
        <v>150</v>
      </c>
      <c r="D9" s="62">
        <v>0.9</v>
      </c>
      <c r="E9" s="126">
        <v>11.45</v>
      </c>
      <c r="F9" s="95">
        <v>12.12</v>
      </c>
      <c r="G9" s="126">
        <f t="shared" si="2"/>
        <v>-0.66999999999999993</v>
      </c>
      <c r="H9" s="70">
        <v>3.3</v>
      </c>
      <c r="I9" s="282">
        <v>6.91</v>
      </c>
      <c r="J9" s="319">
        <f t="shared" si="3"/>
        <v>7.677777777777778</v>
      </c>
      <c r="K9" s="70">
        <f t="shared" si="0"/>
        <v>-3.6100000000000003</v>
      </c>
      <c r="L9" s="284">
        <f t="shared" si="1"/>
        <v>0.52243125904486254</v>
      </c>
      <c r="M9" s="279">
        <v>7</v>
      </c>
      <c r="N9" s="70">
        <v>19.18</v>
      </c>
      <c r="W9">
        <v>15</v>
      </c>
    </row>
    <row r="10" spans="1:23" x14ac:dyDescent="0.25">
      <c r="A10" s="71"/>
      <c r="B10" s="9"/>
      <c r="C10" s="72" t="s">
        <v>151</v>
      </c>
      <c r="D10" s="62">
        <v>0.9</v>
      </c>
      <c r="E10" s="126"/>
      <c r="F10" s="95"/>
      <c r="G10" s="126"/>
      <c r="H10" s="70">
        <v>5.7</v>
      </c>
      <c r="I10" s="282">
        <v>6.66</v>
      </c>
      <c r="J10" s="319">
        <f t="shared" si="3"/>
        <v>7.4</v>
      </c>
      <c r="K10" s="70">
        <f t="shared" si="0"/>
        <v>-0.96</v>
      </c>
      <c r="L10" s="284">
        <f t="shared" si="1"/>
        <v>0.14414414414414414</v>
      </c>
      <c r="M10" s="279">
        <v>7</v>
      </c>
      <c r="N10" s="70">
        <v>19.66</v>
      </c>
      <c r="W10">
        <v>15</v>
      </c>
    </row>
    <row r="11" spans="1:23" x14ac:dyDescent="0.25">
      <c r="A11" s="71"/>
      <c r="B11" s="9" t="s">
        <v>3</v>
      </c>
      <c r="C11" s="72" t="s">
        <v>152</v>
      </c>
      <c r="D11" s="62">
        <v>0.96</v>
      </c>
      <c r="E11" s="126">
        <v>10.74</v>
      </c>
      <c r="F11" s="95">
        <v>13.61</v>
      </c>
      <c r="G11" s="126">
        <f t="shared" si="2"/>
        <v>-2.8699999999999992</v>
      </c>
      <c r="H11" s="234">
        <v>3.8</v>
      </c>
      <c r="I11" s="282">
        <v>4.8499999999999996</v>
      </c>
      <c r="J11" s="319">
        <f t="shared" si="3"/>
        <v>5.052083333333333</v>
      </c>
      <c r="K11" s="70">
        <f>H11-I11</f>
        <v>-1.0499999999999998</v>
      </c>
      <c r="L11" s="284">
        <f t="shared" si="1"/>
        <v>0.21649484536082472</v>
      </c>
      <c r="M11" s="279">
        <v>5</v>
      </c>
      <c r="N11" s="70">
        <v>1.0900000000000001</v>
      </c>
    </row>
    <row r="12" spans="1:23" x14ac:dyDescent="0.25">
      <c r="A12" s="71"/>
      <c r="B12" s="9"/>
      <c r="C12" s="72" t="s">
        <v>153</v>
      </c>
      <c r="D12" s="62">
        <v>0.96</v>
      </c>
      <c r="E12" s="126"/>
      <c r="F12" s="95"/>
      <c r="G12" s="126"/>
      <c r="H12" s="234">
        <v>7.5</v>
      </c>
      <c r="I12" s="282">
        <v>6.87</v>
      </c>
      <c r="J12" s="319">
        <f t="shared" si="3"/>
        <v>7.15625</v>
      </c>
      <c r="K12" s="70">
        <f>H12-I12</f>
        <v>0.62999999999999989</v>
      </c>
      <c r="L12" s="284">
        <f t="shared" si="1"/>
        <v>9.170305676855893E-2</v>
      </c>
      <c r="M12" s="279">
        <v>7</v>
      </c>
    </row>
    <row r="13" spans="1:23" x14ac:dyDescent="0.25">
      <c r="A13" s="71"/>
      <c r="B13" s="9" t="s">
        <v>3</v>
      </c>
      <c r="C13" s="72" t="s">
        <v>154</v>
      </c>
      <c r="D13" s="62">
        <v>0.71499999999999997</v>
      </c>
      <c r="E13" s="126">
        <v>9.11</v>
      </c>
      <c r="F13" s="95">
        <v>9.8000000000000007</v>
      </c>
      <c r="G13" s="126">
        <f t="shared" si="2"/>
        <v>-0.69000000000000128</v>
      </c>
      <c r="H13" s="234">
        <v>2.5</v>
      </c>
      <c r="I13" s="282">
        <v>4.1900000000000004</v>
      </c>
      <c r="J13" s="319">
        <f t="shared" si="3"/>
        <v>5.8601398601398609</v>
      </c>
      <c r="K13" s="70">
        <f>H13-I13</f>
        <v>-1.6900000000000004</v>
      </c>
      <c r="L13" s="284">
        <f t="shared" si="1"/>
        <v>0.40334128878281628</v>
      </c>
      <c r="M13" s="279">
        <v>5</v>
      </c>
    </row>
    <row r="14" spans="1:23" x14ac:dyDescent="0.25">
      <c r="A14" s="71"/>
      <c r="B14" s="9"/>
      <c r="C14" s="72" t="s">
        <v>155</v>
      </c>
      <c r="D14" s="62">
        <v>0.71499999999999997</v>
      </c>
      <c r="E14" s="126"/>
      <c r="F14" s="95"/>
      <c r="G14" s="126"/>
      <c r="H14" s="234">
        <v>5.6</v>
      </c>
      <c r="I14" s="282">
        <v>8.25</v>
      </c>
      <c r="J14" s="319">
        <f t="shared" si="3"/>
        <v>11.538461538461538</v>
      </c>
      <c r="K14" s="70">
        <f>H14-I14</f>
        <v>-2.6500000000000004</v>
      </c>
      <c r="L14" s="284">
        <f t="shared" si="1"/>
        <v>0.32121212121212128</v>
      </c>
      <c r="M14" s="279">
        <v>8</v>
      </c>
    </row>
    <row r="15" spans="1:23" x14ac:dyDescent="0.25">
      <c r="A15" s="71"/>
      <c r="B15" s="9" t="s">
        <v>3</v>
      </c>
      <c r="C15" s="72" t="s">
        <v>156</v>
      </c>
      <c r="D15" s="62">
        <v>0.51500000000000001</v>
      </c>
      <c r="E15" s="126"/>
      <c r="F15" s="95"/>
      <c r="G15" s="126"/>
      <c r="H15" s="234">
        <v>2.9</v>
      </c>
      <c r="I15" s="260">
        <v>2.8</v>
      </c>
      <c r="J15" s="319">
        <f t="shared" si="3"/>
        <v>5.4368932038834945</v>
      </c>
      <c r="L15" s="284">
        <f t="shared" si="1"/>
        <v>3.5714285714285747E-2</v>
      </c>
      <c r="M15" s="279">
        <v>3</v>
      </c>
    </row>
    <row r="16" spans="1:23" x14ac:dyDescent="0.25">
      <c r="A16" s="71"/>
      <c r="C16" s="72" t="s">
        <v>157</v>
      </c>
      <c r="D16" s="62">
        <v>0.51500000000000001</v>
      </c>
      <c r="E16" s="126">
        <v>5</v>
      </c>
      <c r="F16" s="95">
        <v>3.91</v>
      </c>
      <c r="G16" s="126">
        <f t="shared" si="2"/>
        <v>1.0899999999999999</v>
      </c>
      <c r="H16" s="234">
        <v>2</v>
      </c>
      <c r="I16" s="282">
        <v>2.61</v>
      </c>
      <c r="J16" s="319">
        <f t="shared" si="3"/>
        <v>5.0679611650485432</v>
      </c>
      <c r="K16" s="70">
        <f t="shared" ref="K16:K28" si="4">H16-I16</f>
        <v>-0.60999999999999988</v>
      </c>
      <c r="L16" s="284">
        <f t="shared" si="1"/>
        <v>0.23371647509578541</v>
      </c>
      <c r="M16" s="279">
        <v>3</v>
      </c>
    </row>
    <row r="17" spans="1:23" x14ac:dyDescent="0.25">
      <c r="A17" s="71"/>
      <c r="B17" s="35" t="s">
        <v>84</v>
      </c>
      <c r="C17" s="9" t="s">
        <v>85</v>
      </c>
      <c r="D17" s="62">
        <v>0.85</v>
      </c>
      <c r="E17" s="112">
        <v>0</v>
      </c>
      <c r="F17" s="95">
        <v>2.0299999999999998</v>
      </c>
      <c r="G17" s="126">
        <f t="shared" si="2"/>
        <v>-2.0299999999999998</v>
      </c>
      <c r="H17" s="70">
        <v>2.7</v>
      </c>
      <c r="I17" s="282">
        <v>2.83</v>
      </c>
      <c r="J17" s="319">
        <f t="shared" si="3"/>
        <v>3.3294117647058825</v>
      </c>
      <c r="K17" s="70">
        <f t="shared" si="4"/>
        <v>-0.12999999999999989</v>
      </c>
      <c r="L17" s="284">
        <f t="shared" si="1"/>
        <v>4.5936395759717273E-2</v>
      </c>
      <c r="M17" s="279">
        <v>4</v>
      </c>
      <c r="N17" s="70">
        <v>4.84</v>
      </c>
      <c r="W17">
        <v>5</v>
      </c>
    </row>
    <row r="18" spans="1:23" x14ac:dyDescent="0.25">
      <c r="A18" s="71"/>
      <c r="B18" s="35" t="s">
        <v>86</v>
      </c>
      <c r="C18" s="9" t="s">
        <v>158</v>
      </c>
      <c r="D18" s="62">
        <v>1.1100000000000001</v>
      </c>
      <c r="E18" s="112"/>
      <c r="F18" s="95"/>
      <c r="G18" s="126"/>
      <c r="H18" s="70">
        <v>1</v>
      </c>
      <c r="I18" s="282">
        <v>1.36</v>
      </c>
      <c r="J18" s="319">
        <f t="shared" si="3"/>
        <v>1.2252252252252251</v>
      </c>
      <c r="K18" s="70">
        <f t="shared" si="4"/>
        <v>-0.3600000000000001</v>
      </c>
      <c r="L18" s="284">
        <f t="shared" si="1"/>
        <v>0.26470588235294124</v>
      </c>
      <c r="M18" s="279">
        <v>4</v>
      </c>
      <c r="N18" s="70">
        <v>3.93</v>
      </c>
      <c r="W18">
        <v>6</v>
      </c>
    </row>
    <row r="19" spans="1:23" x14ac:dyDescent="0.25">
      <c r="A19" s="71"/>
      <c r="B19" s="35" t="s">
        <v>189</v>
      </c>
      <c r="C19" s="9" t="s">
        <v>190</v>
      </c>
      <c r="D19" s="62">
        <v>10</v>
      </c>
      <c r="E19" s="112"/>
      <c r="F19" s="95"/>
      <c r="G19" s="126"/>
      <c r="J19" s="319"/>
      <c r="L19" s="284"/>
      <c r="M19" s="279">
        <v>30</v>
      </c>
      <c r="N19" s="70">
        <v>33.6</v>
      </c>
      <c r="W19">
        <v>50</v>
      </c>
    </row>
    <row r="20" spans="1:23" x14ac:dyDescent="0.25">
      <c r="A20" s="71"/>
      <c r="B20" s="35" t="s">
        <v>7</v>
      </c>
      <c r="C20" s="72" t="s">
        <v>110</v>
      </c>
      <c r="D20" s="127">
        <v>2</v>
      </c>
      <c r="E20" s="112">
        <v>0</v>
      </c>
      <c r="F20" s="95">
        <v>10.56</v>
      </c>
      <c r="G20" s="126">
        <f t="shared" si="2"/>
        <v>-10.56</v>
      </c>
      <c r="H20" s="290">
        <v>10</v>
      </c>
      <c r="I20" s="282">
        <v>14.28</v>
      </c>
      <c r="J20" s="319">
        <f t="shared" si="3"/>
        <v>7.14</v>
      </c>
      <c r="K20" s="70">
        <f t="shared" si="4"/>
        <v>-4.2799999999999994</v>
      </c>
      <c r="L20" s="284">
        <f t="shared" si="1"/>
        <v>0.29971988795518206</v>
      </c>
      <c r="M20" s="279">
        <v>12</v>
      </c>
      <c r="N20" s="70">
        <v>14.3</v>
      </c>
      <c r="W20">
        <v>14</v>
      </c>
    </row>
    <row r="21" spans="1:23" x14ac:dyDescent="0.25">
      <c r="A21" s="71"/>
      <c r="B21" s="35" t="s">
        <v>7</v>
      </c>
      <c r="C21" s="72" t="s">
        <v>111</v>
      </c>
      <c r="D21" s="127">
        <v>1.5</v>
      </c>
      <c r="E21" s="112">
        <v>0</v>
      </c>
      <c r="F21" s="95">
        <v>7.54</v>
      </c>
      <c r="G21" s="126">
        <f t="shared" si="2"/>
        <v>-7.54</v>
      </c>
      <c r="H21" s="290">
        <v>7.5</v>
      </c>
      <c r="I21" s="282">
        <v>7.76</v>
      </c>
      <c r="J21" s="319">
        <f t="shared" si="3"/>
        <v>5.1733333333333329</v>
      </c>
      <c r="K21" s="70">
        <f t="shared" si="4"/>
        <v>-0.25999999999999979</v>
      </c>
      <c r="L21" s="284">
        <f t="shared" si="1"/>
        <v>3.3505154639175229E-2</v>
      </c>
      <c r="M21" s="279">
        <v>8</v>
      </c>
      <c r="N21" s="70">
        <v>8.34</v>
      </c>
      <c r="W21">
        <v>8</v>
      </c>
    </row>
    <row r="22" spans="1:23" x14ac:dyDescent="0.25">
      <c r="A22" s="71"/>
      <c r="B22" s="35" t="s">
        <v>7</v>
      </c>
      <c r="C22" s="72" t="s">
        <v>100</v>
      </c>
      <c r="D22" s="127">
        <v>1.25</v>
      </c>
      <c r="E22" s="112">
        <v>0</v>
      </c>
      <c r="F22" s="95">
        <v>5.22</v>
      </c>
      <c r="G22" s="126">
        <f t="shared" si="2"/>
        <v>-5.22</v>
      </c>
      <c r="H22" s="290">
        <v>5</v>
      </c>
      <c r="I22" s="282">
        <v>6.27</v>
      </c>
      <c r="J22" s="319">
        <f t="shared" si="3"/>
        <v>5.016</v>
      </c>
      <c r="K22" s="70">
        <f t="shared" si="4"/>
        <v>-1.2699999999999996</v>
      </c>
      <c r="L22" s="284">
        <f t="shared" si="1"/>
        <v>0.20255183413078146</v>
      </c>
      <c r="M22" s="279">
        <v>0</v>
      </c>
    </row>
    <row r="23" spans="1:23" x14ac:dyDescent="0.25">
      <c r="A23" s="71"/>
      <c r="B23" s="35" t="s">
        <v>7</v>
      </c>
      <c r="C23" s="94" t="s">
        <v>114</v>
      </c>
      <c r="D23" s="127">
        <v>10.5</v>
      </c>
      <c r="E23" s="113">
        <v>0</v>
      </c>
      <c r="F23" s="97">
        <v>56.35</v>
      </c>
      <c r="G23" s="126">
        <f t="shared" si="2"/>
        <v>-56.35</v>
      </c>
      <c r="H23" s="290">
        <v>56.35</v>
      </c>
      <c r="I23" s="282">
        <v>57.71</v>
      </c>
      <c r="J23" s="319">
        <f t="shared" si="3"/>
        <v>5.4961904761904758</v>
      </c>
      <c r="K23" s="70">
        <f t="shared" si="4"/>
        <v>-1.3599999999999994</v>
      </c>
      <c r="L23" s="284">
        <f t="shared" si="1"/>
        <v>2.3566106394039152E-2</v>
      </c>
      <c r="M23" s="279">
        <v>50</v>
      </c>
      <c r="N23" s="70">
        <v>38.03</v>
      </c>
      <c r="W23">
        <v>50</v>
      </c>
    </row>
    <row r="24" spans="1:23" x14ac:dyDescent="0.25">
      <c r="A24" s="71"/>
      <c r="B24" s="35" t="s">
        <v>144</v>
      </c>
      <c r="C24" s="94" t="s">
        <v>122</v>
      </c>
      <c r="D24" s="127">
        <v>1.66</v>
      </c>
      <c r="E24" s="113"/>
      <c r="F24" s="97"/>
      <c r="G24" s="126"/>
      <c r="H24" s="290">
        <v>8</v>
      </c>
      <c r="I24" s="282">
        <v>8.98</v>
      </c>
      <c r="J24" s="319">
        <f t="shared" si="3"/>
        <v>5.4096385542168681</v>
      </c>
      <c r="K24" s="70">
        <f t="shared" si="4"/>
        <v>-0.98000000000000043</v>
      </c>
      <c r="L24" s="284">
        <f t="shared" si="1"/>
        <v>0.10913140311804014</v>
      </c>
      <c r="M24" s="279">
        <v>20</v>
      </c>
      <c r="N24" s="70">
        <v>24.34</v>
      </c>
    </row>
    <row r="25" spans="1:23" x14ac:dyDescent="0.25">
      <c r="A25" s="71"/>
      <c r="B25" s="12"/>
      <c r="C25" s="151" t="s">
        <v>115</v>
      </c>
      <c r="D25" s="152">
        <f>SUM(D4:D16)</f>
        <v>13.790000000000003</v>
      </c>
      <c r="E25" s="175">
        <f>SUM(E4:E16)</f>
        <v>79.75</v>
      </c>
      <c r="F25" s="176">
        <f>SUM(F4:F16)</f>
        <v>88.939999999999984</v>
      </c>
      <c r="G25" s="175">
        <f>E25-F25</f>
        <v>-9.1899999999999835</v>
      </c>
      <c r="H25" s="70">
        <f>SUM(H4:H17)</f>
        <v>84.399999999999991</v>
      </c>
      <c r="I25" s="282">
        <f>SUM(I4:I16)</f>
        <v>93.85</v>
      </c>
      <c r="J25" s="319"/>
      <c r="K25" s="70">
        <f t="shared" si="4"/>
        <v>-9.4500000000000028</v>
      </c>
      <c r="L25" s="300">
        <f t="shared" si="1"/>
        <v>0.10069259456579652</v>
      </c>
    </row>
    <row r="26" spans="1:23" x14ac:dyDescent="0.25">
      <c r="A26" s="71"/>
      <c r="B26" s="12"/>
      <c r="C26" s="92" t="s">
        <v>119</v>
      </c>
      <c r="D26" s="148">
        <v>1.96</v>
      </c>
      <c r="E26" s="177">
        <v>0</v>
      </c>
      <c r="F26" s="149">
        <v>2.0299999999999998</v>
      </c>
      <c r="G26" s="177">
        <f>E26-F26</f>
        <v>-2.0299999999999998</v>
      </c>
      <c r="H26" s="70">
        <f>SUM(H17:H18)</f>
        <v>3.7</v>
      </c>
      <c r="I26" s="282">
        <f>SUM(I17:I18)</f>
        <v>4.1900000000000004</v>
      </c>
      <c r="J26" s="319"/>
      <c r="K26" s="70">
        <f t="shared" si="4"/>
        <v>-0.49000000000000021</v>
      </c>
      <c r="L26" s="284">
        <f t="shared" si="1"/>
        <v>0.11694510739856806</v>
      </c>
    </row>
    <row r="27" spans="1:23" ht="15.75" thickBot="1" x14ac:dyDescent="0.3">
      <c r="A27" s="71"/>
      <c r="B27" s="69"/>
      <c r="C27" s="150" t="s">
        <v>117</v>
      </c>
      <c r="D27" s="178">
        <v>16.899999999999999</v>
      </c>
      <c r="E27" s="182">
        <v>101.3</v>
      </c>
      <c r="F27" s="183">
        <f>SUM(F20:F23)</f>
        <v>79.67</v>
      </c>
      <c r="G27" s="182">
        <f>E27-F27</f>
        <v>21.629999999999995</v>
      </c>
      <c r="H27" s="70">
        <f>SUM(H20:H23)</f>
        <v>78.849999999999994</v>
      </c>
      <c r="I27" s="260">
        <f>SUM(I20:I24)</f>
        <v>95</v>
      </c>
      <c r="J27" s="319"/>
      <c r="K27" s="70">
        <f t="shared" si="4"/>
        <v>-16.150000000000006</v>
      </c>
      <c r="L27" s="284">
        <f t="shared" si="1"/>
        <v>0.17000000000000007</v>
      </c>
    </row>
    <row r="28" spans="1:23" ht="15.75" thickTop="1" x14ac:dyDescent="0.25">
      <c r="A28" s="71"/>
      <c r="B28" s="69"/>
      <c r="C28" s="146" t="s">
        <v>118</v>
      </c>
      <c r="D28" s="460">
        <f t="shared" ref="D28:I28" si="5">SUM(D25:D27)</f>
        <v>32.650000000000006</v>
      </c>
      <c r="E28" s="461">
        <f t="shared" si="5"/>
        <v>181.05</v>
      </c>
      <c r="F28" s="461">
        <f t="shared" si="5"/>
        <v>170.64</v>
      </c>
      <c r="G28" s="149">
        <f t="shared" si="5"/>
        <v>10.410000000000013</v>
      </c>
      <c r="H28" s="70">
        <f t="shared" si="5"/>
        <v>166.95</v>
      </c>
      <c r="I28" s="315">
        <f t="shared" si="5"/>
        <v>193.04</v>
      </c>
      <c r="J28" s="443"/>
      <c r="K28" s="255">
        <f t="shared" si="4"/>
        <v>-26.090000000000003</v>
      </c>
      <c r="L28" s="447">
        <f t="shared" si="1"/>
        <v>0.13515333609614591</v>
      </c>
      <c r="M28" s="463">
        <f>SUM(M4:M24)</f>
        <v>223</v>
      </c>
      <c r="N28" s="255">
        <f>SUM(N4:N24)</f>
        <v>214.99000000000004</v>
      </c>
      <c r="O28" s="291"/>
      <c r="P28" s="255"/>
      <c r="Q28" s="291"/>
      <c r="R28" s="255"/>
      <c r="S28" s="291"/>
      <c r="T28" s="255"/>
      <c r="U28" s="291"/>
      <c r="V28" s="464">
        <f>SUM(N4:N27)</f>
        <v>214.99000000000004</v>
      </c>
      <c r="W28" s="484">
        <f>SUM(W4:W27)</f>
        <v>212</v>
      </c>
    </row>
    <row r="29" spans="1:23" x14ac:dyDescent="0.25">
      <c r="A29" s="3" t="s">
        <v>13</v>
      </c>
      <c r="B29" s="15"/>
      <c r="C29" s="15"/>
      <c r="D29" s="3"/>
      <c r="E29" s="99"/>
      <c r="F29" s="83"/>
      <c r="G29" s="118"/>
      <c r="J29" s="319"/>
      <c r="L29" s="298"/>
    </row>
    <row r="30" spans="1:23" x14ac:dyDescent="0.25">
      <c r="A30" s="71"/>
      <c r="B30" s="9" t="s">
        <v>3</v>
      </c>
      <c r="C30" s="9" t="s">
        <v>29</v>
      </c>
      <c r="D30" s="93">
        <v>4.32</v>
      </c>
      <c r="E30" s="126">
        <v>23.12</v>
      </c>
      <c r="F30" s="97">
        <v>36.31</v>
      </c>
      <c r="G30" s="126">
        <f>E30-F30</f>
        <v>-13.190000000000001</v>
      </c>
      <c r="H30" s="286">
        <v>36</v>
      </c>
      <c r="I30" s="282">
        <v>36.72</v>
      </c>
      <c r="J30" s="319">
        <f t="shared" si="3"/>
        <v>8.5</v>
      </c>
      <c r="K30" s="70">
        <f t="shared" ref="K30:K39" si="6">H30-I30</f>
        <v>-0.71999999999999886</v>
      </c>
      <c r="L30" s="284">
        <f t="shared" ref="L30:L39" si="7">(ABS(H30-I30))/I30</f>
        <v>1.960784313725487E-2</v>
      </c>
      <c r="M30" s="279">
        <v>36</v>
      </c>
      <c r="N30" s="70">
        <v>43.1</v>
      </c>
      <c r="W30">
        <v>40</v>
      </c>
    </row>
    <row r="31" spans="1:23" x14ac:dyDescent="0.25">
      <c r="A31" s="71"/>
      <c r="B31" s="9" t="s">
        <v>3</v>
      </c>
      <c r="C31" s="9" t="s">
        <v>31</v>
      </c>
      <c r="D31" s="93">
        <v>1.92</v>
      </c>
      <c r="E31" s="126">
        <v>8.64</v>
      </c>
      <c r="F31" s="97">
        <v>17.260000000000002</v>
      </c>
      <c r="G31" s="126">
        <f t="shared" ref="G31:G36" si="8">E31-F31</f>
        <v>-8.620000000000001</v>
      </c>
      <c r="H31" s="286">
        <v>16</v>
      </c>
      <c r="I31" s="282">
        <v>13.52</v>
      </c>
      <c r="J31" s="319">
        <f t="shared" si="3"/>
        <v>7.041666666666667</v>
      </c>
      <c r="K31" s="70">
        <f t="shared" si="6"/>
        <v>2.4800000000000004</v>
      </c>
      <c r="L31" s="284">
        <f t="shared" si="7"/>
        <v>0.18343195266272194</v>
      </c>
      <c r="M31" s="279">
        <v>15</v>
      </c>
      <c r="N31" s="70">
        <v>14.85</v>
      </c>
      <c r="W31">
        <v>15</v>
      </c>
    </row>
    <row r="32" spans="1:23" x14ac:dyDescent="0.25">
      <c r="A32" s="71"/>
      <c r="B32" s="9" t="s">
        <v>86</v>
      </c>
      <c r="C32" s="9" t="s">
        <v>32</v>
      </c>
      <c r="D32" s="39">
        <v>3.29</v>
      </c>
      <c r="E32" s="126">
        <v>22.68</v>
      </c>
      <c r="F32" s="95">
        <v>38.07</v>
      </c>
      <c r="G32" s="126">
        <f t="shared" si="8"/>
        <v>-15.39</v>
      </c>
      <c r="H32" s="234">
        <v>27.8</v>
      </c>
      <c r="I32" s="282">
        <v>19.64</v>
      </c>
      <c r="J32" s="319">
        <f t="shared" si="3"/>
        <v>5.9696048632218845</v>
      </c>
      <c r="K32" s="70">
        <f t="shared" si="6"/>
        <v>8.16</v>
      </c>
      <c r="L32" s="284">
        <f t="shared" si="7"/>
        <v>0.41547861507128309</v>
      </c>
      <c r="M32" s="279">
        <v>20</v>
      </c>
      <c r="N32" s="70">
        <v>0.23</v>
      </c>
    </row>
    <row r="33" spans="1:23" x14ac:dyDescent="0.25">
      <c r="A33" s="71"/>
      <c r="B33" s="9"/>
      <c r="C33" s="9" t="s">
        <v>187</v>
      </c>
      <c r="D33" s="39"/>
      <c r="E33" s="126"/>
      <c r="F33" s="95"/>
      <c r="G33" s="126"/>
      <c r="H33" s="234"/>
      <c r="J33" s="319"/>
      <c r="L33" s="284"/>
      <c r="N33" s="70">
        <v>10.43</v>
      </c>
      <c r="W33">
        <v>10</v>
      </c>
    </row>
    <row r="34" spans="1:23" x14ac:dyDescent="0.25">
      <c r="A34" s="71"/>
      <c r="B34" s="9"/>
      <c r="C34" s="9" t="s">
        <v>188</v>
      </c>
      <c r="D34" s="39"/>
      <c r="E34" s="126"/>
      <c r="F34" s="95"/>
      <c r="G34" s="126"/>
      <c r="H34" s="234"/>
      <c r="J34" s="319"/>
      <c r="L34" s="284"/>
      <c r="N34" s="70">
        <v>20.13</v>
      </c>
      <c r="W34">
        <v>20</v>
      </c>
    </row>
    <row r="35" spans="1:23" x14ac:dyDescent="0.25">
      <c r="A35" s="71"/>
      <c r="B35" s="9" t="s">
        <v>84</v>
      </c>
      <c r="C35" s="9" t="s">
        <v>88</v>
      </c>
      <c r="D35" s="39">
        <v>5.48</v>
      </c>
      <c r="E35" s="128">
        <v>0</v>
      </c>
      <c r="F35" s="95">
        <v>13.82</v>
      </c>
      <c r="G35" s="126">
        <f t="shared" si="8"/>
        <v>-13.82</v>
      </c>
      <c r="H35" s="287">
        <v>14</v>
      </c>
      <c r="I35" s="282">
        <v>13.2</v>
      </c>
      <c r="J35" s="319">
        <f t="shared" si="3"/>
        <v>2.4087591240875907</v>
      </c>
      <c r="K35" s="70">
        <f t="shared" si="6"/>
        <v>0.80000000000000071</v>
      </c>
      <c r="L35" s="284">
        <f t="shared" si="7"/>
        <v>6.0606060606060663E-2</v>
      </c>
      <c r="M35" s="279">
        <v>15</v>
      </c>
      <c r="N35" s="70">
        <v>56.75</v>
      </c>
      <c r="W35">
        <v>50</v>
      </c>
    </row>
    <row r="36" spans="1:23" x14ac:dyDescent="0.25">
      <c r="A36" s="71"/>
      <c r="B36" s="12"/>
      <c r="C36" s="151" t="s">
        <v>115</v>
      </c>
      <c r="D36" s="159">
        <f>SUM(D30:D31)</f>
        <v>6.24</v>
      </c>
      <c r="E36" s="161">
        <f>SUM(E30:E31)</f>
        <v>31.76</v>
      </c>
      <c r="F36" s="162">
        <f>SUM(F30:F31)</f>
        <v>53.570000000000007</v>
      </c>
      <c r="G36" s="161">
        <f t="shared" si="8"/>
        <v>-21.810000000000006</v>
      </c>
      <c r="H36" s="70">
        <f>SUM(H30:H31)</f>
        <v>52</v>
      </c>
      <c r="I36" s="282">
        <f>SUM(I30:I31)</f>
        <v>50.239999999999995</v>
      </c>
      <c r="J36" s="319"/>
      <c r="K36" s="70">
        <f t="shared" si="6"/>
        <v>1.7600000000000051</v>
      </c>
      <c r="L36" s="284">
        <f t="shared" si="7"/>
        <v>3.5031847133758065E-2</v>
      </c>
    </row>
    <row r="37" spans="1:23" x14ac:dyDescent="0.25">
      <c r="A37" s="71"/>
      <c r="B37" s="12"/>
      <c r="C37" s="71" t="s">
        <v>120</v>
      </c>
      <c r="D37" s="134">
        <f>SUM(D32:D35)</f>
        <v>8.77</v>
      </c>
      <c r="E37" s="165">
        <f>SUM(E32)</f>
        <v>22.68</v>
      </c>
      <c r="F37" s="166">
        <f>SUM(F32)</f>
        <v>38.07</v>
      </c>
      <c r="G37" s="171">
        <f>E37-F37</f>
        <v>-15.39</v>
      </c>
      <c r="H37" s="70">
        <f>SUM(H32:H35)</f>
        <v>41.8</v>
      </c>
      <c r="I37" s="282">
        <f>SUM(I32:I35)</f>
        <v>32.840000000000003</v>
      </c>
      <c r="J37" s="319"/>
      <c r="K37" s="70">
        <f t="shared" si="6"/>
        <v>8.9599999999999937</v>
      </c>
      <c r="L37" s="284">
        <f t="shared" si="7"/>
        <v>0.27283800243605338</v>
      </c>
    </row>
    <row r="38" spans="1:23" ht="15.75" thickBot="1" x14ac:dyDescent="0.3">
      <c r="A38" s="71"/>
      <c r="B38" s="69"/>
      <c r="C38" s="156" t="s">
        <v>117</v>
      </c>
      <c r="D38" s="167">
        <v>0</v>
      </c>
      <c r="E38" s="169">
        <v>0</v>
      </c>
      <c r="F38" s="170">
        <v>13.82</v>
      </c>
      <c r="G38" s="169">
        <f t="shared" ref="G38" si="9">E38-F38</f>
        <v>-13.82</v>
      </c>
      <c r="H38" s="70">
        <v>0</v>
      </c>
      <c r="I38" s="282">
        <v>0</v>
      </c>
      <c r="J38" s="319"/>
      <c r="K38" s="70">
        <f t="shared" si="6"/>
        <v>0</v>
      </c>
      <c r="L38" s="284" t="e">
        <f t="shared" si="7"/>
        <v>#DIV/0!</v>
      </c>
    </row>
    <row r="39" spans="1:23" ht="15.75" thickTop="1" x14ac:dyDescent="0.25">
      <c r="A39" s="71"/>
      <c r="B39" s="69"/>
      <c r="C39" s="79" t="s">
        <v>118</v>
      </c>
      <c r="D39" s="458">
        <f>SUM(D36:D38)</f>
        <v>15.01</v>
      </c>
      <c r="E39" s="459">
        <f>SUM(E36:E38)</f>
        <v>54.44</v>
      </c>
      <c r="F39" s="158">
        <f>SUM(F36:F38)</f>
        <v>105.46000000000001</v>
      </c>
      <c r="G39" s="171">
        <f>E39-F39</f>
        <v>-51.02000000000001</v>
      </c>
      <c r="H39" s="70">
        <f>SUM(H36:H37)</f>
        <v>93.8</v>
      </c>
      <c r="I39" s="315">
        <f>SUM(I36:I37)</f>
        <v>83.08</v>
      </c>
      <c r="J39" s="443"/>
      <c r="K39" s="255">
        <f t="shared" si="6"/>
        <v>10.719999999999999</v>
      </c>
      <c r="L39" s="447">
        <f t="shared" si="7"/>
        <v>0.12903225806451613</v>
      </c>
      <c r="M39" s="464">
        <f>SUM(M30:M35)</f>
        <v>86</v>
      </c>
      <c r="N39" s="255"/>
      <c r="O39" s="291"/>
      <c r="P39" s="255"/>
      <c r="Q39" s="291"/>
      <c r="R39" s="255"/>
      <c r="S39" s="291"/>
      <c r="T39" s="255"/>
      <c r="U39" s="291"/>
      <c r="V39" s="464">
        <f>SUM(N30:N35)</f>
        <v>145.49</v>
      </c>
      <c r="W39" s="484">
        <f>SUM(W30:W38)</f>
        <v>135</v>
      </c>
    </row>
    <row r="40" spans="1:23" x14ac:dyDescent="0.25">
      <c r="A40" s="3" t="s">
        <v>15</v>
      </c>
      <c r="B40" s="15"/>
      <c r="C40" s="3"/>
      <c r="D40" s="37"/>
      <c r="E40" s="99"/>
      <c r="F40" s="83"/>
      <c r="G40" s="118"/>
      <c r="J40" s="319"/>
      <c r="L40" s="299"/>
    </row>
    <row r="41" spans="1:23" x14ac:dyDescent="0.25">
      <c r="A41" s="71"/>
      <c r="B41" s="9" t="s">
        <v>3</v>
      </c>
      <c r="C41" s="9" t="s">
        <v>36</v>
      </c>
      <c r="D41" s="39">
        <v>4.04</v>
      </c>
      <c r="E41" s="126">
        <v>23.62</v>
      </c>
      <c r="F41" s="95">
        <v>20.239999999999998</v>
      </c>
      <c r="G41" s="126">
        <f>E41-F41</f>
        <v>3.3800000000000026</v>
      </c>
      <c r="H41" s="70">
        <v>16.2</v>
      </c>
      <c r="I41" s="282">
        <v>26.77</v>
      </c>
      <c r="J41" s="319">
        <f t="shared" si="3"/>
        <v>6.6262376237623757</v>
      </c>
      <c r="K41" s="70">
        <f>H41-I41</f>
        <v>-10.57</v>
      </c>
      <c r="L41" s="301">
        <f>(ABS(H41-I41))/I41</f>
        <v>0.39484497571908855</v>
      </c>
      <c r="M41" s="279">
        <v>26</v>
      </c>
      <c r="N41" s="70">
        <v>25.52</v>
      </c>
      <c r="W41">
        <v>25</v>
      </c>
    </row>
    <row r="42" spans="1:23" x14ac:dyDescent="0.25">
      <c r="A42" s="71"/>
      <c r="B42" s="9" t="s">
        <v>86</v>
      </c>
      <c r="C42" s="9" t="s">
        <v>37</v>
      </c>
      <c r="D42" s="39">
        <v>5.04</v>
      </c>
      <c r="E42" s="126">
        <v>27.94</v>
      </c>
      <c r="F42" s="95">
        <v>29.95</v>
      </c>
      <c r="G42" s="126">
        <f t="shared" ref="G42:G47" si="10">E42-F42</f>
        <v>-2.009999999999998</v>
      </c>
      <c r="H42" s="70">
        <v>30.1</v>
      </c>
      <c r="I42" s="282">
        <v>32.630000000000003</v>
      </c>
      <c r="J42" s="319">
        <f t="shared" si="3"/>
        <v>6.4742063492063497</v>
      </c>
      <c r="K42" s="70">
        <f>H42-I42</f>
        <v>-2.5300000000000011</v>
      </c>
      <c r="L42" s="284">
        <f>(ABS(H42-I42))/I42</f>
        <v>7.7536009806926168E-2</v>
      </c>
      <c r="M42" s="279">
        <v>32</v>
      </c>
      <c r="N42" s="70">
        <v>27.26</v>
      </c>
      <c r="W42">
        <v>25</v>
      </c>
    </row>
    <row r="43" spans="1:23" x14ac:dyDescent="0.25">
      <c r="A43" s="71"/>
      <c r="B43" s="9" t="s">
        <v>6</v>
      </c>
      <c r="C43" s="9" t="s">
        <v>38</v>
      </c>
      <c r="D43" s="39">
        <v>1.65</v>
      </c>
      <c r="E43" s="126">
        <v>14.07</v>
      </c>
      <c r="F43" s="95">
        <v>12.07</v>
      </c>
      <c r="G43" s="126">
        <f t="shared" si="10"/>
        <v>2</v>
      </c>
      <c r="H43" s="287">
        <v>12</v>
      </c>
      <c r="I43" s="282">
        <v>12.47</v>
      </c>
      <c r="J43" s="319">
        <f t="shared" si="3"/>
        <v>7.5575757575757585</v>
      </c>
      <c r="K43" s="70">
        <f>H43-I43</f>
        <v>-0.47000000000000064</v>
      </c>
      <c r="L43" s="284">
        <f>(ABS(H43-I43))/I43</f>
        <v>3.7690457097032927E-2</v>
      </c>
      <c r="M43" s="279">
        <v>12</v>
      </c>
      <c r="N43" s="70">
        <v>14.53</v>
      </c>
      <c r="W43">
        <v>12</v>
      </c>
    </row>
    <row r="44" spans="1:23" x14ac:dyDescent="0.25">
      <c r="A44" s="71"/>
      <c r="B44" s="12"/>
      <c r="C44" s="151" t="s">
        <v>115</v>
      </c>
      <c r="D44" s="163">
        <f>SUM(D41,D43)</f>
        <v>5.6899999999999995</v>
      </c>
      <c r="E44" s="161">
        <f>SUM(E41,E43)</f>
        <v>37.69</v>
      </c>
      <c r="F44" s="222">
        <f>SUM(F41,F43)</f>
        <v>32.31</v>
      </c>
      <c r="G44" s="161">
        <f t="shared" si="10"/>
        <v>5.3799999999999955</v>
      </c>
      <c r="H44" s="70">
        <f>SUM(H41,H43)</f>
        <v>28.2</v>
      </c>
      <c r="I44" s="282">
        <f>SUM(I41,I43)</f>
        <v>39.24</v>
      </c>
      <c r="J44" s="319"/>
      <c r="K44" s="70">
        <f>H44-I44</f>
        <v>-11.040000000000003</v>
      </c>
      <c r="L44" s="284">
        <f>(ABS(H44-I44))/I44</f>
        <v>0.28134556574923553</v>
      </c>
    </row>
    <row r="45" spans="1:23" x14ac:dyDescent="0.25">
      <c r="A45" s="71"/>
      <c r="B45" s="12"/>
      <c r="C45" s="71" t="s">
        <v>119</v>
      </c>
      <c r="D45" s="158">
        <v>5.04</v>
      </c>
      <c r="E45" s="165">
        <v>27.94</v>
      </c>
      <c r="F45" s="149">
        <v>29.95</v>
      </c>
      <c r="G45" s="171">
        <f t="shared" si="10"/>
        <v>-2.009999999999998</v>
      </c>
      <c r="H45" s="70">
        <f>H42</f>
        <v>30.1</v>
      </c>
      <c r="I45" s="282">
        <f>I42</f>
        <v>32.630000000000003</v>
      </c>
      <c r="J45" s="319"/>
      <c r="K45" s="70">
        <f>H45-I45</f>
        <v>-2.5300000000000011</v>
      </c>
      <c r="L45" s="284">
        <f>(ABS(H45-I45))/I45</f>
        <v>7.7536009806926168E-2</v>
      </c>
    </row>
    <row r="46" spans="1:23" ht="15.75" thickBot="1" x14ac:dyDescent="0.3">
      <c r="A46" s="71"/>
      <c r="B46" s="69"/>
      <c r="C46" s="156" t="s">
        <v>117</v>
      </c>
      <c r="D46" s="170">
        <v>0</v>
      </c>
      <c r="E46" s="169">
        <v>0</v>
      </c>
      <c r="F46" s="170">
        <v>0</v>
      </c>
      <c r="G46" s="169">
        <f t="shared" si="10"/>
        <v>0</v>
      </c>
      <c r="H46" s="70">
        <v>0</v>
      </c>
      <c r="I46" s="282">
        <v>0</v>
      </c>
      <c r="J46" s="319"/>
      <c r="L46" s="299"/>
    </row>
    <row r="47" spans="1:23" ht="15.75" thickTop="1" x14ac:dyDescent="0.25">
      <c r="A47" s="71"/>
      <c r="B47" s="69"/>
      <c r="C47" s="79" t="s">
        <v>118</v>
      </c>
      <c r="D47" s="458">
        <f>SUM(D44:D46)</f>
        <v>10.73</v>
      </c>
      <c r="E47" s="458">
        <f>SUM(E44:E46)</f>
        <v>65.63</v>
      </c>
      <c r="F47" s="465">
        <f>SUM(F44:F46)</f>
        <v>62.260000000000005</v>
      </c>
      <c r="G47" s="230">
        <f t="shared" si="10"/>
        <v>3.3699999999999903</v>
      </c>
      <c r="H47" s="255">
        <f>SUM(H44:H46)</f>
        <v>58.3</v>
      </c>
      <c r="I47" s="315">
        <f>SUM(I44:I46)</f>
        <v>71.87</v>
      </c>
      <c r="J47" s="443"/>
      <c r="K47" s="255">
        <f>H47-I47</f>
        <v>-13.570000000000007</v>
      </c>
      <c r="L47" s="447">
        <f>(ABS(H47-I47))/I47</f>
        <v>0.18881313482677065</v>
      </c>
      <c r="M47" s="464">
        <f>SUM(M41:M43)</f>
        <v>70</v>
      </c>
      <c r="N47" s="25"/>
      <c r="O47" s="478"/>
      <c r="P47" s="25"/>
      <c r="Q47" s="478"/>
      <c r="R47" s="25"/>
      <c r="S47" s="478"/>
      <c r="T47" s="25"/>
      <c r="U47" s="478"/>
      <c r="V47" s="464">
        <f>SUM(N41:N46)</f>
        <v>67.31</v>
      </c>
      <c r="W47" s="484">
        <f>SUM(W41:W46)</f>
        <v>62</v>
      </c>
    </row>
    <row r="48" spans="1:23" x14ac:dyDescent="0.25">
      <c r="A48" s="3" t="s">
        <v>17</v>
      </c>
      <c r="B48" s="15"/>
      <c r="C48" s="3"/>
      <c r="D48" s="37"/>
      <c r="E48" s="99"/>
      <c r="F48" s="65"/>
      <c r="G48" s="111"/>
      <c r="J48" s="319"/>
      <c r="L48" s="299"/>
    </row>
    <row r="49" spans="1:23" x14ac:dyDescent="0.25">
      <c r="A49" s="71"/>
      <c r="B49" s="9" t="s">
        <v>3</v>
      </c>
      <c r="C49" s="9" t="s">
        <v>39</v>
      </c>
      <c r="D49" s="62">
        <v>1.89</v>
      </c>
      <c r="E49" s="126">
        <v>8.3699999999999992</v>
      </c>
      <c r="F49" s="95">
        <v>9.23</v>
      </c>
      <c r="G49" s="126">
        <f>E49-F49</f>
        <v>-0.86000000000000121</v>
      </c>
      <c r="H49" s="286">
        <v>9</v>
      </c>
      <c r="I49" s="282">
        <v>10.07</v>
      </c>
      <c r="J49" s="319">
        <f t="shared" si="3"/>
        <v>5.3280423280423284</v>
      </c>
      <c r="K49" s="70">
        <f>H49-I49</f>
        <v>-1.0700000000000003</v>
      </c>
      <c r="L49" s="284">
        <f>(ABS(H49-I49))/I49</f>
        <v>0.10625620655412117</v>
      </c>
      <c r="M49" s="279">
        <v>10</v>
      </c>
      <c r="N49" s="70">
        <v>7.22</v>
      </c>
      <c r="W49">
        <v>8</v>
      </c>
    </row>
    <row r="50" spans="1:23" x14ac:dyDescent="0.25">
      <c r="A50" s="71"/>
      <c r="B50" s="9" t="s">
        <v>86</v>
      </c>
      <c r="C50" s="9" t="s">
        <v>31</v>
      </c>
      <c r="D50" s="62">
        <v>0.57999999999999996</v>
      </c>
      <c r="E50" s="126">
        <v>3.04</v>
      </c>
      <c r="F50" s="95">
        <v>2.68</v>
      </c>
      <c r="G50" s="126">
        <f t="shared" ref="G50:G62" si="11">E50-F50</f>
        <v>0.35999999999999988</v>
      </c>
      <c r="H50" s="286">
        <v>3</v>
      </c>
      <c r="I50" s="282">
        <v>3.99</v>
      </c>
      <c r="J50" s="319">
        <f t="shared" si="3"/>
        <v>6.8793103448275872</v>
      </c>
      <c r="K50" s="70">
        <f>H50-I50</f>
        <v>-0.99000000000000021</v>
      </c>
      <c r="L50" s="284">
        <f>(ABS(H50-I50))/I50</f>
        <v>0.24812030075187974</v>
      </c>
      <c r="M50" s="279">
        <v>3</v>
      </c>
      <c r="N50" s="70">
        <v>3.81</v>
      </c>
      <c r="W50">
        <v>3</v>
      </c>
    </row>
    <row r="51" spans="1:23" x14ac:dyDescent="0.25">
      <c r="A51" s="71"/>
      <c r="B51" s="72" t="s">
        <v>4</v>
      </c>
      <c r="C51" s="9" t="s">
        <v>40</v>
      </c>
      <c r="D51" s="62">
        <v>9.11</v>
      </c>
      <c r="E51" s="126">
        <v>21.02</v>
      </c>
      <c r="F51" s="95">
        <v>31.83</v>
      </c>
      <c r="G51" s="126">
        <f t="shared" si="11"/>
        <v>-10.809999999999999</v>
      </c>
      <c r="H51" s="290">
        <v>25</v>
      </c>
      <c r="I51" s="282">
        <v>22.92</v>
      </c>
      <c r="J51" s="319">
        <f t="shared" si="3"/>
        <v>2.5159165751920969</v>
      </c>
      <c r="K51" s="70">
        <f>H51-I51</f>
        <v>2.0799999999999983</v>
      </c>
      <c r="L51" s="284">
        <f>(ABS(H51-I51))/I51</f>
        <v>9.0750436300174445E-2</v>
      </c>
      <c r="M51" s="279">
        <v>22</v>
      </c>
      <c r="N51" s="70">
        <v>31.27</v>
      </c>
      <c r="W51">
        <v>25</v>
      </c>
    </row>
    <row r="52" spans="1:23" x14ac:dyDescent="0.25">
      <c r="A52" s="71"/>
      <c r="B52" s="9" t="s">
        <v>89</v>
      </c>
      <c r="C52" s="9" t="s">
        <v>90</v>
      </c>
      <c r="D52" s="62">
        <v>7.34</v>
      </c>
      <c r="E52" s="126">
        <v>51.91</v>
      </c>
      <c r="F52" s="95">
        <v>41.95</v>
      </c>
      <c r="G52" s="126">
        <f t="shared" si="11"/>
        <v>9.9599999999999937</v>
      </c>
      <c r="H52" s="287">
        <v>38</v>
      </c>
      <c r="I52" s="282">
        <v>46.96</v>
      </c>
      <c r="J52" s="319">
        <f t="shared" si="3"/>
        <v>6.3978201634877383</v>
      </c>
      <c r="K52" s="70">
        <f>H52-I52</f>
        <v>-8.9600000000000009</v>
      </c>
      <c r="L52" s="284">
        <f>(ABS(H52-I52))/I52</f>
        <v>0.19080068143100512</v>
      </c>
      <c r="M52" s="279">
        <v>45</v>
      </c>
      <c r="N52" s="70">
        <v>53.62</v>
      </c>
      <c r="W52">
        <v>45</v>
      </c>
    </row>
    <row r="53" spans="1:23" x14ac:dyDescent="0.25">
      <c r="A53" s="1"/>
      <c r="B53" s="18" t="s">
        <v>7</v>
      </c>
      <c r="C53" s="18" t="s">
        <v>41</v>
      </c>
      <c r="D53" s="129">
        <v>2</v>
      </c>
      <c r="E53" s="140">
        <v>5.38</v>
      </c>
      <c r="F53" s="97">
        <v>7.8</v>
      </c>
      <c r="G53" s="126">
        <f t="shared" si="11"/>
        <v>-2.42</v>
      </c>
      <c r="H53" s="290">
        <v>8</v>
      </c>
      <c r="I53" s="282">
        <v>8.5</v>
      </c>
      <c r="J53" s="319">
        <f t="shared" si="3"/>
        <v>4.25</v>
      </c>
      <c r="L53" s="299"/>
      <c r="M53" s="279">
        <v>8</v>
      </c>
      <c r="N53" s="70">
        <v>11.33</v>
      </c>
    </row>
    <row r="54" spans="1:23" x14ac:dyDescent="0.25">
      <c r="A54" s="71"/>
      <c r="B54" s="18" t="s">
        <v>7</v>
      </c>
      <c r="C54" s="18" t="s">
        <v>42</v>
      </c>
      <c r="D54" s="129">
        <v>2</v>
      </c>
      <c r="E54" s="140">
        <v>2.4</v>
      </c>
      <c r="F54" s="97">
        <v>8.4</v>
      </c>
      <c r="G54" s="126">
        <f t="shared" si="11"/>
        <v>-6</v>
      </c>
      <c r="H54" s="290">
        <v>8</v>
      </c>
      <c r="I54" s="282">
        <v>12.64</v>
      </c>
      <c r="J54" s="319">
        <f t="shared" si="3"/>
        <v>6.32</v>
      </c>
      <c r="K54" s="70">
        <f>H54-I54</f>
        <v>-4.6400000000000006</v>
      </c>
      <c r="L54" s="284">
        <f t="shared" ref="L54:L62" si="12">(ABS(H54-I54))/I54</f>
        <v>0.36708860759493672</v>
      </c>
      <c r="M54" s="279">
        <v>8</v>
      </c>
      <c r="N54" s="70">
        <v>12.47</v>
      </c>
      <c r="W54">
        <v>12</v>
      </c>
    </row>
    <row r="55" spans="1:23" x14ac:dyDescent="0.25">
      <c r="A55" s="71"/>
      <c r="B55" s="18" t="s">
        <v>7</v>
      </c>
      <c r="C55" s="18" t="s">
        <v>43</v>
      </c>
      <c r="D55" s="129">
        <v>4</v>
      </c>
      <c r="E55" s="140">
        <v>24.55</v>
      </c>
      <c r="F55" s="97">
        <v>16.86</v>
      </c>
      <c r="G55" s="126">
        <f t="shared" si="11"/>
        <v>7.6900000000000013</v>
      </c>
      <c r="H55" s="290">
        <v>16</v>
      </c>
      <c r="I55" s="282">
        <v>26.79</v>
      </c>
      <c r="J55" s="319">
        <f t="shared" si="3"/>
        <v>6.6974999999999998</v>
      </c>
      <c r="K55" s="70">
        <f>H55-I55</f>
        <v>-10.79</v>
      </c>
      <c r="L55" s="284">
        <f t="shared" si="12"/>
        <v>0.40276222471071293</v>
      </c>
      <c r="M55" s="279">
        <v>25</v>
      </c>
      <c r="N55" s="70">
        <v>19.97</v>
      </c>
      <c r="W55">
        <v>20</v>
      </c>
    </row>
    <row r="56" spans="1:23" x14ac:dyDescent="0.25">
      <c r="A56" s="71"/>
      <c r="B56" s="18" t="s">
        <v>7</v>
      </c>
      <c r="C56" s="18" t="s">
        <v>91</v>
      </c>
      <c r="D56" s="129">
        <v>4.25</v>
      </c>
      <c r="E56" s="140">
        <v>14.49</v>
      </c>
      <c r="F56" s="97">
        <v>17.53</v>
      </c>
      <c r="G56" s="126">
        <f t="shared" si="11"/>
        <v>-3.0400000000000009</v>
      </c>
      <c r="H56" s="290">
        <v>15</v>
      </c>
      <c r="I56" s="282">
        <v>20.67</v>
      </c>
      <c r="J56" s="319">
        <f t="shared" si="3"/>
        <v>4.8635294117647065</v>
      </c>
      <c r="K56" s="70">
        <f>H56-I56</f>
        <v>-5.6700000000000017</v>
      </c>
      <c r="L56" s="284">
        <f t="shared" si="12"/>
        <v>0.27431059506531208</v>
      </c>
      <c r="M56" s="279">
        <v>18</v>
      </c>
      <c r="N56" s="70">
        <v>21.13</v>
      </c>
      <c r="W56">
        <v>20</v>
      </c>
    </row>
    <row r="57" spans="1:23" x14ac:dyDescent="0.25">
      <c r="A57" s="71"/>
      <c r="B57" s="18" t="s">
        <v>7</v>
      </c>
      <c r="C57" s="72" t="s">
        <v>99</v>
      </c>
      <c r="D57" s="129">
        <v>3</v>
      </c>
      <c r="E57" s="113">
        <v>0</v>
      </c>
      <c r="F57" s="95">
        <v>16.14</v>
      </c>
      <c r="G57" s="126">
        <f t="shared" si="11"/>
        <v>-16.14</v>
      </c>
      <c r="H57" s="290">
        <v>16</v>
      </c>
      <c r="I57" s="282">
        <v>16.84</v>
      </c>
      <c r="J57" s="319">
        <f t="shared" si="3"/>
        <v>5.6133333333333333</v>
      </c>
      <c r="L57" s="284">
        <f t="shared" si="12"/>
        <v>4.9881235154394292E-2</v>
      </c>
      <c r="M57" s="279">
        <v>16</v>
      </c>
      <c r="N57" s="70">
        <v>17.47</v>
      </c>
    </row>
    <row r="58" spans="1:23" x14ac:dyDescent="0.25">
      <c r="A58" s="71"/>
      <c r="B58" s="18" t="s">
        <v>7</v>
      </c>
      <c r="C58" s="72" t="s">
        <v>100</v>
      </c>
      <c r="D58" s="129">
        <v>6.5</v>
      </c>
      <c r="E58" s="113">
        <v>0</v>
      </c>
      <c r="F58" s="95">
        <v>15.06</v>
      </c>
      <c r="G58" s="126">
        <f t="shared" si="11"/>
        <v>-15.06</v>
      </c>
      <c r="H58" s="290">
        <v>15</v>
      </c>
      <c r="I58" s="282">
        <v>14.48</v>
      </c>
      <c r="J58" s="319">
        <f t="shared" si="3"/>
        <v>2.2276923076923079</v>
      </c>
      <c r="K58" s="70">
        <f>H58-I58</f>
        <v>0.51999999999999957</v>
      </c>
      <c r="L58" s="301">
        <f t="shared" si="12"/>
        <v>3.5911602209944722E-2</v>
      </c>
      <c r="M58" s="279">
        <v>0</v>
      </c>
    </row>
    <row r="59" spans="1:23" x14ac:dyDescent="0.25">
      <c r="A59" s="69"/>
      <c r="B59" s="12"/>
      <c r="C59" s="151" t="s">
        <v>115</v>
      </c>
      <c r="D59" s="176">
        <f>D49+D51</f>
        <v>11</v>
      </c>
      <c r="E59" s="187">
        <f>SUM(E49,E51)</f>
        <v>29.39</v>
      </c>
      <c r="F59" s="176">
        <f>SUM(F49,F51)</f>
        <v>41.06</v>
      </c>
      <c r="G59" s="161">
        <f t="shared" si="11"/>
        <v>-11.670000000000002</v>
      </c>
      <c r="H59" s="70">
        <f>SUM(H51,H49)</f>
        <v>34</v>
      </c>
      <c r="I59" s="282">
        <f>SUM(I51,I49)</f>
        <v>32.99</v>
      </c>
      <c r="J59" s="319"/>
      <c r="K59" s="70">
        <f>H59-I59</f>
        <v>1.009999999999998</v>
      </c>
      <c r="L59" s="284">
        <f t="shared" si="12"/>
        <v>3.0615337981206366E-2</v>
      </c>
    </row>
    <row r="60" spans="1:23" x14ac:dyDescent="0.25">
      <c r="A60" s="71"/>
      <c r="B60" s="12"/>
      <c r="C60" s="145" t="s">
        <v>119</v>
      </c>
      <c r="D60" s="149">
        <f>SUM(D50,D52)</f>
        <v>7.92</v>
      </c>
      <c r="E60" s="165">
        <f>SUM(E50,E52)</f>
        <v>54.949999999999996</v>
      </c>
      <c r="F60" s="149">
        <f>SUM(F50,F52)</f>
        <v>44.63</v>
      </c>
      <c r="G60" s="171">
        <f t="shared" si="11"/>
        <v>10.319999999999993</v>
      </c>
      <c r="H60" s="70">
        <f>SUM(H50,H52)</f>
        <v>41</v>
      </c>
      <c r="I60" s="282">
        <f>SUM(I50,I52)</f>
        <v>50.95</v>
      </c>
      <c r="J60" s="319"/>
      <c r="K60" s="70">
        <f>H60-I60</f>
        <v>-9.9500000000000028</v>
      </c>
      <c r="L60" s="284">
        <f t="shared" si="12"/>
        <v>0.19528949950932292</v>
      </c>
    </row>
    <row r="61" spans="1:23" ht="15.75" thickBot="1" x14ac:dyDescent="0.3">
      <c r="A61" s="71"/>
      <c r="B61" s="69"/>
      <c r="C61" s="150" t="s">
        <v>117</v>
      </c>
      <c r="D61" s="183">
        <f>SUM(D53:D58)</f>
        <v>21.75</v>
      </c>
      <c r="E61" s="188">
        <v>46.82</v>
      </c>
      <c r="F61" s="183">
        <f>SUM(F53:F58)</f>
        <v>81.790000000000006</v>
      </c>
      <c r="G61" s="169">
        <f t="shared" si="11"/>
        <v>-34.970000000000006</v>
      </c>
      <c r="H61" s="70">
        <f>SUM(H53:H58)</f>
        <v>78</v>
      </c>
      <c r="I61" s="282">
        <f>SUM(I53:I58)</f>
        <v>99.92</v>
      </c>
      <c r="J61" s="319"/>
      <c r="K61" s="70">
        <f>H61-I61</f>
        <v>-21.92</v>
      </c>
      <c r="L61" s="284">
        <f t="shared" si="12"/>
        <v>0.21937550040032028</v>
      </c>
    </row>
    <row r="62" spans="1:23" ht="15.75" thickTop="1" x14ac:dyDescent="0.25">
      <c r="A62" s="44"/>
      <c r="B62" s="25"/>
      <c r="C62" s="473" t="s">
        <v>9</v>
      </c>
      <c r="D62" s="456">
        <f>SUM(D59:D61)</f>
        <v>40.67</v>
      </c>
      <c r="E62" s="457">
        <f>SUM(E59:E61)</f>
        <v>131.16</v>
      </c>
      <c r="F62" s="474">
        <f>SUM(F59:F61)</f>
        <v>167.48000000000002</v>
      </c>
      <c r="G62" s="230">
        <f t="shared" si="11"/>
        <v>-36.320000000000022</v>
      </c>
      <c r="H62" s="255">
        <f>SUM(H59:H61)</f>
        <v>153</v>
      </c>
      <c r="I62" s="297">
        <f>SUM(I59:I61)</f>
        <v>183.86</v>
      </c>
      <c r="J62" s="443"/>
      <c r="K62" s="255">
        <f>H62-I62</f>
        <v>-30.860000000000014</v>
      </c>
      <c r="L62" s="447">
        <f t="shared" si="12"/>
        <v>0.16784509953225285</v>
      </c>
      <c r="M62" s="463">
        <f>SUM(M49:M58)</f>
        <v>155</v>
      </c>
      <c r="N62" s="255"/>
      <c r="O62" s="291"/>
      <c r="P62" s="255"/>
      <c r="Q62" s="291"/>
      <c r="R62" s="255"/>
      <c r="S62" s="291"/>
      <c r="T62" s="255"/>
      <c r="U62" s="291"/>
      <c r="V62" s="464">
        <f>SUM(N49:N61)</f>
        <v>178.29</v>
      </c>
      <c r="W62" s="484">
        <f>SUM(W49:W60)</f>
        <v>133</v>
      </c>
    </row>
    <row r="63" spans="1:23" x14ac:dyDescent="0.25">
      <c r="A63" s="1" t="s">
        <v>19</v>
      </c>
      <c r="B63" s="9" t="s">
        <v>3</v>
      </c>
      <c r="C63" s="9" t="s">
        <v>185</v>
      </c>
      <c r="D63" s="87"/>
      <c r="E63" s="114"/>
      <c r="F63" s="65"/>
      <c r="G63" s="115"/>
      <c r="J63" s="319"/>
      <c r="L63" s="299"/>
      <c r="N63" s="70">
        <v>17.600000000000001</v>
      </c>
    </row>
    <row r="64" spans="1:23" x14ac:dyDescent="0.25">
      <c r="A64" s="1"/>
      <c r="B64" s="9"/>
      <c r="C64" s="9" t="s">
        <v>199</v>
      </c>
      <c r="D64" s="87"/>
      <c r="E64" s="114"/>
      <c r="F64" s="65"/>
      <c r="G64" s="115"/>
      <c r="J64" s="319"/>
      <c r="L64" s="299"/>
      <c r="N64" s="70">
        <v>1.36</v>
      </c>
    </row>
    <row r="65" spans="1:23" x14ac:dyDescent="0.25">
      <c r="A65" s="71"/>
      <c r="B65" s="9" t="s">
        <v>3</v>
      </c>
      <c r="C65" s="9" t="s">
        <v>186</v>
      </c>
      <c r="D65" s="39">
        <v>4.43</v>
      </c>
      <c r="E65" s="126">
        <v>7.02</v>
      </c>
      <c r="F65" s="95">
        <v>12.88</v>
      </c>
      <c r="G65" s="171">
        <f>E65-F65</f>
        <v>-5.8600000000000012</v>
      </c>
      <c r="H65" s="288">
        <v>15</v>
      </c>
      <c r="I65" s="315">
        <v>18.329999999999998</v>
      </c>
      <c r="J65" s="443">
        <f t="shared" si="3"/>
        <v>4.1376975169300225</v>
      </c>
      <c r="K65" s="255">
        <f>H65-I65</f>
        <v>-3.3299999999999983</v>
      </c>
      <c r="L65" s="447">
        <f>(ABS(H65-I65))/I65</f>
        <v>0.18166939443535179</v>
      </c>
      <c r="M65" s="464">
        <v>18</v>
      </c>
      <c r="N65" s="255">
        <v>5.1100000000000003</v>
      </c>
      <c r="O65" s="291"/>
      <c r="P65" s="255"/>
      <c r="Q65" s="291"/>
      <c r="R65" s="255"/>
      <c r="S65" s="291"/>
      <c r="T65" s="255"/>
      <c r="U65" s="291"/>
      <c r="V65" s="464">
        <f>SUM(N63:N65)</f>
        <v>24.07</v>
      </c>
      <c r="W65" s="484">
        <v>20</v>
      </c>
    </row>
    <row r="66" spans="1:23" x14ac:dyDescent="0.25">
      <c r="A66" s="3" t="s">
        <v>21</v>
      </c>
      <c r="B66" s="15"/>
      <c r="C66" s="3"/>
      <c r="D66" s="37"/>
      <c r="E66" s="99"/>
      <c r="F66" s="83"/>
      <c r="G66" s="118"/>
      <c r="J66" s="319"/>
      <c r="L66" s="299"/>
    </row>
    <row r="67" spans="1:23" x14ac:dyDescent="0.25">
      <c r="A67" s="71"/>
      <c r="B67" s="9" t="s">
        <v>3</v>
      </c>
      <c r="C67" s="9" t="s">
        <v>44</v>
      </c>
      <c r="D67" s="39">
        <v>3.55</v>
      </c>
      <c r="E67" s="126">
        <v>13.77</v>
      </c>
      <c r="F67" s="95">
        <v>22</v>
      </c>
      <c r="G67" s="126">
        <f>E67-F67</f>
        <v>-8.23</v>
      </c>
      <c r="H67" s="286">
        <v>21.8</v>
      </c>
      <c r="I67" s="282">
        <v>18.940000000000001</v>
      </c>
      <c r="J67" s="319">
        <f t="shared" si="3"/>
        <v>5.3352112676056347</v>
      </c>
      <c r="K67" s="70">
        <f t="shared" ref="K67:K74" si="13">H67-I67</f>
        <v>2.8599999999999994</v>
      </c>
      <c r="L67" s="284">
        <f t="shared" ref="L67:L74" si="14">(ABS(H67-I67))/I67</f>
        <v>0.15100316789862719</v>
      </c>
      <c r="M67" s="279">
        <v>20</v>
      </c>
      <c r="N67" s="70">
        <v>17.079999999999998</v>
      </c>
      <c r="W67">
        <v>15</v>
      </c>
    </row>
    <row r="68" spans="1:23" x14ac:dyDescent="0.25">
      <c r="A68" s="71"/>
      <c r="B68" s="9" t="s">
        <v>86</v>
      </c>
      <c r="C68" s="9" t="s">
        <v>45</v>
      </c>
      <c r="D68" s="39">
        <v>1.9</v>
      </c>
      <c r="E68" s="126">
        <v>7.47</v>
      </c>
      <c r="F68" s="95">
        <v>8.77</v>
      </c>
      <c r="G68" s="126">
        <f t="shared" ref="G68:G74" si="15">E68-F68</f>
        <v>-1.2999999999999998</v>
      </c>
      <c r="H68" s="234">
        <v>11.8</v>
      </c>
      <c r="I68" s="282">
        <v>8.73</v>
      </c>
      <c r="J68" s="319">
        <f t="shared" si="3"/>
        <v>4.5947368421052639</v>
      </c>
      <c r="K68" s="70">
        <f t="shared" si="13"/>
        <v>3.0700000000000003</v>
      </c>
      <c r="L68" s="284">
        <f t="shared" si="14"/>
        <v>0.3516609392898053</v>
      </c>
      <c r="M68" s="279">
        <v>8</v>
      </c>
      <c r="N68" s="70">
        <v>11.12</v>
      </c>
      <c r="W68">
        <v>10</v>
      </c>
    </row>
    <row r="69" spans="1:23" x14ac:dyDescent="0.25">
      <c r="A69" s="71"/>
      <c r="B69" s="9" t="s">
        <v>191</v>
      </c>
      <c r="C69" s="9" t="s">
        <v>192</v>
      </c>
      <c r="D69" s="39">
        <v>5</v>
      </c>
      <c r="E69" s="126"/>
      <c r="F69" s="95"/>
      <c r="G69" s="126"/>
      <c r="H69" s="234"/>
      <c r="J69" s="319"/>
      <c r="L69" s="284"/>
      <c r="M69" s="279">
        <v>10</v>
      </c>
      <c r="N69" s="70">
        <v>12</v>
      </c>
      <c r="W69">
        <v>20</v>
      </c>
    </row>
    <row r="70" spans="1:23" x14ac:dyDescent="0.25">
      <c r="A70" s="71"/>
      <c r="B70" s="18" t="s">
        <v>7</v>
      </c>
      <c r="C70" s="18" t="s">
        <v>92</v>
      </c>
      <c r="D70" s="129">
        <v>9.1</v>
      </c>
      <c r="E70" s="140">
        <v>40.96</v>
      </c>
      <c r="F70" s="97">
        <v>34.729999999999997</v>
      </c>
      <c r="G70" s="126">
        <f t="shared" si="15"/>
        <v>6.230000000000004</v>
      </c>
      <c r="H70" s="290">
        <v>35</v>
      </c>
      <c r="I70" s="282">
        <v>51.36</v>
      </c>
      <c r="J70" s="319">
        <f t="shared" si="3"/>
        <v>5.6439560439560443</v>
      </c>
      <c r="K70" s="70">
        <f t="shared" si="13"/>
        <v>-16.36</v>
      </c>
      <c r="L70" s="284">
        <f t="shared" si="14"/>
        <v>0.31853582554517135</v>
      </c>
      <c r="M70" s="279">
        <v>35</v>
      </c>
      <c r="N70" s="70">
        <v>29.45</v>
      </c>
    </row>
    <row r="71" spans="1:23" x14ac:dyDescent="0.25">
      <c r="A71" s="71"/>
      <c r="B71" s="12"/>
      <c r="C71" s="151" t="s">
        <v>115</v>
      </c>
      <c r="D71" s="198">
        <v>3.55</v>
      </c>
      <c r="E71" s="187">
        <v>13.77</v>
      </c>
      <c r="F71" s="176">
        <v>22</v>
      </c>
      <c r="G71" s="161">
        <f t="shared" si="15"/>
        <v>-8.23</v>
      </c>
      <c r="H71" s="70">
        <f>H67</f>
        <v>21.8</v>
      </c>
      <c r="I71" s="282">
        <f>I67</f>
        <v>18.940000000000001</v>
      </c>
      <c r="J71" s="319"/>
      <c r="K71" s="70">
        <f t="shared" si="13"/>
        <v>2.8599999999999994</v>
      </c>
      <c r="L71" s="284">
        <f t="shared" si="14"/>
        <v>0.15100316789862719</v>
      </c>
    </row>
    <row r="72" spans="1:23" x14ac:dyDescent="0.25">
      <c r="A72" s="71"/>
      <c r="B72" s="12"/>
      <c r="C72" s="71" t="s">
        <v>119</v>
      </c>
      <c r="D72" s="199">
        <v>1.9</v>
      </c>
      <c r="E72" s="165">
        <v>7.47</v>
      </c>
      <c r="F72" s="149">
        <v>8.77</v>
      </c>
      <c r="G72" s="171">
        <f t="shared" si="15"/>
        <v>-1.2999999999999998</v>
      </c>
      <c r="H72" s="70">
        <f>H68</f>
        <v>11.8</v>
      </c>
      <c r="I72" s="282">
        <f>I68</f>
        <v>8.73</v>
      </c>
      <c r="J72" s="319"/>
      <c r="K72" s="70">
        <f t="shared" si="13"/>
        <v>3.0700000000000003</v>
      </c>
      <c r="L72" s="284">
        <f t="shared" si="14"/>
        <v>0.3516609392898053</v>
      </c>
    </row>
    <row r="73" spans="1:23" ht="15.75" thickBot="1" x14ac:dyDescent="0.3">
      <c r="A73" s="71"/>
      <c r="B73" s="69"/>
      <c r="C73" s="156" t="s">
        <v>117</v>
      </c>
      <c r="D73" s="200">
        <v>9.1</v>
      </c>
      <c r="E73" s="188">
        <v>40.96</v>
      </c>
      <c r="F73" s="183">
        <v>34.729999999999997</v>
      </c>
      <c r="G73" s="169">
        <f t="shared" si="15"/>
        <v>6.230000000000004</v>
      </c>
      <c r="H73" s="290">
        <f t="shared" ref="H73:I73" si="16">H70</f>
        <v>35</v>
      </c>
      <c r="I73" s="282">
        <f t="shared" si="16"/>
        <v>51.36</v>
      </c>
      <c r="J73" s="319"/>
      <c r="K73" s="70">
        <f t="shared" si="13"/>
        <v>-16.36</v>
      </c>
      <c r="L73" s="284">
        <f t="shared" si="14"/>
        <v>0.31853582554517135</v>
      </c>
    </row>
    <row r="74" spans="1:23" ht="15.75" thickTop="1" x14ac:dyDescent="0.25">
      <c r="A74" s="71"/>
      <c r="B74" s="9"/>
      <c r="C74" s="79" t="s">
        <v>118</v>
      </c>
      <c r="D74" s="456">
        <f>SUM(D71:D73)</f>
        <v>14.549999999999999</v>
      </c>
      <c r="E74" s="457">
        <f t="shared" ref="E74:F74" si="17">SUM(E71:E73)</f>
        <v>62.2</v>
      </c>
      <c r="F74" s="186">
        <f t="shared" si="17"/>
        <v>65.5</v>
      </c>
      <c r="G74" s="171">
        <f t="shared" si="15"/>
        <v>-3.2999999999999972</v>
      </c>
      <c r="H74" s="70">
        <f>SUM(H71:H72)</f>
        <v>33.6</v>
      </c>
      <c r="I74" s="315">
        <f>SUM(I71:I73)</f>
        <v>79.03</v>
      </c>
      <c r="J74" s="443"/>
      <c r="K74" s="255">
        <f t="shared" si="13"/>
        <v>-45.43</v>
      </c>
      <c r="L74" s="447">
        <f t="shared" si="14"/>
        <v>0.57484499557130198</v>
      </c>
      <c r="M74" s="464">
        <f>SUM(M67:M70)</f>
        <v>73</v>
      </c>
      <c r="N74" s="255"/>
      <c r="O74" s="291"/>
      <c r="P74" s="255"/>
      <c r="Q74" s="291"/>
      <c r="R74" s="255"/>
      <c r="S74" s="291"/>
      <c r="T74" s="255"/>
      <c r="U74" s="291"/>
      <c r="V74" s="464">
        <f>SUM(N67:N70)</f>
        <v>69.649999999999991</v>
      </c>
      <c r="W74" s="484">
        <f>SUM(W67:W73)</f>
        <v>45</v>
      </c>
    </row>
    <row r="75" spans="1:23" x14ac:dyDescent="0.25">
      <c r="A75" s="3" t="s">
        <v>23</v>
      </c>
      <c r="B75" s="15"/>
      <c r="C75" s="15"/>
      <c r="D75" s="42"/>
      <c r="E75" s="99"/>
      <c r="F75" s="83"/>
      <c r="G75" s="118"/>
      <c r="J75" s="319"/>
      <c r="L75" s="299"/>
    </row>
    <row r="76" spans="1:23" x14ac:dyDescent="0.25">
      <c r="A76" s="1"/>
      <c r="B76" s="8" t="s">
        <v>191</v>
      </c>
      <c r="C76" s="8" t="s">
        <v>193</v>
      </c>
      <c r="D76" s="466">
        <v>0.5</v>
      </c>
      <c r="E76" s="114"/>
      <c r="F76" s="65"/>
      <c r="G76" s="111"/>
      <c r="J76" s="319"/>
      <c r="L76" s="299"/>
      <c r="M76" s="279">
        <v>1</v>
      </c>
      <c r="N76" s="70">
        <v>0.48</v>
      </c>
      <c r="W76">
        <v>2</v>
      </c>
    </row>
    <row r="77" spans="1:23" x14ac:dyDescent="0.25">
      <c r="A77" s="1"/>
      <c r="B77" s="8" t="s">
        <v>189</v>
      </c>
      <c r="C77" s="8"/>
      <c r="D77" s="466">
        <v>2</v>
      </c>
      <c r="E77" s="114"/>
      <c r="F77" s="65"/>
      <c r="G77" s="111"/>
      <c r="J77" s="319"/>
      <c r="L77" s="299"/>
      <c r="M77" s="279">
        <v>2</v>
      </c>
      <c r="N77" s="70">
        <v>1.5</v>
      </c>
      <c r="W77">
        <v>6</v>
      </c>
    </row>
    <row r="78" spans="1:23" x14ac:dyDescent="0.25">
      <c r="A78" s="71"/>
      <c r="B78" s="18" t="s">
        <v>7</v>
      </c>
      <c r="C78" s="18" t="s">
        <v>42</v>
      </c>
      <c r="D78" s="129">
        <v>6</v>
      </c>
      <c r="E78" s="140">
        <v>16.170000000000002</v>
      </c>
      <c r="F78" s="97">
        <v>27.14</v>
      </c>
      <c r="G78" s="126">
        <f>E78-F78</f>
        <v>-10.969999999999999</v>
      </c>
      <c r="H78" s="290">
        <v>24</v>
      </c>
      <c r="I78" s="282">
        <v>32.29</v>
      </c>
      <c r="J78" s="319">
        <f t="shared" ref="J78:J141" si="18">I78/D78</f>
        <v>5.3816666666666668</v>
      </c>
      <c r="K78" s="70">
        <f t="shared" ref="K78:K84" si="19">H78-I78</f>
        <v>-8.2899999999999991</v>
      </c>
      <c r="L78" s="284">
        <f t="shared" ref="L78:L84" si="20">(ABS(H78-I78))/I78</f>
        <v>0.25673583152678847</v>
      </c>
      <c r="M78" s="279">
        <v>30</v>
      </c>
      <c r="N78" s="70">
        <v>16.05</v>
      </c>
      <c r="W78">
        <v>20</v>
      </c>
    </row>
    <row r="79" spans="1:23" x14ac:dyDescent="0.25">
      <c r="A79" s="71"/>
      <c r="B79" s="18" t="s">
        <v>7</v>
      </c>
      <c r="C79" s="18" t="s">
        <v>46</v>
      </c>
      <c r="D79" s="129">
        <v>3.8</v>
      </c>
      <c r="E79" s="140">
        <v>11.46</v>
      </c>
      <c r="F79" s="97">
        <v>16.02</v>
      </c>
      <c r="G79" s="126">
        <f t="shared" ref="G79:G84" si="21">E79-F79</f>
        <v>-4.5599999999999987</v>
      </c>
      <c r="H79" s="290">
        <v>15</v>
      </c>
      <c r="I79" s="282">
        <v>19.010000000000002</v>
      </c>
      <c r="J79" s="319">
        <f t="shared" si="18"/>
        <v>5.0026315789473692</v>
      </c>
      <c r="K79" s="70">
        <f t="shared" si="19"/>
        <v>-4.0100000000000016</v>
      </c>
      <c r="L79" s="284">
        <f t="shared" si="20"/>
        <v>0.21094160967911632</v>
      </c>
      <c r="M79" s="279">
        <v>18</v>
      </c>
      <c r="N79" s="70">
        <v>11.75</v>
      </c>
      <c r="W79">
        <v>15</v>
      </c>
    </row>
    <row r="80" spans="1:23" x14ac:dyDescent="0.25">
      <c r="A80" s="71"/>
      <c r="B80" s="18" t="s">
        <v>7</v>
      </c>
      <c r="C80" s="18" t="s">
        <v>47</v>
      </c>
      <c r="D80" s="129">
        <v>2.5</v>
      </c>
      <c r="E80" s="140">
        <v>8.6</v>
      </c>
      <c r="F80" s="97">
        <v>11.9</v>
      </c>
      <c r="G80" s="126">
        <f t="shared" si="21"/>
        <v>-3.3000000000000007</v>
      </c>
      <c r="H80" s="290">
        <v>10</v>
      </c>
      <c r="I80" s="282">
        <v>17.97</v>
      </c>
      <c r="J80" s="319">
        <f t="shared" si="18"/>
        <v>7.1879999999999997</v>
      </c>
      <c r="K80" s="70">
        <f t="shared" si="19"/>
        <v>-7.9699999999999989</v>
      </c>
      <c r="L80" s="284">
        <f t="shared" si="20"/>
        <v>0.44351697273233165</v>
      </c>
      <c r="M80" s="279">
        <v>15</v>
      </c>
      <c r="N80" s="70">
        <v>12.06</v>
      </c>
      <c r="W80">
        <v>15</v>
      </c>
    </row>
    <row r="81" spans="1:23" x14ac:dyDescent="0.25">
      <c r="A81" s="71"/>
      <c r="B81" s="18" t="s">
        <v>7</v>
      </c>
      <c r="C81" s="18" t="s">
        <v>91</v>
      </c>
      <c r="D81" s="129">
        <v>1.75</v>
      </c>
      <c r="E81" s="140">
        <v>4.2300000000000004</v>
      </c>
      <c r="F81" s="97">
        <v>7.49</v>
      </c>
      <c r="G81" s="126">
        <f t="shared" si="21"/>
        <v>-3.26</v>
      </c>
      <c r="H81" s="290">
        <v>5</v>
      </c>
      <c r="I81" s="282">
        <v>7.68</v>
      </c>
      <c r="J81" s="319">
        <f t="shared" si="18"/>
        <v>4.3885714285714288</v>
      </c>
      <c r="K81" s="70">
        <f t="shared" si="19"/>
        <v>-2.6799999999999997</v>
      </c>
      <c r="L81" s="284">
        <f t="shared" si="20"/>
        <v>0.34895833333333331</v>
      </c>
      <c r="M81" s="279">
        <v>7</v>
      </c>
      <c r="N81" s="70">
        <v>6.96</v>
      </c>
      <c r="W81">
        <v>7</v>
      </c>
    </row>
    <row r="82" spans="1:23" x14ac:dyDescent="0.25">
      <c r="A82" s="71"/>
      <c r="B82" s="18" t="s">
        <v>7</v>
      </c>
      <c r="C82" s="201" t="s">
        <v>79</v>
      </c>
      <c r="D82" s="202">
        <v>5</v>
      </c>
      <c r="E82" s="206">
        <v>30.25</v>
      </c>
      <c r="F82" s="207">
        <v>30.74</v>
      </c>
      <c r="G82" s="218">
        <f t="shared" si="21"/>
        <v>-0.48999999999999844</v>
      </c>
      <c r="H82" s="290">
        <v>25</v>
      </c>
      <c r="I82" s="282">
        <v>32.56</v>
      </c>
      <c r="J82" s="319">
        <f t="shared" si="18"/>
        <v>6.5120000000000005</v>
      </c>
      <c r="K82" s="70">
        <f t="shared" si="19"/>
        <v>-7.5600000000000023</v>
      </c>
      <c r="L82" s="284">
        <f t="shared" si="20"/>
        <v>0.23218673218673225</v>
      </c>
      <c r="M82" s="279">
        <v>30</v>
      </c>
      <c r="N82" s="70">
        <v>30</v>
      </c>
      <c r="W82">
        <v>30</v>
      </c>
    </row>
    <row r="83" spans="1:23" ht="15.75" thickBot="1" x14ac:dyDescent="0.3">
      <c r="A83" s="71"/>
      <c r="B83" s="69"/>
      <c r="C83" s="211" t="s">
        <v>117</v>
      </c>
      <c r="D83" s="183">
        <f>SUM(D78:D82)</f>
        <v>19.05</v>
      </c>
      <c r="E83" s="188">
        <f>SUM(E78:E82)</f>
        <v>70.710000000000008</v>
      </c>
      <c r="F83" s="183">
        <f>SUM(F78:F82)</f>
        <v>93.289999999999992</v>
      </c>
      <c r="G83" s="169">
        <f t="shared" si="21"/>
        <v>-22.579999999999984</v>
      </c>
      <c r="H83" s="70">
        <f>SUM(H78:H82)</f>
        <v>79</v>
      </c>
      <c r="I83" s="282">
        <f>SUM(I78:I82)</f>
        <v>109.50999999999999</v>
      </c>
      <c r="J83" s="319"/>
      <c r="K83" s="70">
        <f t="shared" si="19"/>
        <v>-30.509999999999991</v>
      </c>
      <c r="L83" s="284">
        <f t="shared" si="20"/>
        <v>0.2786046936352844</v>
      </c>
    </row>
    <row r="84" spans="1:23" ht="15.75" thickTop="1" x14ac:dyDescent="0.25">
      <c r="A84" s="71"/>
      <c r="B84" s="69"/>
      <c r="C84" s="212" t="s">
        <v>118</v>
      </c>
      <c r="D84" s="186">
        <v>19.05</v>
      </c>
      <c r="E84" s="165">
        <v>70.709999999999994</v>
      </c>
      <c r="F84" s="149">
        <v>93.29</v>
      </c>
      <c r="G84" s="171">
        <f t="shared" si="21"/>
        <v>-22.580000000000013</v>
      </c>
      <c r="H84" s="70">
        <f>SUM(H83:H83)</f>
        <v>79</v>
      </c>
      <c r="I84" s="315">
        <f>SUM(I83:I83)</f>
        <v>109.50999999999999</v>
      </c>
      <c r="J84" s="443"/>
      <c r="K84" s="255">
        <f t="shared" si="19"/>
        <v>-30.509999999999991</v>
      </c>
      <c r="L84" s="447">
        <f t="shared" si="20"/>
        <v>0.2786046936352844</v>
      </c>
      <c r="M84" s="463">
        <f>SUM(M76:M82)</f>
        <v>103</v>
      </c>
      <c r="N84" s="255"/>
      <c r="O84" s="291"/>
      <c r="P84" s="255"/>
      <c r="Q84" s="291"/>
      <c r="R84" s="255"/>
      <c r="S84" s="291"/>
      <c r="T84" s="255"/>
      <c r="U84" s="291"/>
      <c r="V84" s="464">
        <f>SUM(N76:N83)</f>
        <v>78.800000000000011</v>
      </c>
      <c r="W84" s="484">
        <f>SUM(W76:W83)</f>
        <v>95</v>
      </c>
    </row>
    <row r="85" spans="1:23" x14ac:dyDescent="0.25">
      <c r="A85" s="3" t="s">
        <v>48</v>
      </c>
      <c r="B85" s="15"/>
      <c r="C85" s="3"/>
      <c r="D85" s="37"/>
      <c r="E85" s="99"/>
      <c r="F85" s="83"/>
      <c r="G85" s="118"/>
      <c r="J85" s="319"/>
      <c r="L85" s="299"/>
    </row>
    <row r="86" spans="1:23" x14ac:dyDescent="0.25">
      <c r="A86" s="71"/>
      <c r="B86" s="9" t="s">
        <v>3</v>
      </c>
      <c r="C86" s="9" t="s">
        <v>49</v>
      </c>
      <c r="D86" s="39">
        <v>5.07</v>
      </c>
      <c r="E86" s="126">
        <v>21.98</v>
      </c>
      <c r="F86" s="95">
        <v>16.75</v>
      </c>
      <c r="G86" s="126">
        <f>E86-F86</f>
        <v>5.23</v>
      </c>
      <c r="H86" s="288">
        <v>25</v>
      </c>
      <c r="I86" s="282">
        <v>30.52</v>
      </c>
      <c r="J86" s="319">
        <f t="shared" si="18"/>
        <v>6.0197238658777117</v>
      </c>
      <c r="K86" s="70">
        <f t="shared" ref="K86:K94" si="22">H86-I86</f>
        <v>-5.52</v>
      </c>
      <c r="L86" s="284">
        <f t="shared" ref="L86:L94" si="23">(ABS(H86-I86))/I86</f>
        <v>0.18086500655307994</v>
      </c>
      <c r="M86" s="279">
        <v>30</v>
      </c>
      <c r="N86" s="70">
        <v>29.91</v>
      </c>
      <c r="V86" s="6"/>
      <c r="W86">
        <v>30</v>
      </c>
    </row>
    <row r="87" spans="1:23" x14ac:dyDescent="0.25">
      <c r="A87" s="71"/>
      <c r="B87" s="9" t="s">
        <v>86</v>
      </c>
      <c r="C87" s="9" t="s">
        <v>50</v>
      </c>
      <c r="D87" s="39">
        <v>1.23</v>
      </c>
      <c r="E87" s="126">
        <v>6.64</v>
      </c>
      <c r="F87" s="95">
        <v>5.35</v>
      </c>
      <c r="G87" s="126">
        <f t="shared" ref="G87:G99" si="24">E87-F87</f>
        <v>1.29</v>
      </c>
      <c r="H87" s="286">
        <v>4.8</v>
      </c>
      <c r="J87" s="319"/>
      <c r="K87" s="70">
        <f t="shared" si="22"/>
        <v>4.8</v>
      </c>
      <c r="L87" s="284" t="e">
        <f t="shared" si="23"/>
        <v>#DIV/0!</v>
      </c>
      <c r="N87" s="70">
        <v>2.7</v>
      </c>
      <c r="V87" s="6"/>
    </row>
    <row r="88" spans="1:23" x14ac:dyDescent="0.25">
      <c r="A88" s="71"/>
      <c r="B88" s="9" t="s">
        <v>86</v>
      </c>
      <c r="C88" s="9" t="s">
        <v>51</v>
      </c>
      <c r="D88" s="39">
        <v>1.58</v>
      </c>
      <c r="E88" s="126">
        <v>7.57</v>
      </c>
      <c r="F88" s="95">
        <v>4.91</v>
      </c>
      <c r="G88" s="126">
        <f t="shared" si="24"/>
        <v>2.66</v>
      </c>
      <c r="H88" s="286">
        <v>3.6</v>
      </c>
      <c r="J88" s="319"/>
      <c r="K88" s="70">
        <f t="shared" si="22"/>
        <v>3.6</v>
      </c>
      <c r="L88" s="284" t="e">
        <f t="shared" si="23"/>
        <v>#DIV/0!</v>
      </c>
      <c r="N88" s="70">
        <v>17.79</v>
      </c>
      <c r="V88" s="6"/>
    </row>
    <row r="89" spans="1:23" x14ac:dyDescent="0.25">
      <c r="A89" s="71"/>
      <c r="B89" s="9" t="s">
        <v>86</v>
      </c>
      <c r="C89" s="9" t="s">
        <v>11</v>
      </c>
      <c r="D89" s="39">
        <v>0.21</v>
      </c>
      <c r="E89" s="126">
        <v>1.69</v>
      </c>
      <c r="F89" s="95">
        <v>0.92</v>
      </c>
      <c r="G89" s="126">
        <f t="shared" si="24"/>
        <v>0.76999999999999991</v>
      </c>
      <c r="H89" s="286">
        <v>0.9</v>
      </c>
      <c r="J89" s="319"/>
      <c r="K89" s="70">
        <f t="shared" si="22"/>
        <v>0.9</v>
      </c>
      <c r="L89" s="284" t="e">
        <f t="shared" si="23"/>
        <v>#DIV/0!</v>
      </c>
      <c r="N89" s="70">
        <v>6.34</v>
      </c>
      <c r="V89" s="6"/>
    </row>
    <row r="90" spans="1:23" x14ac:dyDescent="0.25">
      <c r="A90" s="1"/>
      <c r="B90" s="9" t="s">
        <v>86</v>
      </c>
      <c r="C90" s="9" t="s">
        <v>52</v>
      </c>
      <c r="D90" s="39">
        <v>0.68</v>
      </c>
      <c r="E90" s="126">
        <v>2.8</v>
      </c>
      <c r="F90" s="95">
        <v>0.75</v>
      </c>
      <c r="G90" s="126">
        <f t="shared" si="24"/>
        <v>2.0499999999999998</v>
      </c>
      <c r="H90" s="286">
        <v>2.5</v>
      </c>
      <c r="J90" s="319"/>
      <c r="K90" s="70">
        <f t="shared" si="22"/>
        <v>2.5</v>
      </c>
      <c r="L90" s="284" t="e">
        <f t="shared" si="23"/>
        <v>#DIV/0!</v>
      </c>
      <c r="V90" s="6"/>
    </row>
    <row r="91" spans="1:23" x14ac:dyDescent="0.25">
      <c r="A91" s="71"/>
      <c r="B91" s="9" t="s">
        <v>86</v>
      </c>
      <c r="C91" s="9" t="s">
        <v>53</v>
      </c>
      <c r="D91" s="39">
        <v>0.74</v>
      </c>
      <c r="E91" s="126">
        <v>4.0599999999999996</v>
      </c>
      <c r="F91" s="95">
        <v>6.08</v>
      </c>
      <c r="G91" s="126">
        <f t="shared" si="24"/>
        <v>-2.0200000000000005</v>
      </c>
      <c r="H91" s="286">
        <v>6.2</v>
      </c>
      <c r="J91" s="319"/>
      <c r="K91" s="70">
        <f t="shared" si="22"/>
        <v>6.2</v>
      </c>
      <c r="L91" s="284" t="e">
        <f t="shared" si="23"/>
        <v>#DIV/0!</v>
      </c>
      <c r="V91" s="6"/>
    </row>
    <row r="92" spans="1:23" x14ac:dyDescent="0.25">
      <c r="A92" s="71"/>
      <c r="B92" s="9" t="s">
        <v>86</v>
      </c>
      <c r="C92" s="9" t="s">
        <v>54</v>
      </c>
      <c r="D92" s="39">
        <v>1.1299999999999999</v>
      </c>
      <c r="E92" s="126">
        <v>6.08</v>
      </c>
      <c r="F92" s="142">
        <v>4.6900000000000004</v>
      </c>
      <c r="G92" s="126">
        <f t="shared" si="24"/>
        <v>1.3899999999999997</v>
      </c>
      <c r="H92" s="234">
        <v>4.4000000000000004</v>
      </c>
      <c r="J92" s="319"/>
      <c r="K92" s="70">
        <f t="shared" si="22"/>
        <v>4.4000000000000004</v>
      </c>
      <c r="L92" s="284" t="e">
        <f t="shared" si="23"/>
        <v>#DIV/0!</v>
      </c>
      <c r="V92" s="6"/>
    </row>
    <row r="93" spans="1:23" x14ac:dyDescent="0.25">
      <c r="A93" s="71"/>
      <c r="B93" s="72" t="s">
        <v>86</v>
      </c>
      <c r="C93" s="72" t="s">
        <v>163</v>
      </c>
      <c r="D93" s="39">
        <v>5.57</v>
      </c>
      <c r="E93" s="126"/>
      <c r="F93" s="142"/>
      <c r="G93" s="126"/>
      <c r="H93" s="286">
        <v>22.4</v>
      </c>
      <c r="I93" s="282">
        <v>30.35</v>
      </c>
      <c r="J93" s="319">
        <f t="shared" si="18"/>
        <v>5.4488330341113107</v>
      </c>
      <c r="K93" s="70">
        <f>SUM(K87:K92)</f>
        <v>22.4</v>
      </c>
      <c r="L93" s="284">
        <f t="shared" si="23"/>
        <v>0.26194398682042841</v>
      </c>
      <c r="M93" s="279">
        <v>30</v>
      </c>
      <c r="V93" s="6"/>
      <c r="W93">
        <v>30</v>
      </c>
    </row>
    <row r="94" spans="1:23" x14ac:dyDescent="0.25">
      <c r="A94" s="71"/>
      <c r="B94" s="9" t="s">
        <v>89</v>
      </c>
      <c r="C94" s="9" t="s">
        <v>55</v>
      </c>
      <c r="D94" s="39">
        <v>6.15</v>
      </c>
      <c r="E94" s="126">
        <v>28.64</v>
      </c>
      <c r="F94" s="95">
        <v>18.73</v>
      </c>
      <c r="G94" s="126">
        <f t="shared" si="24"/>
        <v>9.91</v>
      </c>
      <c r="H94" s="288">
        <v>31.5</v>
      </c>
      <c r="I94" s="282">
        <v>37.21</v>
      </c>
      <c r="J94" s="319">
        <f t="shared" si="18"/>
        <v>6.0504065040650401</v>
      </c>
      <c r="K94" s="70">
        <f t="shared" si="22"/>
        <v>-5.7100000000000009</v>
      </c>
      <c r="L94" s="284">
        <f t="shared" si="23"/>
        <v>0.15345337274926096</v>
      </c>
      <c r="M94" s="279">
        <v>35</v>
      </c>
      <c r="V94" s="6"/>
      <c r="W94">
        <v>25</v>
      </c>
    </row>
    <row r="95" spans="1:23" x14ac:dyDescent="0.25">
      <c r="A95" s="71"/>
      <c r="B95" s="72" t="s">
        <v>139</v>
      </c>
      <c r="C95" s="72" t="s">
        <v>5</v>
      </c>
      <c r="D95" s="219">
        <v>0</v>
      </c>
      <c r="E95" s="126">
        <v>5.67</v>
      </c>
      <c r="F95" s="95">
        <v>16.98</v>
      </c>
      <c r="G95" s="126">
        <f t="shared" si="24"/>
        <v>-11.31</v>
      </c>
      <c r="H95" s="234">
        <v>0</v>
      </c>
      <c r="J95" s="319"/>
      <c r="L95" s="299"/>
      <c r="N95" s="70">
        <v>52.38</v>
      </c>
      <c r="V95" s="6"/>
      <c r="W95">
        <v>10</v>
      </c>
    </row>
    <row r="96" spans="1:23" x14ac:dyDescent="0.25">
      <c r="A96" s="71"/>
      <c r="B96" s="12"/>
      <c r="C96" s="151" t="s">
        <v>115</v>
      </c>
      <c r="D96" s="176">
        <v>5.07</v>
      </c>
      <c r="E96" s="187">
        <v>21.98</v>
      </c>
      <c r="F96" s="176">
        <v>16.75</v>
      </c>
      <c r="G96" s="161">
        <f t="shared" si="24"/>
        <v>5.23</v>
      </c>
      <c r="H96" s="70">
        <f>SUM(H86)</f>
        <v>25</v>
      </c>
      <c r="I96" s="282">
        <f>SUM(I86)</f>
        <v>30.52</v>
      </c>
      <c r="J96" s="319"/>
      <c r="K96" s="70">
        <f>H96-I96</f>
        <v>-5.52</v>
      </c>
      <c r="L96" s="284">
        <f>(ABS(H96-I96))/I96</f>
        <v>0.18086500655307994</v>
      </c>
      <c r="V96" s="6"/>
    </row>
    <row r="97" spans="1:23" x14ac:dyDescent="0.25">
      <c r="A97" s="71"/>
      <c r="B97" s="12"/>
      <c r="C97" s="71" t="s">
        <v>119</v>
      </c>
      <c r="D97" s="149">
        <f>SUM(D87:D94)</f>
        <v>17.29</v>
      </c>
      <c r="E97" s="165">
        <f>SUM(E87:E95)</f>
        <v>63.15</v>
      </c>
      <c r="F97" s="177">
        <f>SUM(F87:F95)</f>
        <v>58.41</v>
      </c>
      <c r="G97" s="171">
        <f t="shared" si="24"/>
        <v>4.740000000000002</v>
      </c>
      <c r="H97" s="70">
        <f>SUM(H93:H95)</f>
        <v>53.9</v>
      </c>
      <c r="I97" s="282">
        <f>SUM(I87:I95)</f>
        <v>67.56</v>
      </c>
      <c r="J97" s="319"/>
      <c r="K97" s="70">
        <f>H97-I97</f>
        <v>-13.660000000000004</v>
      </c>
      <c r="L97" s="284">
        <f>(ABS(H97-I97))/I97</f>
        <v>0.20219064535227951</v>
      </c>
      <c r="V97" s="6"/>
    </row>
    <row r="98" spans="1:23" ht="15.75" thickBot="1" x14ac:dyDescent="0.3">
      <c r="A98" s="71"/>
      <c r="B98" s="69"/>
      <c r="C98" s="156" t="s">
        <v>117</v>
      </c>
      <c r="D98" s="183">
        <v>0</v>
      </c>
      <c r="E98" s="188">
        <v>0</v>
      </c>
      <c r="F98" s="183">
        <v>0</v>
      </c>
      <c r="G98" s="169">
        <v>0</v>
      </c>
      <c r="H98" s="70">
        <v>0</v>
      </c>
      <c r="I98" s="282">
        <v>0</v>
      </c>
      <c r="J98" s="319"/>
      <c r="L98" s="284"/>
      <c r="V98" s="6"/>
    </row>
    <row r="99" spans="1:23" ht="15.75" thickTop="1" x14ac:dyDescent="0.25">
      <c r="A99" s="71"/>
      <c r="B99" s="69"/>
      <c r="C99" s="79" t="s">
        <v>118</v>
      </c>
      <c r="D99" s="456">
        <f>SUM(D96,D97)</f>
        <v>22.36</v>
      </c>
      <c r="E99" s="457">
        <f t="shared" ref="E99:F99" si="25">SUM(E96,E97)</f>
        <v>85.13</v>
      </c>
      <c r="F99" s="186">
        <f t="shared" si="25"/>
        <v>75.16</v>
      </c>
      <c r="G99" s="171">
        <f t="shared" si="24"/>
        <v>9.9699999999999989</v>
      </c>
      <c r="H99" s="70">
        <f>SUM(H96:H98)</f>
        <v>78.900000000000006</v>
      </c>
      <c r="I99" s="315">
        <f>SUM(I96:I98)</f>
        <v>98.08</v>
      </c>
      <c r="J99" s="443"/>
      <c r="K99" s="255">
        <f>H99-I99</f>
        <v>-19.179999999999993</v>
      </c>
      <c r="L99" s="447">
        <f>(ABS(H99-I99))/I99</f>
        <v>0.19555464926590532</v>
      </c>
      <c r="M99" s="464">
        <f>SUM(M86:M95)</f>
        <v>95</v>
      </c>
      <c r="N99" s="255"/>
      <c r="O99" s="291"/>
      <c r="P99" s="255"/>
      <c r="Q99" s="291"/>
      <c r="R99" s="255"/>
      <c r="S99" s="291"/>
      <c r="T99" s="255"/>
      <c r="U99" s="291"/>
      <c r="V99" s="464">
        <f>SUM(N86:N95)</f>
        <v>109.12</v>
      </c>
      <c r="W99" s="484">
        <f>SUM(W86:W97)</f>
        <v>95</v>
      </c>
    </row>
    <row r="100" spans="1:23" x14ac:dyDescent="0.25">
      <c r="A100" s="3" t="s">
        <v>25</v>
      </c>
      <c r="B100" s="15"/>
      <c r="C100" s="3"/>
      <c r="D100" s="37"/>
      <c r="E100" s="99"/>
      <c r="F100" s="83"/>
      <c r="G100" s="116"/>
      <c r="J100" s="319"/>
      <c r="L100" s="299"/>
    </row>
    <row r="101" spans="1:23" x14ac:dyDescent="0.25">
      <c r="A101" s="44"/>
      <c r="B101" s="123" t="s">
        <v>3</v>
      </c>
      <c r="C101" s="123" t="s">
        <v>56</v>
      </c>
      <c r="D101" s="214">
        <v>1.49</v>
      </c>
      <c r="E101" s="218">
        <v>6.36</v>
      </c>
      <c r="F101" s="207">
        <v>8.1</v>
      </c>
      <c r="G101" s="230">
        <f>E101-F101</f>
        <v>-1.7399999999999993</v>
      </c>
      <c r="H101" s="448">
        <v>7.8</v>
      </c>
      <c r="I101" s="315">
        <v>10.050000000000001</v>
      </c>
      <c r="J101" s="443">
        <f t="shared" si="18"/>
        <v>6.7449664429530207</v>
      </c>
      <c r="K101" s="255">
        <f>H101-I101</f>
        <v>-2.2500000000000009</v>
      </c>
      <c r="L101" s="447">
        <f>(ABS(H101-I101))/I101</f>
        <v>0.22388059701492544</v>
      </c>
      <c r="M101" s="464">
        <v>8</v>
      </c>
      <c r="N101" s="255">
        <v>7.67</v>
      </c>
      <c r="O101" s="291"/>
      <c r="P101" s="255"/>
      <c r="Q101" s="291"/>
      <c r="R101" s="255"/>
      <c r="S101" s="291"/>
      <c r="T101" s="255"/>
      <c r="U101" s="291"/>
      <c r="V101" s="464">
        <v>7.67</v>
      </c>
      <c r="W101" s="484">
        <v>8</v>
      </c>
    </row>
    <row r="102" spans="1:23" x14ac:dyDescent="0.25">
      <c r="A102" s="1" t="s">
        <v>93</v>
      </c>
      <c r="B102" s="8"/>
      <c r="C102" s="1"/>
      <c r="D102" s="87"/>
      <c r="E102" s="114"/>
      <c r="F102" s="65"/>
      <c r="G102" s="115"/>
      <c r="J102" s="319"/>
      <c r="L102" s="299"/>
    </row>
    <row r="103" spans="1:23" x14ac:dyDescent="0.25">
      <c r="A103" s="44"/>
      <c r="B103" s="444" t="s">
        <v>7</v>
      </c>
      <c r="C103" s="444" t="s">
        <v>99</v>
      </c>
      <c r="D103" s="445">
        <v>1</v>
      </c>
      <c r="E103" s="446">
        <v>0</v>
      </c>
      <c r="F103" s="207">
        <v>4.84</v>
      </c>
      <c r="G103" s="313">
        <f>E103-F103</f>
        <v>-4.84</v>
      </c>
      <c r="H103" s="314">
        <v>5</v>
      </c>
      <c r="I103" s="315">
        <v>4.93</v>
      </c>
      <c r="J103" s="443">
        <f t="shared" si="18"/>
        <v>4.93</v>
      </c>
      <c r="K103" s="255">
        <f>H103-I103</f>
        <v>7.0000000000000284E-2</v>
      </c>
      <c r="L103" s="447">
        <f>(ABS(H103-I103))/I103</f>
        <v>1.4198782961460505E-2</v>
      </c>
      <c r="M103" s="462"/>
      <c r="N103" s="255"/>
      <c r="O103" s="291"/>
      <c r="P103" s="255"/>
      <c r="Q103" s="291"/>
      <c r="R103" s="255"/>
      <c r="S103" s="291"/>
      <c r="T103" s="255"/>
      <c r="U103" s="291"/>
      <c r="V103" s="477"/>
    </row>
    <row r="104" spans="1:23" x14ac:dyDescent="0.25">
      <c r="A104" s="43" t="s">
        <v>103</v>
      </c>
      <c r="B104" s="8"/>
      <c r="C104" s="79"/>
      <c r="D104" s="64"/>
      <c r="E104" s="115"/>
      <c r="F104" s="80"/>
      <c r="G104" s="115"/>
      <c r="J104" s="319"/>
      <c r="L104" s="299"/>
    </row>
    <row r="105" spans="1:23" x14ac:dyDescent="0.25">
      <c r="A105" s="44"/>
      <c r="B105" s="309" t="s">
        <v>7</v>
      </c>
      <c r="C105" s="309" t="s">
        <v>122</v>
      </c>
      <c r="D105" s="310">
        <v>3.98</v>
      </c>
      <c r="E105" s="311">
        <v>0</v>
      </c>
      <c r="F105" s="312">
        <v>5.52</v>
      </c>
      <c r="G105" s="313">
        <f>E105-F105</f>
        <v>-5.52</v>
      </c>
      <c r="H105" s="314">
        <v>10</v>
      </c>
      <c r="I105" s="315">
        <v>10.029999999999999</v>
      </c>
      <c r="J105" s="443">
        <f t="shared" si="18"/>
        <v>2.5201005025125625</v>
      </c>
      <c r="K105" s="255">
        <f>H105-I105</f>
        <v>-2.9999999999999361E-2</v>
      </c>
      <c r="L105" s="316">
        <f>(ABS(H105-I105))/I105</f>
        <v>2.9910269192422096E-3</v>
      </c>
      <c r="M105" s="463">
        <v>14</v>
      </c>
      <c r="N105" s="255">
        <v>19.36</v>
      </c>
      <c r="O105" s="291"/>
      <c r="P105" s="255"/>
      <c r="Q105" s="291"/>
      <c r="R105" s="255"/>
      <c r="S105" s="291"/>
      <c r="T105" s="255"/>
      <c r="U105" s="291"/>
      <c r="V105" s="464">
        <v>19.36</v>
      </c>
    </row>
    <row r="106" spans="1:23" x14ac:dyDescent="0.25">
      <c r="A106" s="43" t="s">
        <v>149</v>
      </c>
      <c r="B106" s="130"/>
      <c r="C106" s="130"/>
      <c r="D106" s="131"/>
      <c r="E106" s="113"/>
      <c r="F106" s="97"/>
      <c r="G106" s="115"/>
      <c r="H106" s="290"/>
      <c r="J106" s="319"/>
      <c r="K106" s="70">
        <f t="shared" ref="K106:K111" si="26">H106-I106</f>
        <v>0</v>
      </c>
      <c r="L106" s="300" t="e">
        <f t="shared" ref="L106:L111" si="27">(ABS(H106-I106))/I106</f>
        <v>#DIV/0!</v>
      </c>
    </row>
    <row r="107" spans="1:23" x14ac:dyDescent="0.25">
      <c r="A107" s="44"/>
      <c r="B107" s="309" t="s">
        <v>7</v>
      </c>
      <c r="C107" s="309" t="s">
        <v>99</v>
      </c>
      <c r="D107" s="310">
        <v>2</v>
      </c>
      <c r="E107" s="311"/>
      <c r="F107" s="312"/>
      <c r="G107" s="313"/>
      <c r="H107" s="314">
        <v>10</v>
      </c>
      <c r="I107" s="315">
        <v>11.69</v>
      </c>
      <c r="J107" s="443">
        <f t="shared" si="18"/>
        <v>5.8449999999999998</v>
      </c>
      <c r="K107" s="255">
        <f t="shared" si="26"/>
        <v>-1.6899999999999995</v>
      </c>
      <c r="L107" s="316">
        <f t="shared" si="27"/>
        <v>0.14456800684345592</v>
      </c>
      <c r="M107" s="462"/>
      <c r="N107" s="255"/>
      <c r="O107" s="291"/>
      <c r="P107" s="255"/>
      <c r="Q107" s="291"/>
      <c r="R107" s="255"/>
      <c r="S107" s="291"/>
      <c r="T107" s="255"/>
      <c r="U107" s="291"/>
      <c r="V107" s="477"/>
    </row>
    <row r="108" spans="1:23" x14ac:dyDescent="0.25">
      <c r="A108" s="43" t="s">
        <v>196</v>
      </c>
      <c r="B108" s="94"/>
      <c r="C108" s="130"/>
      <c r="D108" s="131"/>
      <c r="E108" s="113"/>
      <c r="F108" s="97"/>
      <c r="G108" s="115"/>
      <c r="H108" s="290"/>
      <c r="J108" s="319"/>
      <c r="K108" s="471"/>
      <c r="L108" s="300"/>
      <c r="M108" s="467"/>
    </row>
    <row r="109" spans="1:23" x14ac:dyDescent="0.25">
      <c r="A109" s="44"/>
      <c r="B109" s="309" t="s">
        <v>197</v>
      </c>
      <c r="C109" s="309"/>
      <c r="D109" s="310"/>
      <c r="E109" s="311"/>
      <c r="F109" s="312"/>
      <c r="G109" s="313"/>
      <c r="H109" s="314"/>
      <c r="I109" s="315"/>
      <c r="J109" s="443"/>
      <c r="K109" s="255"/>
      <c r="L109" s="316"/>
      <c r="M109" s="464">
        <v>5</v>
      </c>
      <c r="N109" s="255">
        <v>7.46</v>
      </c>
      <c r="O109" s="291"/>
      <c r="P109" s="255"/>
      <c r="Q109" s="291"/>
      <c r="R109" s="255"/>
      <c r="S109" s="291"/>
      <c r="T109" s="255"/>
      <c r="U109" s="291"/>
      <c r="V109" s="464">
        <v>7.46</v>
      </c>
      <c r="W109" s="485">
        <v>25</v>
      </c>
    </row>
    <row r="110" spans="1:23" x14ac:dyDescent="0.25">
      <c r="A110" s="43" t="s">
        <v>159</v>
      </c>
      <c r="B110" s="130"/>
      <c r="C110" s="130"/>
      <c r="D110" s="131"/>
      <c r="E110" s="113"/>
      <c r="F110" s="97"/>
      <c r="G110" s="115"/>
      <c r="H110" s="472"/>
      <c r="J110" s="319"/>
      <c r="K110" s="70">
        <f t="shared" si="26"/>
        <v>0</v>
      </c>
      <c r="L110" s="300" t="e">
        <f t="shared" si="27"/>
        <v>#DIV/0!</v>
      </c>
      <c r="M110" s="467"/>
      <c r="N110" s="471"/>
      <c r="P110" s="471"/>
      <c r="R110" s="471"/>
      <c r="T110" s="471"/>
      <c r="V110" s="482"/>
    </row>
    <row r="111" spans="1:23" x14ac:dyDescent="0.25">
      <c r="A111" s="44"/>
      <c r="B111" s="309" t="s">
        <v>160</v>
      </c>
      <c r="C111" s="309" t="s">
        <v>122</v>
      </c>
      <c r="D111" s="310">
        <v>1.68</v>
      </c>
      <c r="E111" s="311"/>
      <c r="F111" s="312"/>
      <c r="G111" s="313"/>
      <c r="H111" s="314">
        <v>10</v>
      </c>
      <c r="I111" s="315">
        <v>8.4</v>
      </c>
      <c r="J111" s="443">
        <f t="shared" si="18"/>
        <v>5</v>
      </c>
      <c r="K111" s="255">
        <f t="shared" si="26"/>
        <v>1.5999999999999996</v>
      </c>
      <c r="L111" s="316">
        <f t="shared" si="27"/>
        <v>0.19047619047619044</v>
      </c>
      <c r="M111" s="464">
        <v>10</v>
      </c>
      <c r="N111" s="255">
        <v>10.73</v>
      </c>
      <c r="O111" s="291"/>
      <c r="P111" s="255"/>
      <c r="Q111" s="291"/>
      <c r="R111" s="255"/>
      <c r="S111" s="291"/>
      <c r="T111" s="255"/>
      <c r="U111" s="291"/>
      <c r="V111" s="464">
        <v>10.73</v>
      </c>
      <c r="W111" s="484">
        <v>10</v>
      </c>
    </row>
    <row r="112" spans="1:23" x14ac:dyDescent="0.25">
      <c r="A112" s="43" t="s">
        <v>27</v>
      </c>
      <c r="B112" s="8"/>
      <c r="C112" s="1"/>
      <c r="D112" s="87"/>
      <c r="E112" s="114"/>
      <c r="F112" s="65"/>
      <c r="G112" s="111"/>
      <c r="J112" s="319"/>
      <c r="L112" s="299"/>
    </row>
    <row r="113" spans="1:23" x14ac:dyDescent="0.25">
      <c r="A113" s="71"/>
      <c r="B113" s="9" t="s">
        <v>3</v>
      </c>
      <c r="C113" s="9" t="s">
        <v>57</v>
      </c>
      <c r="D113" s="39">
        <v>7.0000000000000007E-2</v>
      </c>
      <c r="E113" s="126">
        <v>0.32</v>
      </c>
      <c r="F113" s="95">
        <v>0.25</v>
      </c>
      <c r="G113" s="126">
        <f>E113-F113</f>
        <v>7.0000000000000007E-2</v>
      </c>
      <c r="H113" s="290">
        <v>0.25</v>
      </c>
      <c r="I113" s="282">
        <v>0.8</v>
      </c>
      <c r="J113" s="319">
        <f t="shared" si="18"/>
        <v>11.428571428571429</v>
      </c>
      <c r="K113" s="70">
        <f t="shared" ref="K113:K118" si="28">H113-I113</f>
        <v>-0.55000000000000004</v>
      </c>
      <c r="L113" s="284">
        <f t="shared" ref="L113:L118" si="29">(ABS(H113-I113))/I113</f>
        <v>0.6875</v>
      </c>
      <c r="M113" s="279">
        <v>0.5</v>
      </c>
      <c r="N113" s="70">
        <v>0.4</v>
      </c>
      <c r="W113">
        <v>0.5</v>
      </c>
    </row>
    <row r="114" spans="1:23" x14ac:dyDescent="0.25">
      <c r="A114" s="1"/>
      <c r="B114" s="9"/>
      <c r="C114" s="9" t="s">
        <v>58</v>
      </c>
      <c r="D114" s="39">
        <v>2.36</v>
      </c>
      <c r="E114" s="126">
        <v>10.74</v>
      </c>
      <c r="F114" s="95">
        <v>9.5399999999999991</v>
      </c>
      <c r="G114" s="126">
        <f t="shared" ref="G114:G121" si="30">E114-F114</f>
        <v>1.2000000000000011</v>
      </c>
      <c r="H114" s="288">
        <v>8.1</v>
      </c>
      <c r="I114" s="282">
        <v>10.02</v>
      </c>
      <c r="J114" s="319">
        <f t="shared" si="18"/>
        <v>4.2457627118644066</v>
      </c>
      <c r="K114" s="70">
        <f t="shared" si="28"/>
        <v>-1.92</v>
      </c>
      <c r="L114" s="284">
        <f t="shared" si="29"/>
        <v>0.19161676646706588</v>
      </c>
      <c r="M114" s="279">
        <v>10</v>
      </c>
      <c r="N114" s="70">
        <v>12.94</v>
      </c>
      <c r="W114">
        <v>10</v>
      </c>
    </row>
    <row r="115" spans="1:23" x14ac:dyDescent="0.25">
      <c r="A115" s="71"/>
      <c r="B115" s="9"/>
      <c r="C115" s="9" t="s">
        <v>59</v>
      </c>
      <c r="D115" s="39">
        <v>1.17</v>
      </c>
      <c r="E115" s="126">
        <v>5.42</v>
      </c>
      <c r="F115" s="95">
        <v>4.26</v>
      </c>
      <c r="G115" s="126">
        <f t="shared" si="30"/>
        <v>1.1600000000000001</v>
      </c>
      <c r="H115" s="288">
        <v>5.2</v>
      </c>
      <c r="I115" s="282">
        <v>4.7699999999999996</v>
      </c>
      <c r="J115" s="319">
        <f t="shared" si="18"/>
        <v>4.0769230769230766</v>
      </c>
      <c r="K115" s="70">
        <f t="shared" si="28"/>
        <v>0.4300000000000006</v>
      </c>
      <c r="L115" s="284">
        <f t="shared" si="29"/>
        <v>9.0146750524109143E-2</v>
      </c>
      <c r="M115" s="279">
        <v>5</v>
      </c>
      <c r="N115" s="70">
        <v>6.14</v>
      </c>
      <c r="W115">
        <v>5</v>
      </c>
    </row>
    <row r="116" spans="1:23" x14ac:dyDescent="0.25">
      <c r="A116" s="71"/>
      <c r="B116" s="9"/>
      <c r="C116" s="9" t="s">
        <v>60</v>
      </c>
      <c r="D116" s="39">
        <v>0.95</v>
      </c>
      <c r="E116" s="126">
        <v>5.52</v>
      </c>
      <c r="F116" s="95">
        <v>3.13</v>
      </c>
      <c r="G116" s="126">
        <f t="shared" si="30"/>
        <v>2.3899999999999997</v>
      </c>
      <c r="H116" s="234">
        <v>3.8</v>
      </c>
      <c r="I116" s="282">
        <v>3.88</v>
      </c>
      <c r="J116" s="319">
        <f t="shared" si="18"/>
        <v>4.0842105263157897</v>
      </c>
      <c r="K116" s="70">
        <f t="shared" si="28"/>
        <v>-8.0000000000000071E-2</v>
      </c>
      <c r="L116" s="284">
        <f t="shared" si="29"/>
        <v>2.0618556701030948E-2</v>
      </c>
      <c r="M116" s="279">
        <v>4</v>
      </c>
      <c r="N116" s="70">
        <v>4.49</v>
      </c>
      <c r="W116">
        <v>4</v>
      </c>
    </row>
    <row r="117" spans="1:23" x14ac:dyDescent="0.25">
      <c r="A117" s="71"/>
      <c r="B117" s="18" t="s">
        <v>7</v>
      </c>
      <c r="C117" s="18" t="s">
        <v>122</v>
      </c>
      <c r="D117" s="129">
        <v>3.02</v>
      </c>
      <c r="E117" s="140">
        <v>0</v>
      </c>
      <c r="F117" s="97">
        <v>17.004999999999999</v>
      </c>
      <c r="G117" s="126">
        <f t="shared" si="30"/>
        <v>-17.004999999999999</v>
      </c>
      <c r="H117" s="290">
        <v>10</v>
      </c>
      <c r="I117" s="282">
        <v>9.19</v>
      </c>
      <c r="J117" s="319">
        <f t="shared" si="18"/>
        <v>3.0430463576158937</v>
      </c>
      <c r="K117" s="70">
        <f t="shared" si="28"/>
        <v>0.8100000000000005</v>
      </c>
      <c r="L117" s="284">
        <f t="shared" si="29"/>
        <v>8.8139281828074054E-2</v>
      </c>
      <c r="M117" s="279">
        <v>20</v>
      </c>
      <c r="N117" s="70">
        <v>20.89</v>
      </c>
      <c r="W117">
        <v>10</v>
      </c>
    </row>
    <row r="118" spans="1:23" x14ac:dyDescent="0.25">
      <c r="A118" s="71"/>
      <c r="B118" s="12"/>
      <c r="C118" s="151" t="s">
        <v>115</v>
      </c>
      <c r="D118" s="176">
        <f>SUM(D113:D116)</f>
        <v>4.55</v>
      </c>
      <c r="E118" s="187">
        <f>SUM(E113:E116)</f>
        <v>22</v>
      </c>
      <c r="F118" s="176">
        <f>SUM(F113:F116)</f>
        <v>17.18</v>
      </c>
      <c r="G118" s="161">
        <f t="shared" si="30"/>
        <v>4.82</v>
      </c>
      <c r="H118" s="70">
        <f>SUM(H113:H116)</f>
        <v>17.350000000000001</v>
      </c>
      <c r="I118" s="282">
        <f>SUM(I113:I116)</f>
        <v>19.47</v>
      </c>
      <c r="J118" s="319"/>
      <c r="K118" s="70">
        <f t="shared" si="28"/>
        <v>-2.1199999999999974</v>
      </c>
      <c r="L118" s="284">
        <f t="shared" si="29"/>
        <v>0.10888546481766809</v>
      </c>
    </row>
    <row r="119" spans="1:23" x14ac:dyDescent="0.25">
      <c r="A119" s="71"/>
      <c r="B119" s="12"/>
      <c r="C119" s="71" t="s">
        <v>120</v>
      </c>
      <c r="D119" s="149">
        <v>0</v>
      </c>
      <c r="E119" s="165">
        <v>0</v>
      </c>
      <c r="F119" s="149">
        <v>0</v>
      </c>
      <c r="G119" s="171">
        <f t="shared" si="30"/>
        <v>0</v>
      </c>
      <c r="H119" s="288">
        <v>0</v>
      </c>
      <c r="I119" s="282">
        <v>0</v>
      </c>
      <c r="J119" s="319"/>
      <c r="L119" s="284"/>
    </row>
    <row r="120" spans="1:23" ht="15.75" thickBot="1" x14ac:dyDescent="0.3">
      <c r="A120" s="71"/>
      <c r="B120" s="69"/>
      <c r="C120" s="156" t="s">
        <v>117</v>
      </c>
      <c r="D120" s="183">
        <v>3.02</v>
      </c>
      <c r="E120" s="188">
        <v>0</v>
      </c>
      <c r="F120" s="183">
        <v>17.010000000000002</v>
      </c>
      <c r="G120" s="169">
        <f t="shared" si="30"/>
        <v>-17.010000000000002</v>
      </c>
      <c r="H120" s="70">
        <f>H117</f>
        <v>10</v>
      </c>
      <c r="I120" s="282">
        <f>I117</f>
        <v>9.19</v>
      </c>
      <c r="J120" s="319"/>
      <c r="K120" s="70">
        <f>H120-I120</f>
        <v>0.8100000000000005</v>
      </c>
      <c r="L120" s="284">
        <f>(ABS(H120-I120))/I120</f>
        <v>8.8139281828074054E-2</v>
      </c>
    </row>
    <row r="121" spans="1:23" ht="15.75" thickTop="1" x14ac:dyDescent="0.25">
      <c r="A121" s="71"/>
      <c r="B121" s="69"/>
      <c r="C121" s="79" t="s">
        <v>118</v>
      </c>
      <c r="D121" s="186">
        <f>SUM(D118:D120)</f>
        <v>7.57</v>
      </c>
      <c r="E121" s="165">
        <v>22</v>
      </c>
      <c r="F121" s="149">
        <f>SUM(F118,F120)</f>
        <v>34.19</v>
      </c>
      <c r="G121" s="171">
        <f t="shared" si="30"/>
        <v>-12.189999999999998</v>
      </c>
      <c r="H121" s="70">
        <f>SUM(H118:H120)</f>
        <v>27.35</v>
      </c>
      <c r="I121" s="315">
        <f>SUM(I118:I120)</f>
        <v>28.659999999999997</v>
      </c>
      <c r="J121" s="443"/>
      <c r="K121" s="255">
        <f>H121-I121</f>
        <v>-1.3099999999999952</v>
      </c>
      <c r="L121" s="447">
        <f>(ABS(H121-I121))/I121</f>
        <v>4.5708304256803743E-2</v>
      </c>
      <c r="M121" s="464">
        <f>SUM(M113:M117)</f>
        <v>39.5</v>
      </c>
      <c r="N121" s="255"/>
      <c r="O121" s="291"/>
      <c r="P121" s="255"/>
      <c r="Q121" s="291"/>
      <c r="R121" s="255"/>
      <c r="S121" s="291"/>
      <c r="T121" s="255"/>
      <c r="U121" s="291"/>
      <c r="V121" s="464">
        <f>SUM(N113:N118)</f>
        <v>44.86</v>
      </c>
      <c r="W121" s="484">
        <f>SUM(W113:W120)</f>
        <v>29.5</v>
      </c>
    </row>
    <row r="122" spans="1:23" x14ac:dyDescent="0.25">
      <c r="A122" s="3" t="s">
        <v>28</v>
      </c>
      <c r="B122" s="15"/>
      <c r="C122" s="3"/>
      <c r="D122" s="37"/>
      <c r="E122" s="99"/>
      <c r="F122" s="83"/>
      <c r="G122" s="118"/>
      <c r="J122" s="319"/>
      <c r="L122" s="299"/>
    </row>
    <row r="123" spans="1:23" x14ac:dyDescent="0.25">
      <c r="A123" s="71"/>
      <c r="B123" s="9" t="s">
        <v>3</v>
      </c>
      <c r="C123" s="9" t="s">
        <v>53</v>
      </c>
      <c r="D123" s="39">
        <v>1.1000000000000001</v>
      </c>
      <c r="E123" s="126">
        <v>4.45</v>
      </c>
      <c r="F123" s="95">
        <v>4.53</v>
      </c>
      <c r="G123" s="126">
        <f>E123-F123</f>
        <v>-8.0000000000000071E-2</v>
      </c>
      <c r="H123" s="70">
        <v>4.5999999999999996</v>
      </c>
      <c r="I123" s="282">
        <v>5.36</v>
      </c>
      <c r="J123" s="319">
        <f t="shared" si="18"/>
        <v>4.872727272727273</v>
      </c>
      <c r="K123" s="70">
        <f t="shared" ref="K123:K128" si="31">H123-I123</f>
        <v>-0.76000000000000068</v>
      </c>
      <c r="L123" s="284">
        <f t="shared" ref="L123:L128" si="32">(ABS(H123-I123))/I123</f>
        <v>0.14179104477611951</v>
      </c>
      <c r="M123" s="279">
        <v>5</v>
      </c>
      <c r="N123" s="70">
        <v>4.46</v>
      </c>
      <c r="W123">
        <v>5</v>
      </c>
    </row>
    <row r="124" spans="1:23" x14ac:dyDescent="0.25">
      <c r="A124" s="71"/>
      <c r="B124" s="9" t="s">
        <v>3</v>
      </c>
      <c r="C124" s="9" t="s">
        <v>61</v>
      </c>
      <c r="D124" s="39">
        <v>0.83</v>
      </c>
      <c r="E124" s="126">
        <v>4.0599999999999996</v>
      </c>
      <c r="F124" s="95">
        <v>4.49</v>
      </c>
      <c r="G124" s="126">
        <f t="shared" ref="G124:G130" si="33">E124-F124</f>
        <v>-0.4300000000000006</v>
      </c>
      <c r="H124" s="285">
        <v>3</v>
      </c>
      <c r="I124" s="282">
        <v>6.04</v>
      </c>
      <c r="J124" s="319">
        <f t="shared" si="18"/>
        <v>7.2771084337349405</v>
      </c>
      <c r="K124" s="70">
        <f t="shared" si="31"/>
        <v>-3.04</v>
      </c>
      <c r="L124" s="284">
        <f t="shared" si="32"/>
        <v>0.50331125827814571</v>
      </c>
      <c r="M124" s="279">
        <v>5</v>
      </c>
      <c r="N124" s="70">
        <v>4.6500000000000004</v>
      </c>
      <c r="W124">
        <v>5</v>
      </c>
    </row>
    <row r="125" spans="1:23" x14ac:dyDescent="0.25">
      <c r="A125" s="71"/>
      <c r="B125" s="72" t="s">
        <v>86</v>
      </c>
      <c r="C125" s="9"/>
      <c r="D125" s="39">
        <v>0.05</v>
      </c>
      <c r="E125" s="128">
        <v>0.24</v>
      </c>
      <c r="F125" s="95">
        <v>0.23</v>
      </c>
      <c r="G125" s="126">
        <f t="shared" si="33"/>
        <v>9.9999999999999811E-3</v>
      </c>
      <c r="H125" s="290">
        <v>0.23</v>
      </c>
      <c r="I125" s="282">
        <v>0.24</v>
      </c>
      <c r="J125" s="319">
        <f t="shared" si="18"/>
        <v>4.8</v>
      </c>
      <c r="K125" s="70">
        <f t="shared" si="31"/>
        <v>-9.9999999999999811E-3</v>
      </c>
      <c r="L125" s="284">
        <f t="shared" si="32"/>
        <v>4.1666666666666588E-2</v>
      </c>
      <c r="M125" s="279">
        <v>0.25</v>
      </c>
      <c r="N125" s="70">
        <v>0.14000000000000001</v>
      </c>
      <c r="W125">
        <v>0.2</v>
      </c>
    </row>
    <row r="126" spans="1:23" x14ac:dyDescent="0.25">
      <c r="A126" s="71"/>
      <c r="B126" s="9" t="s">
        <v>6</v>
      </c>
      <c r="C126" s="9"/>
      <c r="D126" s="39">
        <v>13.45</v>
      </c>
      <c r="E126" s="126">
        <v>58.79</v>
      </c>
      <c r="F126" s="95">
        <v>61.53</v>
      </c>
      <c r="G126" s="126">
        <f t="shared" si="33"/>
        <v>-2.740000000000002</v>
      </c>
      <c r="H126" s="289">
        <v>48.8</v>
      </c>
      <c r="I126" s="282">
        <v>51.54</v>
      </c>
      <c r="J126" s="319">
        <f t="shared" si="18"/>
        <v>3.8319702602230485</v>
      </c>
      <c r="K126" s="70">
        <f t="shared" si="31"/>
        <v>-2.740000000000002</v>
      </c>
      <c r="L126" s="284">
        <f t="shared" si="32"/>
        <v>5.316259216142806E-2</v>
      </c>
      <c r="M126" s="279">
        <v>52</v>
      </c>
      <c r="N126" s="70">
        <v>54.8</v>
      </c>
      <c r="W126">
        <v>55</v>
      </c>
    </row>
    <row r="127" spans="1:23" x14ac:dyDescent="0.25">
      <c r="A127" s="71"/>
      <c r="B127" s="12"/>
      <c r="C127" s="151" t="s">
        <v>115</v>
      </c>
      <c r="D127" s="176">
        <f>SUM(D123:D124,D126)</f>
        <v>15.379999999999999</v>
      </c>
      <c r="E127" s="187">
        <f>SUM(E123:E124,E126)</f>
        <v>67.3</v>
      </c>
      <c r="F127" s="176">
        <f>SUM(F123:F124,F126)</f>
        <v>70.55</v>
      </c>
      <c r="G127" s="161">
        <f t="shared" si="33"/>
        <v>-3.25</v>
      </c>
      <c r="H127" s="285">
        <f>SUM(H123:H124,H126)</f>
        <v>56.4</v>
      </c>
      <c r="I127" s="449">
        <f>SUM(I123:I124,I126)</f>
        <v>62.94</v>
      </c>
      <c r="J127" s="319"/>
      <c r="K127" s="70">
        <f t="shared" si="31"/>
        <v>-6.5399999999999991</v>
      </c>
      <c r="L127" s="284">
        <f t="shared" si="32"/>
        <v>0.10390848427073403</v>
      </c>
    </row>
    <row r="128" spans="1:23" x14ac:dyDescent="0.25">
      <c r="A128" s="71"/>
      <c r="B128" s="12"/>
      <c r="C128" s="71" t="s">
        <v>119</v>
      </c>
      <c r="D128" s="149">
        <v>0.05</v>
      </c>
      <c r="E128" s="165">
        <v>0.24</v>
      </c>
      <c r="F128" s="149">
        <v>0.23</v>
      </c>
      <c r="G128" s="171">
        <f t="shared" si="33"/>
        <v>9.9999999999999811E-3</v>
      </c>
      <c r="H128" s="70">
        <f>H125</f>
        <v>0.23</v>
      </c>
      <c r="I128" s="282">
        <f>I125</f>
        <v>0.24</v>
      </c>
      <c r="J128" s="319"/>
      <c r="K128" s="70">
        <f t="shared" si="31"/>
        <v>-9.9999999999999811E-3</v>
      </c>
      <c r="L128" s="284">
        <f t="shared" si="32"/>
        <v>4.1666666666666588E-2</v>
      </c>
    </row>
    <row r="129" spans="1:23" ht="15.75" thickBot="1" x14ac:dyDescent="0.3">
      <c r="A129" s="71"/>
      <c r="B129" s="69"/>
      <c r="C129" s="156" t="s">
        <v>117</v>
      </c>
      <c r="D129" s="183">
        <v>0</v>
      </c>
      <c r="E129" s="188">
        <v>0</v>
      </c>
      <c r="F129" s="183">
        <v>0</v>
      </c>
      <c r="G129" s="169">
        <f t="shared" si="33"/>
        <v>0</v>
      </c>
      <c r="H129" s="70">
        <v>0</v>
      </c>
      <c r="I129" s="282">
        <v>0</v>
      </c>
      <c r="J129" s="319"/>
      <c r="L129" s="284"/>
    </row>
    <row r="130" spans="1:23" ht="15.75" thickTop="1" x14ac:dyDescent="0.25">
      <c r="A130" s="71"/>
      <c r="B130" s="69"/>
      <c r="C130" s="79" t="s">
        <v>118</v>
      </c>
      <c r="D130" s="186">
        <f>SUM(D127:D128)</f>
        <v>15.43</v>
      </c>
      <c r="E130" s="165">
        <f t="shared" ref="E130:F130" si="34">SUM(E127:E128)</f>
        <v>67.539999999999992</v>
      </c>
      <c r="F130" s="149">
        <f t="shared" si="34"/>
        <v>70.78</v>
      </c>
      <c r="G130" s="171">
        <f t="shared" si="33"/>
        <v>-3.2400000000000091</v>
      </c>
      <c r="H130" s="285">
        <f>SUM(H127:H129)</f>
        <v>56.629999999999995</v>
      </c>
      <c r="I130" s="297">
        <f>SUM(I127:I129)</f>
        <v>63.18</v>
      </c>
      <c r="J130" s="443"/>
      <c r="K130" s="255">
        <f>H130-I130</f>
        <v>-6.5500000000000043</v>
      </c>
      <c r="L130" s="447">
        <f>(ABS(H130-I130))/I130</f>
        <v>0.10367204811649262</v>
      </c>
      <c r="M130" s="464">
        <f>SUM(M123:M126)</f>
        <v>62.25</v>
      </c>
      <c r="N130" s="255"/>
      <c r="O130" s="291"/>
      <c r="P130" s="255"/>
      <c r="Q130" s="291"/>
      <c r="R130" s="255"/>
      <c r="S130" s="291"/>
      <c r="T130" s="255"/>
      <c r="U130" s="291"/>
      <c r="V130" s="464">
        <f>SUM(N123:N126)</f>
        <v>64.05</v>
      </c>
      <c r="W130" s="484">
        <f>SUM(W123:W129)</f>
        <v>65.2</v>
      </c>
    </row>
    <row r="131" spans="1:23" x14ac:dyDescent="0.25">
      <c r="A131" s="3" t="s">
        <v>62</v>
      </c>
      <c r="B131" s="15"/>
      <c r="C131" s="3"/>
      <c r="D131" s="37"/>
      <c r="E131" s="99"/>
      <c r="F131" s="83"/>
      <c r="G131" s="118"/>
      <c r="J131" s="319"/>
      <c r="L131" s="299"/>
    </row>
    <row r="132" spans="1:23" x14ac:dyDescent="0.25">
      <c r="A132" s="71"/>
      <c r="B132" s="18" t="s">
        <v>7</v>
      </c>
      <c r="C132" s="18" t="s">
        <v>46</v>
      </c>
      <c r="D132" s="129">
        <v>11.2</v>
      </c>
      <c r="E132" s="140">
        <v>59.91</v>
      </c>
      <c r="F132" s="97">
        <v>66.959999999999994</v>
      </c>
      <c r="G132" s="126">
        <f>E132-F132</f>
        <v>-7.0499999999999972</v>
      </c>
      <c r="H132" s="286">
        <v>60</v>
      </c>
      <c r="I132" s="282">
        <v>58.81</v>
      </c>
      <c r="J132" s="319">
        <f t="shared" si="18"/>
        <v>5.2508928571428575</v>
      </c>
      <c r="K132" s="70">
        <f t="shared" ref="K132:K137" si="35">H132-I132</f>
        <v>1.1899999999999977</v>
      </c>
      <c r="L132" s="284">
        <f>(ABS(H132-I132))/I132</f>
        <v>2.0234653970413154E-2</v>
      </c>
      <c r="M132" s="279">
        <v>60</v>
      </c>
      <c r="N132" s="70">
        <v>60.47</v>
      </c>
      <c r="W132">
        <v>60</v>
      </c>
    </row>
    <row r="133" spans="1:23" x14ac:dyDescent="0.25">
      <c r="A133" s="71"/>
      <c r="B133" s="18" t="s">
        <v>7</v>
      </c>
      <c r="C133" s="72" t="s">
        <v>99</v>
      </c>
      <c r="D133" s="129">
        <v>7</v>
      </c>
      <c r="E133" s="140">
        <v>0</v>
      </c>
      <c r="F133" s="95">
        <v>48.88</v>
      </c>
      <c r="G133" s="126">
        <f t="shared" ref="G133:G137" si="36">E133-F133</f>
        <v>-48.88</v>
      </c>
      <c r="H133" s="286">
        <v>30</v>
      </c>
      <c r="I133" s="282">
        <v>38.14</v>
      </c>
      <c r="J133" s="319">
        <f t="shared" si="18"/>
        <v>5.4485714285714284</v>
      </c>
      <c r="K133" s="70">
        <f t="shared" si="35"/>
        <v>-8.14</v>
      </c>
      <c r="L133" s="284">
        <f>(ABS(H133-I133))/I133</f>
        <v>0.21342422653382276</v>
      </c>
      <c r="M133" s="279">
        <v>35</v>
      </c>
      <c r="N133" s="70">
        <v>29.61</v>
      </c>
      <c r="W133">
        <v>35</v>
      </c>
    </row>
    <row r="134" spans="1:23" x14ac:dyDescent="0.25">
      <c r="A134" s="71"/>
      <c r="B134" s="12"/>
      <c r="C134" s="151" t="s">
        <v>115</v>
      </c>
      <c r="D134" s="195">
        <v>0</v>
      </c>
      <c r="E134" s="196">
        <v>0</v>
      </c>
      <c r="F134" s="195">
        <v>0</v>
      </c>
      <c r="G134" s="161">
        <f t="shared" si="36"/>
        <v>0</v>
      </c>
      <c r="H134" s="70">
        <v>0</v>
      </c>
      <c r="I134" s="282">
        <v>0</v>
      </c>
      <c r="J134" s="319"/>
      <c r="K134" s="70">
        <f t="shared" si="35"/>
        <v>0</v>
      </c>
      <c r="L134" s="284"/>
    </row>
    <row r="135" spans="1:23" x14ac:dyDescent="0.25">
      <c r="A135" s="71"/>
      <c r="B135" s="12"/>
      <c r="C135" s="71" t="s">
        <v>120</v>
      </c>
      <c r="D135" s="142">
        <v>0</v>
      </c>
      <c r="E135" s="140">
        <v>0</v>
      </c>
      <c r="F135" s="97">
        <v>0</v>
      </c>
      <c r="G135" s="171">
        <f t="shared" si="36"/>
        <v>0</v>
      </c>
      <c r="H135" s="70">
        <v>0</v>
      </c>
      <c r="I135" s="282">
        <v>0</v>
      </c>
      <c r="J135" s="319"/>
      <c r="K135" s="70">
        <f t="shared" si="35"/>
        <v>0</v>
      </c>
      <c r="L135" s="284"/>
    </row>
    <row r="136" spans="1:23" ht="15.75" thickBot="1" x14ac:dyDescent="0.3">
      <c r="A136" s="71"/>
      <c r="B136" s="69"/>
      <c r="C136" s="156" t="s">
        <v>117</v>
      </c>
      <c r="D136" s="194">
        <f>SUM(D132:D133)</f>
        <v>18.2</v>
      </c>
      <c r="E136" s="169">
        <v>59.91</v>
      </c>
      <c r="F136" s="170">
        <f>SUM(F132:F133)</f>
        <v>115.84</v>
      </c>
      <c r="G136" s="169">
        <f t="shared" si="36"/>
        <v>-55.930000000000007</v>
      </c>
      <c r="H136" s="70">
        <f>SUM(H132:H133)</f>
        <v>90</v>
      </c>
      <c r="I136" s="282">
        <f>SUM(I132:I133)</f>
        <v>96.95</v>
      </c>
      <c r="J136" s="319"/>
      <c r="K136" s="70">
        <f t="shared" si="35"/>
        <v>-6.9500000000000028</v>
      </c>
      <c r="L136" s="284">
        <f>(ABS(H136-I136))/I136</f>
        <v>7.1686436307374965E-2</v>
      </c>
    </row>
    <row r="137" spans="1:23" ht="15.75" thickTop="1" x14ac:dyDescent="0.25">
      <c r="A137" s="71"/>
      <c r="B137" s="69"/>
      <c r="C137" s="79" t="s">
        <v>118</v>
      </c>
      <c r="D137" s="134">
        <v>18.2</v>
      </c>
      <c r="E137" s="171">
        <v>59.91</v>
      </c>
      <c r="F137" s="158">
        <v>115.84</v>
      </c>
      <c r="G137" s="171">
        <f t="shared" si="36"/>
        <v>-55.930000000000007</v>
      </c>
      <c r="H137" s="70">
        <f>SUM(H134:H136)</f>
        <v>90</v>
      </c>
      <c r="I137" s="315">
        <f>SUM(I134:I136)</f>
        <v>96.95</v>
      </c>
      <c r="J137" s="443"/>
      <c r="K137" s="255">
        <f t="shared" si="35"/>
        <v>-6.9500000000000028</v>
      </c>
      <c r="L137" s="447">
        <f>(ABS(H137-I137))/I137</f>
        <v>7.1686436307374965E-2</v>
      </c>
      <c r="M137" s="464">
        <f>SUM(M132:M133)</f>
        <v>95</v>
      </c>
      <c r="N137" s="255"/>
      <c r="O137" s="291"/>
      <c r="P137" s="255"/>
      <c r="Q137" s="291"/>
      <c r="R137" s="255"/>
      <c r="S137" s="291"/>
      <c r="T137" s="255"/>
      <c r="U137" s="291"/>
      <c r="V137" s="464">
        <f>SUM(N132:N136)</f>
        <v>90.08</v>
      </c>
      <c r="W137" s="484">
        <f>SUM(W132:W136)</f>
        <v>95</v>
      </c>
    </row>
    <row r="138" spans="1:23" x14ac:dyDescent="0.25">
      <c r="A138" s="13" t="s">
        <v>30</v>
      </c>
      <c r="B138" s="15"/>
      <c r="C138" s="3"/>
      <c r="D138" s="37"/>
      <c r="E138" s="99"/>
      <c r="F138" s="83"/>
      <c r="G138" s="118"/>
      <c r="J138" s="319"/>
      <c r="L138" s="299"/>
    </row>
    <row r="139" spans="1:23" x14ac:dyDescent="0.25">
      <c r="A139" s="71"/>
      <c r="B139" s="9" t="s">
        <v>3</v>
      </c>
      <c r="C139" s="9" t="s">
        <v>57</v>
      </c>
      <c r="D139" s="39">
        <v>0.66</v>
      </c>
      <c r="E139" s="126">
        <v>3.36</v>
      </c>
      <c r="F139" s="95">
        <v>2.82</v>
      </c>
      <c r="G139" s="126">
        <f>E139-F139</f>
        <v>0.54</v>
      </c>
      <c r="H139" s="288">
        <v>3.3</v>
      </c>
      <c r="I139" s="282">
        <v>2.57</v>
      </c>
      <c r="J139" s="319">
        <f t="shared" si="18"/>
        <v>3.8939393939393936</v>
      </c>
      <c r="K139" s="70">
        <f t="shared" ref="K139:K147" si="37">H139-I139</f>
        <v>0.73</v>
      </c>
      <c r="L139" s="284">
        <f t="shared" ref="L139:L147" si="38">(ABS(H139-I139))/I139</f>
        <v>0.28404669260700388</v>
      </c>
      <c r="M139" s="279">
        <v>2.5</v>
      </c>
      <c r="N139" s="70">
        <v>4.18</v>
      </c>
      <c r="W139">
        <v>3</v>
      </c>
    </row>
    <row r="140" spans="1:23" x14ac:dyDescent="0.25">
      <c r="A140" s="1"/>
      <c r="B140" s="9" t="s">
        <v>3</v>
      </c>
      <c r="C140" s="9" t="s">
        <v>51</v>
      </c>
      <c r="D140" s="39">
        <v>2.79</v>
      </c>
      <c r="E140" s="126">
        <v>13.42</v>
      </c>
      <c r="F140" s="95">
        <v>16.260000000000002</v>
      </c>
      <c r="G140" s="126">
        <f t="shared" ref="G140:G150" si="39">E140-F140</f>
        <v>-2.8400000000000016</v>
      </c>
      <c r="H140" s="286">
        <v>7.5</v>
      </c>
      <c r="I140" s="282">
        <v>9.8000000000000007</v>
      </c>
      <c r="J140" s="319">
        <f t="shared" si="18"/>
        <v>3.5125448028673838</v>
      </c>
      <c r="K140" s="70">
        <f t="shared" si="37"/>
        <v>-2.3000000000000007</v>
      </c>
      <c r="L140" s="284">
        <f t="shared" si="38"/>
        <v>0.23469387755102047</v>
      </c>
      <c r="M140" s="279">
        <v>10</v>
      </c>
      <c r="N140" s="70">
        <v>14.58</v>
      </c>
      <c r="W140">
        <v>13</v>
      </c>
    </row>
    <row r="141" spans="1:23" x14ac:dyDescent="0.25">
      <c r="A141" s="71"/>
      <c r="B141" s="9" t="s">
        <v>3</v>
      </c>
      <c r="C141" s="9" t="s">
        <v>63</v>
      </c>
      <c r="D141" s="39">
        <v>2.7</v>
      </c>
      <c r="E141" s="126">
        <v>10.86</v>
      </c>
      <c r="F141" s="95">
        <v>8.07</v>
      </c>
      <c r="G141" s="126">
        <f t="shared" si="39"/>
        <v>2.7899999999999991</v>
      </c>
      <c r="H141" s="234">
        <v>7.5</v>
      </c>
      <c r="I141" s="282">
        <v>7.68</v>
      </c>
      <c r="J141" s="319">
        <f t="shared" si="18"/>
        <v>2.8444444444444441</v>
      </c>
      <c r="K141" s="70">
        <f t="shared" si="37"/>
        <v>-0.17999999999999972</v>
      </c>
      <c r="L141" s="284">
        <f t="shared" si="38"/>
        <v>2.3437499999999965E-2</v>
      </c>
      <c r="M141" s="279">
        <v>8</v>
      </c>
      <c r="N141" s="70">
        <v>14.36</v>
      </c>
      <c r="W141">
        <v>10</v>
      </c>
    </row>
    <row r="142" spans="1:23" x14ac:dyDescent="0.25">
      <c r="A142" s="71"/>
      <c r="B142" s="9" t="s">
        <v>3</v>
      </c>
      <c r="C142" s="9" t="s">
        <v>64</v>
      </c>
      <c r="D142" s="39">
        <v>0.85</v>
      </c>
      <c r="E142" s="126">
        <v>3.21</v>
      </c>
      <c r="F142" s="95">
        <v>1.4</v>
      </c>
      <c r="G142" s="126">
        <f t="shared" si="39"/>
        <v>1.81</v>
      </c>
      <c r="H142" s="234">
        <v>2</v>
      </c>
      <c r="I142" s="282">
        <v>1.3</v>
      </c>
      <c r="J142" s="319">
        <f t="shared" ref="J142:J190" si="40">I142/D142</f>
        <v>1.5294117647058825</v>
      </c>
      <c r="K142" s="70">
        <f t="shared" si="37"/>
        <v>0.7</v>
      </c>
      <c r="L142" s="284">
        <f t="shared" si="38"/>
        <v>0.53846153846153844</v>
      </c>
      <c r="M142" s="279">
        <v>1.5</v>
      </c>
      <c r="N142" s="70">
        <v>3.33</v>
      </c>
      <c r="W142">
        <v>2</v>
      </c>
    </row>
    <row r="143" spans="1:23" x14ac:dyDescent="0.25">
      <c r="A143" s="71"/>
      <c r="B143" s="9" t="s">
        <v>3</v>
      </c>
      <c r="C143" s="9" t="s">
        <v>45</v>
      </c>
      <c r="D143" s="39">
        <v>0.78</v>
      </c>
      <c r="E143" s="126">
        <v>2.7</v>
      </c>
      <c r="F143" s="95">
        <v>1.67</v>
      </c>
      <c r="G143" s="126">
        <f t="shared" si="39"/>
        <v>1.0300000000000002</v>
      </c>
      <c r="H143" s="288">
        <v>2.2000000000000002</v>
      </c>
      <c r="I143" s="282">
        <v>1.1000000000000001</v>
      </c>
      <c r="J143" s="319">
        <f t="shared" si="40"/>
        <v>1.4102564102564104</v>
      </c>
      <c r="K143" s="70">
        <f t="shared" si="37"/>
        <v>1.1000000000000001</v>
      </c>
      <c r="L143" s="284">
        <f t="shared" si="38"/>
        <v>1</v>
      </c>
      <c r="M143" s="279">
        <v>2</v>
      </c>
      <c r="N143" s="70">
        <v>4.09</v>
      </c>
      <c r="W143">
        <v>2</v>
      </c>
    </row>
    <row r="144" spans="1:23" x14ac:dyDescent="0.25">
      <c r="A144" s="1"/>
      <c r="B144" s="9" t="s">
        <v>3</v>
      </c>
      <c r="C144" s="9" t="s">
        <v>65</v>
      </c>
      <c r="D144" s="39">
        <v>4.92</v>
      </c>
      <c r="E144" s="126">
        <v>19.28</v>
      </c>
      <c r="F144" s="95">
        <v>21.55</v>
      </c>
      <c r="G144" s="126">
        <f t="shared" si="39"/>
        <v>-2.2699999999999996</v>
      </c>
      <c r="H144" s="234">
        <v>21.9</v>
      </c>
      <c r="I144" s="282">
        <v>15.29</v>
      </c>
      <c r="J144" s="319">
        <f t="shared" si="40"/>
        <v>3.1077235772357721</v>
      </c>
      <c r="K144" s="70">
        <f t="shared" si="37"/>
        <v>6.6099999999999994</v>
      </c>
      <c r="L144" s="284">
        <f t="shared" si="38"/>
        <v>0.43230869849574882</v>
      </c>
      <c r="M144" s="279">
        <v>20</v>
      </c>
      <c r="N144" s="70">
        <v>24.83</v>
      </c>
      <c r="W144">
        <v>20</v>
      </c>
    </row>
    <row r="145" spans="1:23" x14ac:dyDescent="0.25">
      <c r="A145" s="1"/>
      <c r="B145" s="9" t="s">
        <v>7</v>
      </c>
      <c r="C145" s="9" t="s">
        <v>122</v>
      </c>
      <c r="D145" s="39"/>
      <c r="E145" s="126"/>
      <c r="F145" s="95"/>
      <c r="G145" s="126"/>
      <c r="H145" s="234"/>
      <c r="J145" s="319"/>
      <c r="L145" s="284"/>
      <c r="W145">
        <v>10</v>
      </c>
    </row>
    <row r="146" spans="1:23" x14ac:dyDescent="0.25">
      <c r="A146" s="1"/>
      <c r="B146" s="18" t="s">
        <v>7</v>
      </c>
      <c r="C146" s="18" t="s">
        <v>87</v>
      </c>
      <c r="D146" s="129">
        <v>6.41</v>
      </c>
      <c r="E146" s="140">
        <v>0</v>
      </c>
      <c r="F146" s="97">
        <v>23.13</v>
      </c>
      <c r="G146" s="126">
        <f t="shared" si="39"/>
        <v>-23.13</v>
      </c>
      <c r="H146" s="290">
        <v>23.13</v>
      </c>
      <c r="I146" s="282">
        <v>25.8</v>
      </c>
      <c r="J146" s="319">
        <f t="shared" si="40"/>
        <v>4.0249609984399379</v>
      </c>
      <c r="K146" s="70">
        <f t="shared" si="37"/>
        <v>-2.6700000000000017</v>
      </c>
      <c r="L146" s="300">
        <f t="shared" si="38"/>
        <v>0.10348837209302332</v>
      </c>
      <c r="M146" s="279">
        <v>20</v>
      </c>
    </row>
    <row r="147" spans="1:23" x14ac:dyDescent="0.25">
      <c r="A147" s="71"/>
      <c r="B147" s="12"/>
      <c r="C147" s="151" t="s">
        <v>115</v>
      </c>
      <c r="D147" s="176">
        <f>SUM(D139:D144)</f>
        <v>12.7</v>
      </c>
      <c r="E147" s="187">
        <f>SUM(E139:E144)</f>
        <v>52.830000000000005</v>
      </c>
      <c r="F147" s="176">
        <f>SUM(F139:F144)</f>
        <v>51.769999999999996</v>
      </c>
      <c r="G147" s="161">
        <f t="shared" si="39"/>
        <v>1.0600000000000094</v>
      </c>
      <c r="H147" s="70">
        <f>SUM(H139:H144)</f>
        <v>44.4</v>
      </c>
      <c r="I147" s="282">
        <f>SUM(I139:I144)</f>
        <v>37.74</v>
      </c>
      <c r="J147" s="319"/>
      <c r="K147" s="70">
        <f t="shared" si="37"/>
        <v>6.6599999999999966</v>
      </c>
      <c r="L147" s="284">
        <f t="shared" si="38"/>
        <v>0.17647058823529402</v>
      </c>
    </row>
    <row r="148" spans="1:23" x14ac:dyDescent="0.25">
      <c r="A148" s="71"/>
      <c r="B148" s="12"/>
      <c r="C148" s="71" t="s">
        <v>121</v>
      </c>
      <c r="D148" s="149">
        <v>0</v>
      </c>
      <c r="E148" s="165">
        <v>0</v>
      </c>
      <c r="F148" s="149">
        <v>0</v>
      </c>
      <c r="G148" s="171">
        <f t="shared" si="39"/>
        <v>0</v>
      </c>
      <c r="H148" s="70">
        <v>0</v>
      </c>
      <c r="I148" s="282">
        <v>0</v>
      </c>
      <c r="J148" s="319"/>
      <c r="L148" s="284"/>
    </row>
    <row r="149" spans="1:23" ht="15.75" thickBot="1" x14ac:dyDescent="0.3">
      <c r="A149" s="71"/>
      <c r="B149" s="69"/>
      <c r="C149" s="156" t="s">
        <v>117</v>
      </c>
      <c r="D149" s="183">
        <v>6.41</v>
      </c>
      <c r="E149" s="188">
        <v>0</v>
      </c>
      <c r="F149" s="183">
        <v>23.13</v>
      </c>
      <c r="G149" s="169">
        <f t="shared" si="39"/>
        <v>-23.13</v>
      </c>
      <c r="H149" s="70">
        <f>SUM(H146)</f>
        <v>23.13</v>
      </c>
      <c r="I149" s="282">
        <f>SUM(I146)</f>
        <v>25.8</v>
      </c>
      <c r="J149" s="319"/>
      <c r="K149" s="70">
        <f>H149-I149</f>
        <v>-2.6700000000000017</v>
      </c>
      <c r="L149" s="300">
        <f>(ABS(H149-I149))/I149</f>
        <v>0.10348837209302332</v>
      </c>
    </row>
    <row r="150" spans="1:23" ht="15.75" thickTop="1" x14ac:dyDescent="0.25">
      <c r="A150" s="71"/>
      <c r="B150" s="69"/>
      <c r="C150" s="79" t="s">
        <v>118</v>
      </c>
      <c r="D150" s="186">
        <f>SUM(D147,D149)</f>
        <v>19.11</v>
      </c>
      <c r="E150" s="165">
        <v>52.83</v>
      </c>
      <c r="F150" s="149">
        <f>SUM(F147,F149)</f>
        <v>74.899999999999991</v>
      </c>
      <c r="G150" s="171">
        <f t="shared" si="39"/>
        <v>-22.069999999999993</v>
      </c>
      <c r="H150" s="70">
        <f>SUM(H147:H149)</f>
        <v>67.53</v>
      </c>
      <c r="I150" s="315">
        <f>SUM(I147:I149)</f>
        <v>63.540000000000006</v>
      </c>
      <c r="J150" s="443"/>
      <c r="K150" s="255">
        <f>H150-I150</f>
        <v>3.9899999999999949</v>
      </c>
      <c r="L150" s="447">
        <f>(ABS(H150-I150))/I150</f>
        <v>6.2795089707270921E-2</v>
      </c>
      <c r="M150" s="464">
        <f>SUM(M139:M147)</f>
        <v>64</v>
      </c>
      <c r="N150" s="255"/>
      <c r="O150" s="291"/>
      <c r="P150" s="255"/>
      <c r="Q150" s="291"/>
      <c r="R150" s="255"/>
      <c r="S150" s="291"/>
      <c r="T150" s="255"/>
      <c r="U150" s="291"/>
      <c r="V150" s="464">
        <f>SUM(N139:N144)</f>
        <v>65.36999999999999</v>
      </c>
      <c r="W150" s="484">
        <f>SUM(W139:W148)</f>
        <v>60</v>
      </c>
    </row>
    <row r="151" spans="1:23" x14ac:dyDescent="0.25">
      <c r="A151" s="3" t="s">
        <v>33</v>
      </c>
      <c r="B151" s="15"/>
      <c r="C151" s="15"/>
      <c r="D151" s="42"/>
      <c r="E151" s="99"/>
      <c r="F151" s="83"/>
      <c r="G151" s="118"/>
      <c r="J151" s="319"/>
      <c r="L151" s="299"/>
    </row>
    <row r="152" spans="1:23" x14ac:dyDescent="0.25">
      <c r="A152" s="71"/>
      <c r="B152" s="72" t="s">
        <v>3</v>
      </c>
      <c r="C152" s="72" t="s">
        <v>52</v>
      </c>
      <c r="D152" s="39">
        <v>1.79</v>
      </c>
      <c r="E152" s="126">
        <v>5.91</v>
      </c>
      <c r="F152" s="95">
        <v>8.6199999999999992</v>
      </c>
      <c r="G152" s="126">
        <f>E152-F152</f>
        <v>-2.7099999999999991</v>
      </c>
      <c r="H152" s="70">
        <v>6.2</v>
      </c>
      <c r="I152" s="282">
        <v>7.67</v>
      </c>
      <c r="J152" s="319">
        <f t="shared" si="40"/>
        <v>4.2849162011173183</v>
      </c>
      <c r="K152" s="70">
        <f t="shared" ref="K152:K181" si="41">H152-I152</f>
        <v>-1.4699999999999998</v>
      </c>
      <c r="L152" s="284">
        <f t="shared" ref="L152:L186" si="42">(ABS(H152-I152))/I152</f>
        <v>0.19165580182529332</v>
      </c>
      <c r="M152" s="279">
        <v>7.5</v>
      </c>
      <c r="N152" s="70">
        <v>7.22</v>
      </c>
      <c r="W152">
        <v>7</v>
      </c>
    </row>
    <row r="153" spans="1:23" x14ac:dyDescent="0.25">
      <c r="A153" s="71"/>
      <c r="B153" s="72" t="s">
        <v>3</v>
      </c>
      <c r="C153" s="72" t="s">
        <v>32</v>
      </c>
      <c r="D153" s="39">
        <v>2.4700000000000002</v>
      </c>
      <c r="E153" s="126">
        <v>7.04</v>
      </c>
      <c r="F153" s="95">
        <v>11.47</v>
      </c>
      <c r="G153" s="126">
        <f t="shared" ref="G153:G186" si="43">E153-F153</f>
        <v>-4.4300000000000006</v>
      </c>
      <c r="H153" s="288">
        <v>9.5</v>
      </c>
      <c r="I153" s="282">
        <v>9.4600000000000009</v>
      </c>
      <c r="J153" s="319">
        <f t="shared" si="40"/>
        <v>3.8299595141700404</v>
      </c>
      <c r="K153" s="70">
        <f t="shared" si="41"/>
        <v>3.9999999999999147E-2</v>
      </c>
      <c r="L153" s="284">
        <f t="shared" si="42"/>
        <v>4.2283298097250677E-3</v>
      </c>
      <c r="M153" s="279">
        <v>10</v>
      </c>
      <c r="N153" s="70">
        <v>8.76</v>
      </c>
      <c r="W153">
        <v>8</v>
      </c>
    </row>
    <row r="154" spans="1:23" x14ac:dyDescent="0.25">
      <c r="A154" s="71"/>
      <c r="B154" s="9" t="s">
        <v>3</v>
      </c>
      <c r="C154" s="9" t="s">
        <v>54</v>
      </c>
      <c r="D154" s="39">
        <v>0.92</v>
      </c>
      <c r="E154" s="126">
        <v>2.96</v>
      </c>
      <c r="F154" s="95">
        <v>4.32</v>
      </c>
      <c r="G154" s="126">
        <f t="shared" si="43"/>
        <v>-1.3600000000000003</v>
      </c>
      <c r="H154" s="70">
        <v>2.9</v>
      </c>
      <c r="I154" s="282">
        <v>4.51</v>
      </c>
      <c r="J154" s="319">
        <f t="shared" si="40"/>
        <v>4.9021739130434776</v>
      </c>
      <c r="K154" s="70">
        <f t="shared" si="41"/>
        <v>-1.6099999999999999</v>
      </c>
      <c r="L154" s="284">
        <f t="shared" si="42"/>
        <v>0.35698447893569846</v>
      </c>
      <c r="M154" s="279">
        <v>6</v>
      </c>
      <c r="N154" s="70">
        <v>6.11</v>
      </c>
      <c r="W154">
        <v>5</v>
      </c>
    </row>
    <row r="155" spans="1:23" x14ac:dyDescent="0.25">
      <c r="A155" s="71"/>
      <c r="B155" s="9" t="s">
        <v>3</v>
      </c>
      <c r="C155" s="9" t="s">
        <v>66</v>
      </c>
      <c r="D155" s="39">
        <v>0.55000000000000004</v>
      </c>
      <c r="E155" s="126">
        <v>1.84</v>
      </c>
      <c r="F155" s="95">
        <v>1.72</v>
      </c>
      <c r="G155" s="126">
        <f t="shared" si="43"/>
        <v>0.12000000000000011</v>
      </c>
      <c r="H155" s="70">
        <v>1.3</v>
      </c>
      <c r="I155" s="282">
        <v>1.1299999999999999</v>
      </c>
      <c r="J155" s="319">
        <f t="shared" si="40"/>
        <v>2.0545454545454542</v>
      </c>
      <c r="K155" s="70">
        <f t="shared" si="41"/>
        <v>0.17000000000000015</v>
      </c>
      <c r="L155" s="284">
        <f t="shared" si="42"/>
        <v>0.15044247787610635</v>
      </c>
      <c r="M155" s="279">
        <v>2</v>
      </c>
      <c r="N155" s="70">
        <v>4.1900000000000004</v>
      </c>
      <c r="W155">
        <v>5</v>
      </c>
    </row>
    <row r="156" spans="1:23" x14ac:dyDescent="0.25">
      <c r="A156" s="1"/>
      <c r="B156" s="9" t="s">
        <v>3</v>
      </c>
      <c r="C156" s="9" t="s">
        <v>67</v>
      </c>
      <c r="D156" s="39">
        <v>0.96</v>
      </c>
      <c r="E156" s="126">
        <v>2.36</v>
      </c>
      <c r="F156" s="95">
        <v>2.88</v>
      </c>
      <c r="G156" s="126">
        <f t="shared" si="43"/>
        <v>-0.52</v>
      </c>
      <c r="H156" s="70">
        <v>3</v>
      </c>
      <c r="I156" s="282">
        <v>2.46</v>
      </c>
      <c r="J156" s="319">
        <f t="shared" si="40"/>
        <v>2.5625</v>
      </c>
      <c r="K156" s="70">
        <f t="shared" si="41"/>
        <v>0.54</v>
      </c>
      <c r="L156" s="284">
        <f t="shared" si="42"/>
        <v>0.21951219512195125</v>
      </c>
      <c r="M156" s="279">
        <v>4</v>
      </c>
    </row>
    <row r="157" spans="1:23" x14ac:dyDescent="0.25">
      <c r="A157" s="71"/>
      <c r="B157" s="9" t="s">
        <v>3</v>
      </c>
      <c r="C157" s="9" t="s">
        <v>68</v>
      </c>
      <c r="D157" s="39">
        <v>0.56999999999999995</v>
      </c>
      <c r="E157" s="126">
        <v>1.82</v>
      </c>
      <c r="F157" s="95">
        <v>2.1800000000000002</v>
      </c>
      <c r="G157" s="126">
        <f t="shared" si="43"/>
        <v>-0.3600000000000001</v>
      </c>
      <c r="H157" s="288">
        <v>1.8</v>
      </c>
      <c r="I157" s="282">
        <v>1.32</v>
      </c>
      <c r="J157" s="319">
        <f t="shared" si="40"/>
        <v>2.3157894736842106</v>
      </c>
      <c r="K157" s="70">
        <f t="shared" si="41"/>
        <v>0.48</v>
      </c>
      <c r="L157" s="284">
        <f t="shared" si="42"/>
        <v>0.36363636363636359</v>
      </c>
      <c r="M157" s="279">
        <v>2</v>
      </c>
    </row>
    <row r="158" spans="1:23" x14ac:dyDescent="0.25">
      <c r="A158" s="71"/>
      <c r="B158" s="9" t="s">
        <v>3</v>
      </c>
      <c r="C158" s="72" t="s">
        <v>69</v>
      </c>
      <c r="D158" s="39">
        <v>0.9</v>
      </c>
      <c r="E158" s="126">
        <v>3.33</v>
      </c>
      <c r="F158" s="95">
        <v>5.25</v>
      </c>
      <c r="G158" s="126">
        <f t="shared" si="43"/>
        <v>-1.92</v>
      </c>
      <c r="H158" s="70">
        <v>4.3</v>
      </c>
      <c r="I158" s="282">
        <v>3.84</v>
      </c>
      <c r="J158" s="319">
        <f t="shared" si="40"/>
        <v>4.2666666666666666</v>
      </c>
      <c r="K158" s="70">
        <f t="shared" si="41"/>
        <v>0.45999999999999996</v>
      </c>
      <c r="L158" s="284">
        <f t="shared" si="42"/>
        <v>0.11979166666666666</v>
      </c>
      <c r="M158" s="279">
        <v>4</v>
      </c>
      <c r="N158" s="70">
        <v>3.42</v>
      </c>
      <c r="W158">
        <v>4</v>
      </c>
    </row>
    <row r="159" spans="1:23" x14ac:dyDescent="0.25">
      <c r="A159" s="71"/>
      <c r="B159" s="9" t="s">
        <v>3</v>
      </c>
      <c r="C159" s="9" t="s">
        <v>70</v>
      </c>
      <c r="D159" s="39">
        <v>2.68</v>
      </c>
      <c r="E159" s="126">
        <v>8.52</v>
      </c>
      <c r="F159" s="95">
        <v>12</v>
      </c>
      <c r="G159" s="126">
        <f t="shared" si="43"/>
        <v>-3.4800000000000004</v>
      </c>
      <c r="H159" s="70">
        <v>9.5</v>
      </c>
      <c r="I159" s="282">
        <v>11.47</v>
      </c>
      <c r="J159" s="319">
        <f t="shared" si="40"/>
        <v>4.2798507462686564</v>
      </c>
      <c r="K159" s="70">
        <f t="shared" si="41"/>
        <v>-1.9700000000000006</v>
      </c>
      <c r="L159" s="284">
        <f t="shared" si="42"/>
        <v>0.17175239755884922</v>
      </c>
      <c r="M159" s="279">
        <v>14</v>
      </c>
      <c r="N159" s="70">
        <v>8.94</v>
      </c>
      <c r="W159">
        <v>10</v>
      </c>
    </row>
    <row r="160" spans="1:23" x14ac:dyDescent="0.25">
      <c r="A160" s="1"/>
      <c r="B160" s="9" t="s">
        <v>3</v>
      </c>
      <c r="C160" s="9" t="s">
        <v>71</v>
      </c>
      <c r="D160" s="39">
        <v>0.53</v>
      </c>
      <c r="E160" s="126">
        <v>2.74</v>
      </c>
      <c r="F160" s="95">
        <v>2.84</v>
      </c>
      <c r="G160" s="126">
        <f t="shared" si="43"/>
        <v>-9.9999999999999645E-2</v>
      </c>
      <c r="H160" s="70">
        <v>2</v>
      </c>
      <c r="I160" s="282">
        <v>3.75</v>
      </c>
      <c r="J160" s="319">
        <f t="shared" si="40"/>
        <v>7.0754716981132075</v>
      </c>
      <c r="K160" s="70">
        <f t="shared" si="41"/>
        <v>-1.75</v>
      </c>
      <c r="L160" s="284">
        <f t="shared" si="42"/>
        <v>0.46666666666666667</v>
      </c>
      <c r="M160" s="279">
        <v>4</v>
      </c>
      <c r="N160" s="70">
        <v>14.15</v>
      </c>
      <c r="W160">
        <v>15</v>
      </c>
    </row>
    <row r="161" spans="1:23" x14ac:dyDescent="0.25">
      <c r="A161" s="71"/>
      <c r="B161" s="9" t="s">
        <v>3</v>
      </c>
      <c r="C161" s="9" t="s">
        <v>72</v>
      </c>
      <c r="D161" s="39">
        <v>1.25</v>
      </c>
      <c r="E161" s="126">
        <v>5.41</v>
      </c>
      <c r="F161" s="95">
        <v>6.22</v>
      </c>
      <c r="G161" s="126">
        <f t="shared" si="43"/>
        <v>-0.80999999999999961</v>
      </c>
      <c r="H161" s="70">
        <v>4.0999999999999996</v>
      </c>
      <c r="I161" s="282">
        <v>4.1100000000000003</v>
      </c>
      <c r="J161" s="319">
        <f t="shared" si="40"/>
        <v>3.2880000000000003</v>
      </c>
      <c r="K161" s="70">
        <f t="shared" si="41"/>
        <v>-1.0000000000000675E-2</v>
      </c>
      <c r="L161" s="284">
        <f t="shared" si="42"/>
        <v>2.4330900243310642E-3</v>
      </c>
      <c r="M161" s="279">
        <v>4</v>
      </c>
    </row>
    <row r="162" spans="1:23" x14ac:dyDescent="0.25">
      <c r="A162" s="71"/>
      <c r="B162" s="9" t="s">
        <v>3</v>
      </c>
      <c r="C162" s="9" t="s">
        <v>73</v>
      </c>
      <c r="D162" s="39">
        <v>1.63</v>
      </c>
      <c r="E162" s="126">
        <v>6.38</v>
      </c>
      <c r="F162" s="95">
        <v>8.42</v>
      </c>
      <c r="G162" s="126">
        <f t="shared" si="43"/>
        <v>-2.04</v>
      </c>
      <c r="H162" s="288">
        <v>6.7</v>
      </c>
      <c r="I162" s="282">
        <v>6.91</v>
      </c>
      <c r="J162" s="319">
        <f t="shared" si="40"/>
        <v>4.2392638036809815</v>
      </c>
      <c r="K162" s="70">
        <f t="shared" si="41"/>
        <v>-0.20999999999999996</v>
      </c>
      <c r="L162" s="284">
        <f t="shared" si="42"/>
        <v>3.0390738060781471E-2</v>
      </c>
      <c r="M162" s="279">
        <v>6</v>
      </c>
    </row>
    <row r="163" spans="1:23" x14ac:dyDescent="0.25">
      <c r="A163" s="71"/>
      <c r="B163" s="9" t="s">
        <v>3</v>
      </c>
      <c r="C163" s="9" t="s">
        <v>74</v>
      </c>
      <c r="D163" s="39">
        <v>1.72</v>
      </c>
      <c r="E163" s="126">
        <v>5.4</v>
      </c>
      <c r="F163" s="95">
        <v>6.16</v>
      </c>
      <c r="G163" s="126">
        <f t="shared" si="43"/>
        <v>-0.75999999999999979</v>
      </c>
      <c r="H163" s="288">
        <v>6</v>
      </c>
      <c r="I163" s="282">
        <v>7.39</v>
      </c>
      <c r="J163" s="319">
        <f t="shared" si="40"/>
        <v>4.2965116279069768</v>
      </c>
      <c r="K163" s="70">
        <f t="shared" si="41"/>
        <v>-1.3899999999999997</v>
      </c>
      <c r="L163" s="284">
        <f t="shared" si="42"/>
        <v>0.18809201623815963</v>
      </c>
      <c r="M163" s="279">
        <v>7</v>
      </c>
      <c r="N163" s="70">
        <v>6.34</v>
      </c>
      <c r="W163">
        <v>6</v>
      </c>
    </row>
    <row r="164" spans="1:23" x14ac:dyDescent="0.25">
      <c r="A164" s="1"/>
      <c r="B164" s="9" t="s">
        <v>3</v>
      </c>
      <c r="C164" s="9" t="s">
        <v>75</v>
      </c>
      <c r="D164" s="39">
        <v>1.57</v>
      </c>
      <c r="E164" s="126">
        <v>3.86</v>
      </c>
      <c r="F164" s="95">
        <v>6.93</v>
      </c>
      <c r="G164" s="126">
        <f t="shared" si="43"/>
        <v>-3.07</v>
      </c>
      <c r="H164" s="70">
        <v>3.7</v>
      </c>
      <c r="I164" s="282">
        <v>5.29</v>
      </c>
      <c r="J164" s="319">
        <f t="shared" si="40"/>
        <v>3.3694267515923566</v>
      </c>
      <c r="K164" s="70">
        <f t="shared" si="41"/>
        <v>-1.5899999999999999</v>
      </c>
      <c r="L164" s="284">
        <f t="shared" si="42"/>
        <v>0.30056710775047257</v>
      </c>
      <c r="M164" s="279">
        <v>6</v>
      </c>
      <c r="N164" s="70">
        <v>4.95</v>
      </c>
      <c r="W164">
        <v>5</v>
      </c>
    </row>
    <row r="165" spans="1:23" x14ac:dyDescent="0.25">
      <c r="A165" s="71"/>
      <c r="B165" s="9" t="s">
        <v>3</v>
      </c>
      <c r="C165" s="9" t="s">
        <v>76</v>
      </c>
      <c r="D165" s="39">
        <v>1.01</v>
      </c>
      <c r="E165" s="126">
        <v>3.65</v>
      </c>
      <c r="F165" s="95">
        <v>6.29</v>
      </c>
      <c r="G165" s="126">
        <f t="shared" si="43"/>
        <v>-2.64</v>
      </c>
      <c r="H165" s="234">
        <v>3.6</v>
      </c>
      <c r="I165" s="282">
        <v>4.6399999999999997</v>
      </c>
      <c r="J165" s="319">
        <f t="shared" si="40"/>
        <v>4.5940594059405937</v>
      </c>
      <c r="K165" s="70">
        <f t="shared" si="41"/>
        <v>-1.0399999999999996</v>
      </c>
      <c r="L165" s="284">
        <f t="shared" si="42"/>
        <v>0.22413793103448268</v>
      </c>
      <c r="M165" s="279">
        <v>5</v>
      </c>
      <c r="N165" s="70">
        <v>4.88</v>
      </c>
      <c r="W165">
        <v>5</v>
      </c>
    </row>
    <row r="166" spans="1:23" x14ac:dyDescent="0.25">
      <c r="A166" s="71"/>
      <c r="B166" s="9"/>
      <c r="C166" s="9" t="s">
        <v>182</v>
      </c>
      <c r="D166" s="39"/>
      <c r="E166" s="126"/>
      <c r="F166" s="95"/>
      <c r="G166" s="126"/>
      <c r="H166" s="234"/>
      <c r="J166" s="319"/>
      <c r="L166" s="284"/>
    </row>
    <row r="167" spans="1:23" x14ac:dyDescent="0.25">
      <c r="A167" s="71"/>
      <c r="B167" s="9"/>
      <c r="C167" s="9" t="s">
        <v>181</v>
      </c>
      <c r="D167" s="39"/>
      <c r="E167" s="126"/>
      <c r="F167" s="95"/>
      <c r="G167" s="126"/>
      <c r="H167" s="234"/>
      <c r="J167" s="319"/>
      <c r="L167" s="284"/>
    </row>
    <row r="168" spans="1:23" x14ac:dyDescent="0.25">
      <c r="A168" s="71"/>
      <c r="B168" s="9" t="s">
        <v>3</v>
      </c>
      <c r="C168" s="9" t="s">
        <v>77</v>
      </c>
      <c r="D168" s="39">
        <v>1.5</v>
      </c>
      <c r="E168" s="126">
        <v>4.58</v>
      </c>
      <c r="F168" s="95">
        <v>8.81</v>
      </c>
      <c r="G168" s="126">
        <f t="shared" si="43"/>
        <v>-4.2300000000000004</v>
      </c>
      <c r="H168" s="288">
        <v>7.3</v>
      </c>
      <c r="I168" s="282">
        <v>5.47</v>
      </c>
      <c r="J168" s="319">
        <f t="shared" si="40"/>
        <v>3.6466666666666665</v>
      </c>
      <c r="K168" s="70">
        <f t="shared" si="41"/>
        <v>1.83</v>
      </c>
      <c r="L168" s="284">
        <f t="shared" si="42"/>
        <v>0.33455210237659966</v>
      </c>
      <c r="M168" s="279">
        <v>5</v>
      </c>
      <c r="N168" s="70">
        <v>5.83</v>
      </c>
      <c r="W168">
        <v>5</v>
      </c>
    </row>
    <row r="169" spans="1:23" x14ac:dyDescent="0.25">
      <c r="A169" s="71"/>
      <c r="B169" s="9"/>
      <c r="C169" s="9" t="s">
        <v>182</v>
      </c>
      <c r="D169" s="39"/>
      <c r="E169" s="126"/>
      <c r="F169" s="95"/>
      <c r="G169" s="126"/>
      <c r="H169" s="288"/>
      <c r="J169" s="319"/>
      <c r="L169" s="284"/>
    </row>
    <row r="170" spans="1:23" x14ac:dyDescent="0.25">
      <c r="A170" s="71"/>
      <c r="B170" s="9"/>
      <c r="C170" s="9" t="s">
        <v>181</v>
      </c>
      <c r="D170" s="39"/>
      <c r="E170" s="126"/>
      <c r="F170" s="95"/>
      <c r="G170" s="126"/>
      <c r="H170" s="288"/>
      <c r="J170" s="319"/>
      <c r="L170" s="284"/>
    </row>
    <row r="171" spans="1:23" x14ac:dyDescent="0.25">
      <c r="A171" s="71"/>
      <c r="B171" s="9" t="s">
        <v>86</v>
      </c>
      <c r="C171" s="9" t="s">
        <v>49</v>
      </c>
      <c r="D171" s="39">
        <v>2.71</v>
      </c>
      <c r="E171" s="126">
        <v>10.52</v>
      </c>
      <c r="F171" s="95">
        <v>10.26</v>
      </c>
      <c r="G171" s="126">
        <f t="shared" si="43"/>
        <v>0.25999999999999979</v>
      </c>
      <c r="H171" s="234">
        <v>6.3</v>
      </c>
      <c r="I171" s="282">
        <v>9.73</v>
      </c>
      <c r="J171" s="319">
        <f t="shared" si="40"/>
        <v>3.5904059040590406</v>
      </c>
      <c r="K171" s="70">
        <f t="shared" si="41"/>
        <v>-3.4300000000000006</v>
      </c>
      <c r="L171" s="284">
        <f t="shared" si="42"/>
        <v>0.35251798561151082</v>
      </c>
      <c r="M171" s="279">
        <v>10</v>
      </c>
      <c r="N171" s="70">
        <v>8.01</v>
      </c>
      <c r="W171">
        <v>8</v>
      </c>
    </row>
    <row r="172" spans="1:23" x14ac:dyDescent="0.25">
      <c r="A172" s="1"/>
      <c r="B172" s="9" t="s">
        <v>86</v>
      </c>
      <c r="C172" s="9" t="s">
        <v>44</v>
      </c>
      <c r="D172" s="39">
        <v>1.04</v>
      </c>
      <c r="E172" s="126">
        <v>2.92</v>
      </c>
      <c r="F172" s="95">
        <v>3.6</v>
      </c>
      <c r="G172" s="126">
        <f t="shared" si="43"/>
        <v>-0.68000000000000016</v>
      </c>
      <c r="H172" s="234">
        <v>4.5</v>
      </c>
      <c r="I172" s="282">
        <v>3.67</v>
      </c>
      <c r="J172" s="319">
        <f t="shared" si="40"/>
        <v>3.5288461538461537</v>
      </c>
      <c r="K172" s="70">
        <f t="shared" si="41"/>
        <v>0.83000000000000007</v>
      </c>
      <c r="L172" s="284">
        <f t="shared" si="42"/>
        <v>0.226158038147139</v>
      </c>
      <c r="M172" s="279">
        <v>3</v>
      </c>
      <c r="N172" s="70">
        <v>4.43</v>
      </c>
      <c r="W172">
        <v>4</v>
      </c>
    </row>
    <row r="173" spans="1:23" x14ac:dyDescent="0.25">
      <c r="A173" s="71"/>
      <c r="B173" s="9" t="s">
        <v>86</v>
      </c>
      <c r="C173" s="9" t="s">
        <v>12</v>
      </c>
      <c r="D173" s="39">
        <v>1.31</v>
      </c>
      <c r="E173" s="126">
        <v>4.51</v>
      </c>
      <c r="F173" s="95">
        <v>6.61</v>
      </c>
      <c r="G173" s="126">
        <f t="shared" si="43"/>
        <v>-2.1000000000000005</v>
      </c>
      <c r="H173" s="234">
        <v>4.7</v>
      </c>
      <c r="I173" s="282">
        <v>7.92</v>
      </c>
      <c r="J173" s="319">
        <f t="shared" si="40"/>
        <v>6.0458015267175567</v>
      </c>
      <c r="K173" s="70">
        <f t="shared" si="41"/>
        <v>-3.2199999999999998</v>
      </c>
      <c r="L173" s="284">
        <f t="shared" si="42"/>
        <v>0.40656565656565652</v>
      </c>
      <c r="M173" s="279">
        <v>7</v>
      </c>
      <c r="N173" s="70">
        <v>13.57</v>
      </c>
      <c r="W173">
        <v>8</v>
      </c>
    </row>
    <row r="174" spans="1:23" x14ac:dyDescent="0.25">
      <c r="A174" s="71"/>
      <c r="B174" s="9" t="s">
        <v>86</v>
      </c>
      <c r="C174" s="9" t="s">
        <v>36</v>
      </c>
      <c r="D174" s="39">
        <v>1.22</v>
      </c>
      <c r="E174" s="126">
        <v>3.83</v>
      </c>
      <c r="F174" s="95">
        <v>1.38</v>
      </c>
      <c r="G174" s="126">
        <f t="shared" si="43"/>
        <v>2.4500000000000002</v>
      </c>
      <c r="H174" s="288">
        <v>5</v>
      </c>
      <c r="I174" s="282">
        <v>3.81</v>
      </c>
      <c r="J174" s="319">
        <f t="shared" si="40"/>
        <v>3.1229508196721314</v>
      </c>
      <c r="K174" s="70">
        <f t="shared" si="41"/>
        <v>1.19</v>
      </c>
      <c r="L174" s="284">
        <f t="shared" si="42"/>
        <v>0.31233595800524933</v>
      </c>
      <c r="M174" s="279">
        <v>3</v>
      </c>
    </row>
    <row r="175" spans="1:23" x14ac:dyDescent="0.25">
      <c r="A175" s="71"/>
      <c r="B175" s="9" t="s">
        <v>86</v>
      </c>
      <c r="C175" s="9" t="s">
        <v>63</v>
      </c>
      <c r="D175" s="39">
        <v>0.45</v>
      </c>
      <c r="E175" s="126">
        <v>3.21</v>
      </c>
      <c r="F175" s="95">
        <v>1.1000000000000001</v>
      </c>
      <c r="G175" s="126">
        <f t="shared" si="43"/>
        <v>2.11</v>
      </c>
      <c r="H175" s="234">
        <v>2</v>
      </c>
      <c r="I175" s="282">
        <v>1.81</v>
      </c>
      <c r="J175" s="319">
        <f t="shared" si="40"/>
        <v>4.0222222222222221</v>
      </c>
      <c r="K175" s="70">
        <f t="shared" si="41"/>
        <v>0.18999999999999995</v>
      </c>
      <c r="L175" s="300">
        <f t="shared" si="42"/>
        <v>0.1049723756906077</v>
      </c>
      <c r="M175" s="279">
        <v>2</v>
      </c>
    </row>
    <row r="176" spans="1:23" x14ac:dyDescent="0.25">
      <c r="A176" s="1"/>
      <c r="B176" s="9" t="s">
        <v>86</v>
      </c>
      <c r="C176" s="9" t="s">
        <v>64</v>
      </c>
      <c r="D176" s="39">
        <v>0.32</v>
      </c>
      <c r="E176" s="126">
        <v>0.41</v>
      </c>
      <c r="F176" s="95">
        <v>3.22</v>
      </c>
      <c r="G176" s="126">
        <f t="shared" si="43"/>
        <v>-2.81</v>
      </c>
      <c r="H176" s="234">
        <v>1.6</v>
      </c>
      <c r="I176" s="282">
        <v>0.94</v>
      </c>
      <c r="J176" s="319">
        <f t="shared" si="40"/>
        <v>2.9374999999999996</v>
      </c>
      <c r="K176" s="70">
        <f t="shared" si="41"/>
        <v>0.66000000000000014</v>
      </c>
      <c r="L176" s="284">
        <f t="shared" si="42"/>
        <v>0.70212765957446832</v>
      </c>
      <c r="M176" s="279">
        <v>2</v>
      </c>
    </row>
    <row r="177" spans="1:23" x14ac:dyDescent="0.25">
      <c r="A177" s="1"/>
      <c r="B177" s="9"/>
      <c r="C177" s="9" t="s">
        <v>195</v>
      </c>
      <c r="D177" s="39">
        <v>5.5</v>
      </c>
      <c r="E177" s="126"/>
      <c r="F177" s="95"/>
      <c r="G177" s="126"/>
      <c r="H177" s="234"/>
      <c r="J177" s="319"/>
      <c r="L177" s="284"/>
      <c r="M177" s="279">
        <v>5</v>
      </c>
      <c r="N177" s="70">
        <v>6.56</v>
      </c>
      <c r="W177">
        <v>15</v>
      </c>
    </row>
    <row r="178" spans="1:23" x14ac:dyDescent="0.25">
      <c r="A178" s="1"/>
      <c r="B178" s="9"/>
      <c r="C178" s="9" t="s">
        <v>194</v>
      </c>
      <c r="D178" s="39">
        <v>5.5</v>
      </c>
      <c r="E178" s="126"/>
      <c r="F178" s="95"/>
      <c r="G178" s="126"/>
      <c r="H178" s="234"/>
      <c r="J178" s="319"/>
      <c r="L178" s="284"/>
      <c r="M178" s="279">
        <v>5</v>
      </c>
      <c r="N178" s="70">
        <v>6.97</v>
      </c>
      <c r="W178">
        <v>15</v>
      </c>
    </row>
    <row r="179" spans="1:23" x14ac:dyDescent="0.25">
      <c r="A179" s="1"/>
      <c r="B179" s="18" t="s">
        <v>7</v>
      </c>
      <c r="C179" s="18" t="s">
        <v>180</v>
      </c>
      <c r="D179" s="39"/>
      <c r="E179" s="126"/>
      <c r="F179" s="95"/>
      <c r="G179" s="126"/>
      <c r="H179" s="234"/>
      <c r="J179" s="319"/>
      <c r="L179" s="284"/>
    </row>
    <row r="180" spans="1:23" x14ac:dyDescent="0.25">
      <c r="A180" s="71"/>
      <c r="B180" s="18" t="s">
        <v>7</v>
      </c>
      <c r="C180" s="18" t="s">
        <v>179</v>
      </c>
      <c r="D180" s="129">
        <v>5.0999999999999996</v>
      </c>
      <c r="E180" s="140">
        <v>15.46</v>
      </c>
      <c r="F180" s="97">
        <v>29.34</v>
      </c>
      <c r="G180" s="126">
        <f t="shared" si="43"/>
        <v>-13.879999999999999</v>
      </c>
      <c r="H180" s="234">
        <v>28.8</v>
      </c>
      <c r="I180" s="282">
        <v>30.54</v>
      </c>
      <c r="J180" s="319">
        <f t="shared" si="40"/>
        <v>5.9882352941176471</v>
      </c>
      <c r="K180" s="70">
        <f t="shared" si="41"/>
        <v>-1.7399999999999984</v>
      </c>
      <c r="L180" s="284">
        <f t="shared" si="42"/>
        <v>5.6974459724950834E-2</v>
      </c>
      <c r="M180" s="279">
        <v>30</v>
      </c>
      <c r="N180" s="70">
        <v>15.84</v>
      </c>
      <c r="W180">
        <v>15</v>
      </c>
    </row>
    <row r="181" spans="1:23" x14ac:dyDescent="0.25">
      <c r="A181" s="71"/>
      <c r="B181" s="18" t="s">
        <v>7</v>
      </c>
      <c r="C181" s="18" t="s">
        <v>42</v>
      </c>
      <c r="D181" s="129">
        <v>4</v>
      </c>
      <c r="E181" s="140">
        <v>7.7</v>
      </c>
      <c r="F181" s="97">
        <v>18.02</v>
      </c>
      <c r="G181" s="126">
        <f t="shared" si="43"/>
        <v>-10.32</v>
      </c>
      <c r="H181" s="290">
        <v>12</v>
      </c>
      <c r="I181" s="282">
        <v>22.5</v>
      </c>
      <c r="J181" s="319">
        <f t="shared" si="40"/>
        <v>5.625</v>
      </c>
      <c r="K181" s="70">
        <f t="shared" si="41"/>
        <v>-10.5</v>
      </c>
      <c r="L181" s="284">
        <f t="shared" si="42"/>
        <v>0.46666666666666667</v>
      </c>
      <c r="M181" s="279">
        <v>20</v>
      </c>
      <c r="N181" s="70">
        <v>10.07</v>
      </c>
      <c r="W181">
        <v>15</v>
      </c>
    </row>
    <row r="182" spans="1:23" x14ac:dyDescent="0.25">
      <c r="A182" s="71"/>
      <c r="B182" s="18" t="s">
        <v>7</v>
      </c>
      <c r="C182" s="18" t="s">
        <v>47</v>
      </c>
      <c r="D182" s="129">
        <v>4.5</v>
      </c>
      <c r="E182" s="140">
        <v>16.260000000000002</v>
      </c>
      <c r="F182" s="97">
        <v>23.8</v>
      </c>
      <c r="G182" s="126">
        <f t="shared" si="43"/>
        <v>-7.5399999999999991</v>
      </c>
      <c r="H182" s="290">
        <v>16</v>
      </c>
      <c r="I182" s="282">
        <v>22.76</v>
      </c>
      <c r="J182" s="319">
        <f t="shared" si="40"/>
        <v>5.0577777777777779</v>
      </c>
      <c r="K182" s="70" t="e">
        <f>H1451.3=H182-I182</f>
        <v>#NAME?</v>
      </c>
      <c r="L182" s="284">
        <f t="shared" si="42"/>
        <v>0.29701230228471004</v>
      </c>
      <c r="M182" s="279">
        <v>18</v>
      </c>
      <c r="N182" s="70">
        <v>20.6</v>
      </c>
      <c r="W182">
        <v>20</v>
      </c>
    </row>
    <row r="183" spans="1:23" x14ac:dyDescent="0.25">
      <c r="A183" s="71"/>
      <c r="B183" s="12"/>
      <c r="C183" s="151" t="s">
        <v>115</v>
      </c>
      <c r="D183" s="176">
        <f>SUM(D152:D168)</f>
        <v>20.05</v>
      </c>
      <c r="E183" s="187">
        <f>SUM(E152:E168)</f>
        <v>65.800000000000011</v>
      </c>
      <c r="F183" s="176">
        <f>SUM(F152:F168)</f>
        <v>94.11</v>
      </c>
      <c r="G183" s="161">
        <f t="shared" si="43"/>
        <v>-28.309999999999988</v>
      </c>
      <c r="H183" s="70">
        <f>SUM(H152:H168)</f>
        <v>71.900000000000006</v>
      </c>
      <c r="I183" s="282">
        <f>SUM(I152:I168)</f>
        <v>79.42</v>
      </c>
      <c r="J183" s="319"/>
      <c r="K183" s="70">
        <f>H183-I183</f>
        <v>-7.519999999999996</v>
      </c>
      <c r="L183" s="284">
        <f t="shared" si="42"/>
        <v>9.4686476957945048E-2</v>
      </c>
    </row>
    <row r="184" spans="1:23" x14ac:dyDescent="0.25">
      <c r="A184" s="71"/>
      <c r="B184" s="12"/>
      <c r="C184" s="71" t="s">
        <v>119</v>
      </c>
      <c r="D184" s="149">
        <f>SUM(D171:D176)</f>
        <v>7.0500000000000007</v>
      </c>
      <c r="E184" s="165">
        <f>SUM(E171:E176)</f>
        <v>25.400000000000002</v>
      </c>
      <c r="F184" s="149">
        <f>SUM(F171:F176)</f>
        <v>26.169999999999998</v>
      </c>
      <c r="G184" s="171">
        <f t="shared" si="43"/>
        <v>-0.76999999999999602</v>
      </c>
      <c r="H184" s="70">
        <f>SUM(H171:H176)</f>
        <v>24.1</v>
      </c>
      <c r="I184" s="282">
        <f>SUM(I171:I176)</f>
        <v>27.88</v>
      </c>
      <c r="J184" s="319"/>
      <c r="K184" s="70">
        <f>H184-I184</f>
        <v>-3.7799999999999976</v>
      </c>
      <c r="L184" s="284">
        <f t="shared" si="42"/>
        <v>0.1355810616929698</v>
      </c>
    </row>
    <row r="185" spans="1:23" ht="15.75" thickBot="1" x14ac:dyDescent="0.3">
      <c r="A185" s="71"/>
      <c r="B185" s="69"/>
      <c r="C185" s="156" t="s">
        <v>117</v>
      </c>
      <c r="D185" s="183">
        <f>SUM(D180:D182)</f>
        <v>13.6</v>
      </c>
      <c r="E185" s="188">
        <f>SUM(E180:E182)</f>
        <v>39.42</v>
      </c>
      <c r="F185" s="183">
        <f>SUM(F180:F182)</f>
        <v>71.16</v>
      </c>
      <c r="G185" s="169">
        <f t="shared" si="43"/>
        <v>-31.739999999999995</v>
      </c>
      <c r="H185" s="70">
        <f>SUM(H180:H182)</f>
        <v>56.8</v>
      </c>
      <c r="I185" s="282">
        <f>SUM(I180:I182)</f>
        <v>75.8</v>
      </c>
      <c r="J185" s="319"/>
      <c r="K185" s="70">
        <f>H185-I185</f>
        <v>-19</v>
      </c>
      <c r="L185" s="284">
        <f t="shared" si="42"/>
        <v>0.2506596306068602</v>
      </c>
    </row>
    <row r="186" spans="1:23" ht="15.75" thickTop="1" x14ac:dyDescent="0.25">
      <c r="A186" s="43"/>
      <c r="B186" s="8"/>
      <c r="C186" s="79" t="s">
        <v>118</v>
      </c>
      <c r="D186" s="186">
        <f>SUM(D183:D185)</f>
        <v>40.700000000000003</v>
      </c>
      <c r="E186" s="165">
        <f>SUM(E183:E185)</f>
        <v>130.62</v>
      </c>
      <c r="F186" s="149">
        <f>SUM(F183:F185)</f>
        <v>191.44</v>
      </c>
      <c r="G186" s="171">
        <f t="shared" si="43"/>
        <v>-60.819999999999993</v>
      </c>
      <c r="H186" s="70">
        <f>SUM(H183:H185)</f>
        <v>152.80000000000001</v>
      </c>
      <c r="I186" s="315">
        <f>SUM(I183:I185)</f>
        <v>183.1</v>
      </c>
      <c r="J186" s="443"/>
      <c r="K186" s="255">
        <f>H186-I186</f>
        <v>-30.299999999999983</v>
      </c>
      <c r="L186" s="447">
        <f t="shared" si="42"/>
        <v>0.16548334243582732</v>
      </c>
      <c r="M186" s="464">
        <f>SUM(M152:M184)</f>
        <v>191.5</v>
      </c>
      <c r="N186" s="255"/>
      <c r="O186" s="291"/>
      <c r="P186" s="255"/>
      <c r="Q186" s="291"/>
      <c r="R186" s="255"/>
      <c r="S186" s="291"/>
      <c r="T186" s="255"/>
      <c r="U186" s="291"/>
      <c r="V186" s="464">
        <f>SUM(N152:N184)</f>
        <v>160.83999999999997</v>
      </c>
      <c r="W186" s="484">
        <f>SUM(W152:W184)</f>
        <v>175</v>
      </c>
    </row>
    <row r="187" spans="1:23" x14ac:dyDescent="0.25">
      <c r="A187" s="3" t="s">
        <v>34</v>
      </c>
      <c r="B187" s="15"/>
      <c r="C187" s="3"/>
      <c r="D187" s="37"/>
      <c r="E187" s="99"/>
      <c r="F187" s="83"/>
      <c r="G187" s="118"/>
      <c r="J187" s="319"/>
      <c r="L187" s="299"/>
    </row>
    <row r="188" spans="1:23" x14ac:dyDescent="0.25">
      <c r="A188" s="71"/>
      <c r="B188" s="9" t="s">
        <v>3</v>
      </c>
      <c r="C188" s="9" t="s">
        <v>50</v>
      </c>
      <c r="D188" s="39">
        <v>2.69</v>
      </c>
      <c r="E188" s="126">
        <v>5.45</v>
      </c>
      <c r="F188" s="95">
        <v>10.72</v>
      </c>
      <c r="G188" s="126">
        <f t="shared" ref="G188:G194" si="44">E188-F188</f>
        <v>-5.2700000000000005</v>
      </c>
      <c r="H188" s="286">
        <v>7.8</v>
      </c>
      <c r="I188" s="282">
        <v>7.65</v>
      </c>
      <c r="J188" s="319">
        <f t="shared" si="40"/>
        <v>2.8438661710037176</v>
      </c>
      <c r="K188" s="70">
        <f>H188-I188</f>
        <v>0.14999999999999947</v>
      </c>
      <c r="L188" s="284">
        <f>(ABS(H188-I188))/I188</f>
        <v>1.9607843137254832E-2</v>
      </c>
      <c r="M188" s="279">
        <v>8</v>
      </c>
      <c r="N188" s="70">
        <v>9.57</v>
      </c>
      <c r="W188">
        <v>10</v>
      </c>
    </row>
    <row r="189" spans="1:23" x14ac:dyDescent="0.25">
      <c r="A189" s="71"/>
      <c r="B189" s="9" t="s">
        <v>6</v>
      </c>
      <c r="C189" s="9" t="s">
        <v>38</v>
      </c>
      <c r="D189" s="39">
        <v>1.6</v>
      </c>
      <c r="E189" s="126">
        <v>3.47</v>
      </c>
      <c r="F189" s="95">
        <v>2.33</v>
      </c>
      <c r="G189" s="126">
        <f t="shared" si="44"/>
        <v>1.1400000000000001</v>
      </c>
      <c r="H189" s="288">
        <v>7.9</v>
      </c>
      <c r="I189" s="282">
        <v>1.9</v>
      </c>
      <c r="J189" s="319">
        <f t="shared" si="40"/>
        <v>1.1874999999999998</v>
      </c>
      <c r="K189" s="70">
        <f>H189-I189</f>
        <v>6</v>
      </c>
      <c r="L189" s="284">
        <f>(ABS(H189-I189))/I189</f>
        <v>3.1578947368421053</v>
      </c>
      <c r="M189" s="279">
        <v>2</v>
      </c>
      <c r="N189" s="70">
        <v>3.49</v>
      </c>
      <c r="W189">
        <v>3</v>
      </c>
    </row>
    <row r="190" spans="1:23" x14ac:dyDescent="0.25">
      <c r="A190" s="71"/>
      <c r="B190" s="18" t="s">
        <v>7</v>
      </c>
      <c r="C190" s="18" t="s">
        <v>122</v>
      </c>
      <c r="D190" s="39">
        <v>2.85</v>
      </c>
      <c r="E190" s="128">
        <v>0</v>
      </c>
      <c r="F190" s="95">
        <v>9.82</v>
      </c>
      <c r="G190" s="126">
        <f t="shared" si="44"/>
        <v>-9.82</v>
      </c>
      <c r="H190" s="290">
        <v>10</v>
      </c>
      <c r="I190" s="282">
        <v>10.039999999999999</v>
      </c>
      <c r="J190" s="319">
        <f t="shared" si="40"/>
        <v>3.5228070175438591</v>
      </c>
      <c r="K190" s="70">
        <f>H190-I190</f>
        <v>-3.9999999999999147E-2</v>
      </c>
      <c r="L190" s="284">
        <f>(ABS(H190-I190))/I190</f>
        <v>3.9840637450198361E-3</v>
      </c>
      <c r="M190" s="279">
        <v>10</v>
      </c>
      <c r="N190" s="70">
        <v>9.6</v>
      </c>
      <c r="W190">
        <v>10</v>
      </c>
    </row>
    <row r="191" spans="1:23" x14ac:dyDescent="0.25">
      <c r="A191" s="71"/>
      <c r="B191" s="12"/>
      <c r="C191" s="151" t="s">
        <v>115</v>
      </c>
      <c r="D191" s="163">
        <f>SUM(D188:D189)</f>
        <v>4.29</v>
      </c>
      <c r="E191" s="161">
        <f t="shared" ref="E191:F191" si="45">SUM(E188:E189)</f>
        <v>8.92</v>
      </c>
      <c r="F191" s="163">
        <f t="shared" si="45"/>
        <v>13.05</v>
      </c>
      <c r="G191" s="161">
        <f t="shared" si="44"/>
        <v>-4.1300000000000008</v>
      </c>
      <c r="H191" s="70">
        <f>SUM(H188:H189)</f>
        <v>15.7</v>
      </c>
      <c r="I191" s="282">
        <f>SUM(I188:I189)</f>
        <v>9.5500000000000007</v>
      </c>
      <c r="J191" s="319"/>
      <c r="K191" s="70">
        <f>H191-I191</f>
        <v>6.1499999999999986</v>
      </c>
      <c r="L191" s="284">
        <f>(ABS(H191-I191))/I191</f>
        <v>0.64397905759162288</v>
      </c>
    </row>
    <row r="192" spans="1:23" x14ac:dyDescent="0.25">
      <c r="A192" s="71"/>
      <c r="B192" s="12"/>
      <c r="C192" s="71" t="s">
        <v>116</v>
      </c>
      <c r="D192" s="158">
        <v>0</v>
      </c>
      <c r="E192" s="165">
        <v>0</v>
      </c>
      <c r="F192" s="149">
        <v>0</v>
      </c>
      <c r="G192" s="171">
        <f t="shared" si="44"/>
        <v>0</v>
      </c>
      <c r="H192" s="70">
        <v>0</v>
      </c>
      <c r="I192" s="282">
        <v>0</v>
      </c>
      <c r="J192" s="319"/>
      <c r="L192" s="284"/>
    </row>
    <row r="193" spans="1:23" ht="15.75" thickBot="1" x14ac:dyDescent="0.3">
      <c r="A193" s="71"/>
      <c r="B193" s="69"/>
      <c r="C193" s="156" t="s">
        <v>117</v>
      </c>
      <c r="D193" s="170">
        <v>2.85</v>
      </c>
      <c r="E193" s="169">
        <v>0</v>
      </c>
      <c r="F193" s="170">
        <v>9.82</v>
      </c>
      <c r="G193" s="169">
        <f t="shared" si="44"/>
        <v>-9.82</v>
      </c>
      <c r="H193" s="70">
        <f>H190</f>
        <v>10</v>
      </c>
      <c r="I193" s="282">
        <f>I190</f>
        <v>10.039999999999999</v>
      </c>
      <c r="J193" s="319"/>
      <c r="K193" s="70">
        <f>H193-I193</f>
        <v>-3.9999999999999147E-2</v>
      </c>
      <c r="L193" s="284">
        <f>(ABS(H193-I193))/I193</f>
        <v>3.9840637450198361E-3</v>
      </c>
    </row>
    <row r="194" spans="1:23" ht="15.75" thickTop="1" x14ac:dyDescent="0.25">
      <c r="A194" s="71"/>
      <c r="B194" s="69"/>
      <c r="C194" s="79" t="s">
        <v>9</v>
      </c>
      <c r="D194" s="158">
        <f>SUM(D191,D193)</f>
        <v>7.1400000000000006</v>
      </c>
      <c r="E194" s="171">
        <v>8.92</v>
      </c>
      <c r="F194" s="158">
        <f>SUM(F191,F193)</f>
        <v>22.87</v>
      </c>
      <c r="G194" s="171">
        <f t="shared" si="44"/>
        <v>-13.950000000000001</v>
      </c>
      <c r="H194" s="70">
        <f>SUM(H191:H193)</f>
        <v>25.7</v>
      </c>
      <c r="I194" s="282">
        <f>SUM(I191:I193)</f>
        <v>19.59</v>
      </c>
      <c r="J194" s="319"/>
      <c r="K194" s="70">
        <f>H194-I194</f>
        <v>6.1099999999999994</v>
      </c>
      <c r="L194" s="284">
        <f>(ABS(H194-I194))/I194</f>
        <v>0.31189382337927513</v>
      </c>
    </row>
    <row r="195" spans="1:23" x14ac:dyDescent="0.25">
      <c r="E195" s="291"/>
      <c r="G195" s="291"/>
      <c r="J195" s="304"/>
      <c r="K195" s="255"/>
      <c r="L195" s="447"/>
      <c r="M195" s="464">
        <f>SUM(M188:M190)</f>
        <v>20</v>
      </c>
      <c r="N195" s="255"/>
      <c r="O195" s="291"/>
      <c r="P195" s="255"/>
      <c r="Q195" s="291"/>
      <c r="R195" s="255"/>
      <c r="S195" s="291"/>
      <c r="T195" s="255"/>
      <c r="U195" s="291"/>
      <c r="V195" s="464">
        <f>SUM(N188:N193)</f>
        <v>22.66</v>
      </c>
      <c r="W195" s="484">
        <f>SUM(W188:W194)</f>
        <v>23</v>
      </c>
    </row>
    <row r="196" spans="1:23" x14ac:dyDescent="0.25">
      <c r="A196" s="20"/>
      <c r="B196" s="15"/>
      <c r="C196" s="59" t="s">
        <v>124</v>
      </c>
      <c r="D196" s="453">
        <f>D192+D191+D184+D183+D148+D147+D135+D134+D128+D127+D119+D118+D101+D97+D96+D72+D71+D65+D60+D59+D45+D44+D37+D36+D26+D25</f>
        <v>158.21</v>
      </c>
      <c r="E196" s="224">
        <f>E192+E191+E184+E183+E148+E147+E135+E134+E128+E127+E119+E118+E101+E97+E96+E72+E71+E65+E60+E59+E45+E44+E37+E36+E26+E25</f>
        <v>646.4</v>
      </c>
      <c r="F196" s="295">
        <f>SUM(F25:F26,F36:F37,F44:F45,F59:F60,F71:F72,F65,F96:F97,F101,F118,F127:F128,F147,F183:F184,F191)</f>
        <v>730.52999999999986</v>
      </c>
      <c r="G196" s="296">
        <f>SUM(G25:G26,G36:G37,G44:G45,G59:G60,G71:G72,G65,G96:G97,G101,G118,G127:G128,G147,G183:G184,G191)</f>
        <v>-84.129999999999953</v>
      </c>
      <c r="H196" s="303">
        <f>SUM(H25:H26,H36:H37,H44:H45,H59:H60,H71:H72,H65,H96:H97,H101,H118,H127:H128,H147,H183:H184,H191)</f>
        <v>680.58</v>
      </c>
      <c r="I196" s="296">
        <f>SUM(I25:I26,I36:I37,I44:I45,I59:I60,I71:I72,I65,I96:I97,I101,I118,I127:I128,I147,I183:I184,I191)</f>
        <v>728.3</v>
      </c>
      <c r="J196" s="319"/>
      <c r="K196" s="70">
        <f>H196-I196</f>
        <v>-47.719999999999914</v>
      </c>
      <c r="L196" s="284">
        <f>(ABS(H196-I196))/I196</f>
        <v>6.5522449540024605E-2</v>
      </c>
      <c r="M196" s="6"/>
      <c r="N196" s="69"/>
      <c r="O196" s="119"/>
      <c r="P196" s="69"/>
      <c r="Q196" s="119"/>
      <c r="R196" s="69"/>
      <c r="S196" s="119"/>
      <c r="T196" s="69"/>
      <c r="U196" s="119"/>
    </row>
    <row r="197" spans="1:23" x14ac:dyDescent="0.25">
      <c r="A197" s="22"/>
      <c r="B197" s="69"/>
      <c r="C197" s="223" t="s">
        <v>123</v>
      </c>
      <c r="D197" s="454">
        <f>D193+D185+D149+D136+D129+D120+D111+D107+D105+D103+D98+D83+D73+D61+D46+D38+D27</f>
        <v>119.53999999999999</v>
      </c>
      <c r="E197" s="225">
        <f>E193+E185+E149+E136+E129+E120+E111+E107+E105+E103+E98+E83+E73+E61+E46+E38+E27</f>
        <v>359.12000000000006</v>
      </c>
      <c r="F197" s="294">
        <f>SUM(F27,F38,F61,F73,F83,F103,F105,F120,F136,F149,F185,F193)</f>
        <v>550.62</v>
      </c>
      <c r="G197" s="297">
        <f>SUM(G27,G38,G61,G73,G83,G103,G105,G120,G136,G149,G185,G193)</f>
        <v>-191.5</v>
      </c>
      <c r="H197" s="304">
        <f>SUM(H27,H38,H61,H73,H83,H103,H105,H120,H136,H149,H185,H193,H111)</f>
        <v>485.78000000000003</v>
      </c>
      <c r="I197" s="297">
        <f>SUM(I27,I38,I61,I73,I83,I103,I105,I120,I136,I149,I185,I193,I107,I111)</f>
        <v>608.62</v>
      </c>
      <c r="J197" s="319"/>
      <c r="K197" s="70">
        <f>H197-I197</f>
        <v>-122.83999999999997</v>
      </c>
      <c r="L197" s="284">
        <f>(ABS(H197-I197))/I197</f>
        <v>0.2018336564687325</v>
      </c>
      <c r="M197" s="6"/>
      <c r="N197" s="69"/>
      <c r="O197" s="119"/>
      <c r="P197" s="69"/>
      <c r="Q197" s="119"/>
      <c r="R197" s="69"/>
      <c r="S197" s="119"/>
      <c r="T197" s="69"/>
      <c r="U197" s="119"/>
    </row>
    <row r="198" spans="1:23" ht="15.75" thickBot="1" x14ac:dyDescent="0.3">
      <c r="A198" s="23"/>
      <c r="B198" s="469"/>
      <c r="C198" s="60" t="s">
        <v>97</v>
      </c>
      <c r="D198" s="455">
        <f>SUM(D196,D197)</f>
        <v>277.75</v>
      </c>
      <c r="E198" s="452">
        <f>SUM(E196:E197)</f>
        <v>1005.52</v>
      </c>
      <c r="F198" s="188">
        <f>SUM(F196:F197)</f>
        <v>1281.1499999999999</v>
      </c>
      <c r="G198" s="233">
        <f>E198-F198</f>
        <v>-275.62999999999988</v>
      </c>
      <c r="H198" s="305">
        <f>SUM(H196:H197)</f>
        <v>1166.3600000000001</v>
      </c>
      <c r="I198" s="233">
        <f>SUM(I196:I197)</f>
        <v>1336.92</v>
      </c>
      <c r="J198" s="170"/>
      <c r="K198" s="469">
        <f>H198-I198</f>
        <v>-170.55999999999995</v>
      </c>
      <c r="L198" s="470">
        <f>(ABS(H198-I198))/I198</f>
        <v>0.12757681835861528</v>
      </c>
      <c r="M198" s="468">
        <f>SUM(M195+M186+M150+M137+M130+M121+M111+M105+M101+M99+M84+M74+M65+M62+M47+M39+M28+M109)</f>
        <v>1332.25</v>
      </c>
      <c r="N198" s="10">
        <f>SUM(N4:N195)</f>
        <v>1595.7900000000002</v>
      </c>
      <c r="O198" s="479"/>
      <c r="P198" s="10"/>
      <c r="Q198" s="479"/>
      <c r="R198" s="10"/>
      <c r="S198" s="479"/>
      <c r="T198" s="10"/>
      <c r="U198" s="479"/>
      <c r="V198" s="480">
        <f>SUM(V4:V197)</f>
        <v>1380.8</v>
      </c>
      <c r="W198" s="71">
        <f>SUM(W28+W39+W47+W62+W65+W74+W84+W99+W101+W111+W121+W130+W137+W150+W186+W195+W105+W109)</f>
        <v>1287.7</v>
      </c>
    </row>
    <row r="199" spans="1:23" ht="15.75" thickTop="1" x14ac:dyDescent="0.25">
      <c r="J199" s="306"/>
      <c r="K199" s="306"/>
      <c r="L199" s="299"/>
    </row>
    <row r="200" spans="1:23" x14ac:dyDescent="0.25">
      <c r="G200" s="71" t="s">
        <v>140</v>
      </c>
      <c r="H200" s="292">
        <f>SUM(H194,H186,H150,H137,H130,H121,H111)</f>
        <v>430.01</v>
      </c>
      <c r="I200" s="450"/>
      <c r="J200" s="320"/>
      <c r="K200" s="307">
        <f>SUM(K194,K186,K150,K137,K130,K121)</f>
        <v>-35.009999999999991</v>
      </c>
      <c r="L200" s="299"/>
    </row>
    <row r="201" spans="1:23" x14ac:dyDescent="0.25">
      <c r="G201" s="71" t="s">
        <v>141</v>
      </c>
      <c r="H201" s="71">
        <f>SUM(H28,H39,H47,H62,H65,H74,H84,H99,H101,H103,H105,H107)</f>
        <v>711.34999999999991</v>
      </c>
      <c r="I201" s="283"/>
      <c r="J201" s="321"/>
      <c r="K201" s="308">
        <f>SUM(K28,K39,K47,K62,K65,K73,K84,K99,K101,K103,K105)</f>
        <v>-131.39000000000001</v>
      </c>
      <c r="L201" s="299"/>
    </row>
  </sheetData>
  <mergeCells count="1">
    <mergeCell ref="B2:C2"/>
  </mergeCells>
  <conditionalFormatting sqref="L4:L201">
    <cfRule type="containsText" dxfId="18" priority="12" operator="containsText" text="BLANK">
      <formula>NOT(ISERROR(SEARCH("BLANK",L4)))</formula>
    </cfRule>
    <cfRule type="cellIs" dxfId="17" priority="13" operator="equal">
      <formula>0.1</formula>
    </cfRule>
    <cfRule type="cellIs" dxfId="16" priority="17" operator="between">
      <formula>0.11</formula>
      <formula>0.39</formula>
    </cfRule>
    <cfRule type="cellIs" dxfId="15" priority="18" operator="lessThan">
      <formula>0.1</formula>
    </cfRule>
    <cfRule type="cellIs" dxfId="14" priority="19" operator="greaterThan">
      <formula>0.4</formula>
    </cfRule>
  </conditionalFormatting>
  <conditionalFormatting sqref="L3:L201">
    <cfRule type="cellIs" dxfId="13" priority="16" operator="greaterThan">
      <formula>0.4</formula>
    </cfRule>
  </conditionalFormatting>
  <conditionalFormatting sqref="L3:L201">
    <cfRule type="cellIs" dxfId="12" priority="15" operator="equal">
      <formula>0.4</formula>
    </cfRule>
  </conditionalFormatting>
  <conditionalFormatting sqref="L3">
    <cfRule type="containsText" dxfId="11" priority="14" operator="containsText" text="blank">
      <formula>NOT(ISERROR(SEARCH("blank",L3)))</formula>
    </cfRule>
  </conditionalFormatting>
  <conditionalFormatting sqref="L24">
    <cfRule type="cellIs" dxfId="10" priority="7" operator="between">
      <formula>0.11</formula>
      <formula>0.01</formula>
    </cfRule>
    <cfRule type="cellIs" dxfId="9" priority="8" operator="equal">
      <formula>0.11</formula>
    </cfRule>
    <cfRule type="cellIs" dxfId="8" priority="9" operator="equal">
      <formula>0.11</formula>
    </cfRule>
    <cfRule type="cellIs" dxfId="7" priority="10" operator="equal">
      <formula>0.11</formula>
    </cfRule>
    <cfRule type="cellIs" dxfId="6" priority="11" operator="between">
      <formula>0.11</formula>
      <formula>0.39</formula>
    </cfRule>
  </conditionalFormatting>
  <conditionalFormatting sqref="T1:T1048576">
    <cfRule type="cellIs" dxfId="5" priority="4" operator="lessThan">
      <formula>5</formula>
    </cfRule>
    <cfRule type="cellIs" dxfId="4" priority="5" operator="greaterThan">
      <formula>10</formula>
    </cfRule>
    <cfRule type="cellIs" dxfId="3" priority="6" operator="between">
      <formula>5</formula>
      <formula>10</formula>
    </cfRule>
  </conditionalFormatting>
  <conditionalFormatting sqref="U1:U1048576">
    <cfRule type="cellIs" dxfId="2" priority="1" operator="lessThan">
      <formula>9.07</formula>
    </cfRule>
    <cfRule type="cellIs" dxfId="1" priority="2" operator="greaterThan">
      <formula>58.97</formula>
    </cfRule>
    <cfRule type="cellIs" dxfId="0" priority="3" operator="between">
      <formula>9.07</formula>
      <formula>58.97</formula>
    </cfRule>
  </conditionalFormatting>
  <printOptions gridLines="1"/>
  <pageMargins left="0" right="0" top="0" bottom="0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136"/>
  <sheetViews>
    <sheetView tabSelected="1" workbookViewId="0">
      <pane ySplit="2" topLeftCell="A99" activePane="bottomLeft" state="frozen"/>
      <selection pane="bottomLeft" activeCell="J133" sqref="J133"/>
    </sheetView>
  </sheetViews>
  <sheetFormatPr defaultRowHeight="15" x14ac:dyDescent="0.25"/>
  <cols>
    <col min="1" max="1" width="16.140625" customWidth="1"/>
    <col min="2" max="2" width="19.28515625" customWidth="1"/>
    <col min="3" max="3" width="29.28515625" customWidth="1"/>
    <col min="4" max="4" width="29.28515625" style="70" customWidth="1"/>
    <col min="5" max="5" width="9.140625" style="499" customWidth="1"/>
    <col min="6" max="6" width="30.7109375" style="279" customWidth="1"/>
    <col min="7" max="7" width="20.7109375" customWidth="1"/>
    <col min="8" max="10" width="20.7109375" style="279" customWidth="1"/>
    <col min="11" max="11" width="20.7109375" style="279" hidden="1" customWidth="1"/>
    <col min="12" max="12" width="16" style="279" customWidth="1"/>
    <col min="13" max="13" width="16.7109375" style="279" customWidth="1"/>
    <col min="14" max="14" width="14" style="279" customWidth="1"/>
    <col min="15" max="15" width="34.85546875" style="279" customWidth="1"/>
    <col min="16" max="16" width="39.28515625" style="279" customWidth="1"/>
  </cols>
  <sheetData>
    <row r="1" spans="1:16" ht="19.5" thickBot="1" x14ac:dyDescent="0.35">
      <c r="A1" s="71"/>
      <c r="B1" s="69"/>
      <c r="C1" s="69"/>
      <c r="D1" s="69"/>
      <c r="E1" s="496"/>
      <c r="F1" s="513">
        <v>2017</v>
      </c>
    </row>
    <row r="2" spans="1:16" s="489" customFormat="1" ht="19.5" thickBot="1" x14ac:dyDescent="0.35">
      <c r="A2" s="488" t="s">
        <v>0</v>
      </c>
      <c r="B2" s="765" t="s">
        <v>1</v>
      </c>
      <c r="C2" s="765"/>
      <c r="D2" s="517" t="s">
        <v>230</v>
      </c>
      <c r="E2" s="497" t="s">
        <v>82</v>
      </c>
      <c r="F2" s="487" t="s">
        <v>227</v>
      </c>
      <c r="G2" s="487" t="s">
        <v>202</v>
      </c>
      <c r="H2" s="521" t="s">
        <v>339</v>
      </c>
      <c r="I2" s="535" t="s">
        <v>338</v>
      </c>
      <c r="J2" s="526" t="s">
        <v>320</v>
      </c>
      <c r="K2" s="526" t="s">
        <v>165</v>
      </c>
      <c r="L2" s="526" t="s">
        <v>317</v>
      </c>
      <c r="M2" s="526" t="s">
        <v>318</v>
      </c>
      <c r="N2" s="526" t="s">
        <v>319</v>
      </c>
      <c r="O2" s="487" t="s">
        <v>228</v>
      </c>
      <c r="P2" s="487" t="s">
        <v>226</v>
      </c>
    </row>
    <row r="3" spans="1:16" x14ac:dyDescent="0.25">
      <c r="A3" s="1" t="s">
        <v>2</v>
      </c>
      <c r="B3" s="9"/>
      <c r="C3" s="9"/>
      <c r="D3" s="9"/>
      <c r="E3" s="62"/>
    </row>
    <row r="4" spans="1:16" x14ac:dyDescent="0.25">
      <c r="A4" s="1"/>
      <c r="B4" s="9" t="s">
        <v>3</v>
      </c>
      <c r="C4" s="9" t="s">
        <v>10</v>
      </c>
      <c r="D4" s="9" t="s">
        <v>231</v>
      </c>
      <c r="E4" s="504">
        <v>1.82</v>
      </c>
      <c r="F4" s="500">
        <v>5.5</v>
      </c>
      <c r="H4" s="279">
        <v>1.9790000000000001</v>
      </c>
      <c r="I4" s="518">
        <f t="shared" ref="I4:I13" si="0">H4*1.10231</f>
        <v>2.1814714899999998</v>
      </c>
      <c r="J4" s="527">
        <v>42996</v>
      </c>
      <c r="K4" s="279">
        <v>260</v>
      </c>
      <c r="L4" s="279">
        <v>23.2</v>
      </c>
      <c r="M4" s="279">
        <v>8.9</v>
      </c>
      <c r="N4" s="279">
        <v>3.43</v>
      </c>
      <c r="O4" s="518">
        <f>(F4*2240)/2000</f>
        <v>6.16</v>
      </c>
      <c r="P4" s="279">
        <v>3.28</v>
      </c>
    </row>
    <row r="5" spans="1:16" x14ac:dyDescent="0.25">
      <c r="A5" s="1"/>
      <c r="B5" s="9" t="s">
        <v>3</v>
      </c>
      <c r="C5" s="9" t="s">
        <v>207</v>
      </c>
      <c r="D5" s="9" t="s">
        <v>232</v>
      </c>
      <c r="E5" s="503">
        <v>2.12</v>
      </c>
      <c r="F5" s="500">
        <v>10.138</v>
      </c>
      <c r="H5" s="279">
        <v>10.138</v>
      </c>
      <c r="I5" s="518">
        <f t="shared" si="0"/>
        <v>11.175218779999998</v>
      </c>
      <c r="J5" s="527">
        <v>43005</v>
      </c>
      <c r="K5" s="279">
        <v>242</v>
      </c>
      <c r="L5" s="279">
        <v>22.7</v>
      </c>
      <c r="M5" s="279">
        <v>9.8000000000000007</v>
      </c>
      <c r="N5" s="279">
        <v>3.33</v>
      </c>
      <c r="O5" s="518">
        <f t="shared" ref="O5:O69" si="1">(F5*2240)/2000</f>
        <v>11.354559999999999</v>
      </c>
      <c r="P5" s="279">
        <v>17.25</v>
      </c>
    </row>
    <row r="6" spans="1:16" x14ac:dyDescent="0.25">
      <c r="A6" s="71"/>
      <c r="B6" s="9" t="s">
        <v>3</v>
      </c>
      <c r="C6" s="9" t="s">
        <v>14</v>
      </c>
      <c r="D6" s="9" t="s">
        <v>233</v>
      </c>
      <c r="E6" s="503">
        <v>2.57</v>
      </c>
      <c r="F6" s="500">
        <v>11.6</v>
      </c>
      <c r="H6" s="279">
        <v>10.42</v>
      </c>
      <c r="I6" s="518">
        <f t="shared" si="0"/>
        <v>11.486070199999999</v>
      </c>
      <c r="J6" s="527">
        <v>42996</v>
      </c>
      <c r="K6" s="279">
        <v>240</v>
      </c>
      <c r="L6" s="279">
        <v>23.5</v>
      </c>
      <c r="M6" s="279">
        <v>8.4</v>
      </c>
      <c r="N6" s="279">
        <v>3.4</v>
      </c>
      <c r="O6" s="518">
        <f t="shared" si="1"/>
        <v>12.992000000000001</v>
      </c>
      <c r="P6" s="279">
        <v>13.3</v>
      </c>
    </row>
    <row r="7" spans="1:16" x14ac:dyDescent="0.25">
      <c r="A7" s="71"/>
      <c r="B7" s="9" t="s">
        <v>3</v>
      </c>
      <c r="C7" s="9" t="s">
        <v>16</v>
      </c>
      <c r="D7" s="9" t="s">
        <v>234</v>
      </c>
      <c r="E7" s="503">
        <v>2.35</v>
      </c>
      <c r="F7" s="500">
        <v>11.7</v>
      </c>
      <c r="H7" s="279">
        <v>10.532999999999999</v>
      </c>
      <c r="I7" s="518">
        <f t="shared" si="0"/>
        <v>11.610631229999999</v>
      </c>
      <c r="J7" s="527">
        <v>42996</v>
      </c>
      <c r="K7" s="279">
        <v>175</v>
      </c>
      <c r="L7" s="279">
        <v>22</v>
      </c>
      <c r="M7" s="279">
        <v>8.6</v>
      </c>
      <c r="N7" s="279">
        <v>3.34</v>
      </c>
      <c r="O7" s="518">
        <f t="shared" si="1"/>
        <v>13.103999999999999</v>
      </c>
      <c r="P7" s="279">
        <v>13.85</v>
      </c>
    </row>
    <row r="8" spans="1:16" x14ac:dyDescent="0.25">
      <c r="A8" s="71"/>
      <c r="B8" s="9" t="s">
        <v>3</v>
      </c>
      <c r="C8" s="72" t="s">
        <v>212</v>
      </c>
      <c r="D8" s="9" t="s">
        <v>321</v>
      </c>
      <c r="E8" s="503">
        <v>6.18</v>
      </c>
      <c r="F8" s="500">
        <v>11.238</v>
      </c>
      <c r="H8" s="279">
        <v>11.238</v>
      </c>
      <c r="I8" s="518">
        <f t="shared" si="0"/>
        <v>12.387759779999998</v>
      </c>
      <c r="J8" s="527">
        <v>42997</v>
      </c>
      <c r="K8" s="279">
        <v>128.59</v>
      </c>
      <c r="L8" s="279">
        <v>22.6</v>
      </c>
      <c r="M8" s="279">
        <v>8.6</v>
      </c>
      <c r="N8" s="279">
        <v>3.28</v>
      </c>
      <c r="O8" s="518">
        <f t="shared" si="1"/>
        <v>12.586559999999999</v>
      </c>
      <c r="P8" s="279">
        <v>39.93</v>
      </c>
    </row>
    <row r="9" spans="1:16" s="70" customFormat="1" x14ac:dyDescent="0.25">
      <c r="A9" s="71"/>
      <c r="B9" s="9"/>
      <c r="C9" s="72"/>
      <c r="D9" s="9" t="s">
        <v>322</v>
      </c>
      <c r="E9" s="503"/>
      <c r="F9" s="500">
        <v>12.927</v>
      </c>
      <c r="H9" s="279">
        <v>12.927</v>
      </c>
      <c r="I9" s="518">
        <f t="shared" si="0"/>
        <v>14.249561369999999</v>
      </c>
      <c r="J9" s="527">
        <v>42999</v>
      </c>
      <c r="K9" s="279">
        <v>190</v>
      </c>
      <c r="L9" s="279">
        <v>22.4</v>
      </c>
      <c r="M9" s="279">
        <v>3.25</v>
      </c>
      <c r="N9" s="279">
        <v>7.9</v>
      </c>
      <c r="O9" s="518">
        <f t="shared" si="1"/>
        <v>14.47824</v>
      </c>
      <c r="P9" s="279"/>
    </row>
    <row r="10" spans="1:16" s="70" customFormat="1" x14ac:dyDescent="0.25">
      <c r="A10" s="71"/>
      <c r="B10" s="9"/>
      <c r="C10" s="72"/>
      <c r="D10" s="9" t="s">
        <v>323</v>
      </c>
      <c r="E10" s="503"/>
      <c r="F10" s="500"/>
      <c r="H10" s="279">
        <v>10.638999999999999</v>
      </c>
      <c r="I10" s="518">
        <f t="shared" si="0"/>
        <v>11.727476089999998</v>
      </c>
      <c r="J10" s="527">
        <v>43005</v>
      </c>
      <c r="K10" s="279">
        <v>145</v>
      </c>
      <c r="L10" s="279">
        <v>23.1</v>
      </c>
      <c r="M10" s="279">
        <v>10.1</v>
      </c>
      <c r="N10" s="279">
        <v>3.21</v>
      </c>
      <c r="O10" s="518"/>
      <c r="P10" s="279"/>
    </row>
    <row r="11" spans="1:16" x14ac:dyDescent="0.25">
      <c r="A11" s="71"/>
      <c r="B11" s="35" t="s">
        <v>84</v>
      </c>
      <c r="C11" s="9" t="s">
        <v>85</v>
      </c>
      <c r="D11" s="9" t="s">
        <v>313</v>
      </c>
      <c r="E11" s="503">
        <v>1.2</v>
      </c>
      <c r="F11" s="500">
        <v>4.2</v>
      </c>
      <c r="H11" s="279">
        <v>6.1680000000000001</v>
      </c>
      <c r="I11" s="518">
        <f t="shared" si="0"/>
        <v>6.7990480799999995</v>
      </c>
      <c r="J11" s="527">
        <v>43014</v>
      </c>
      <c r="K11" s="279">
        <v>183.69</v>
      </c>
      <c r="L11" s="279">
        <v>22.5</v>
      </c>
      <c r="M11" s="279">
        <v>9.8000000000000007</v>
      </c>
      <c r="N11" s="279">
        <v>3.38</v>
      </c>
      <c r="O11" s="518">
        <f t="shared" si="1"/>
        <v>4.7039999999999997</v>
      </c>
      <c r="P11" s="279">
        <v>4.84</v>
      </c>
    </row>
    <row r="12" spans="1:16" x14ac:dyDescent="0.25">
      <c r="A12" s="71"/>
      <c r="B12" s="35" t="s">
        <v>86</v>
      </c>
      <c r="C12" s="9" t="s">
        <v>218</v>
      </c>
      <c r="D12" s="9" t="s">
        <v>235</v>
      </c>
      <c r="E12" s="503">
        <v>1.1100000000000001</v>
      </c>
      <c r="F12" s="500">
        <v>4.3</v>
      </c>
      <c r="H12" s="279">
        <v>4.1619999999999999</v>
      </c>
      <c r="I12" s="518">
        <f t="shared" si="0"/>
        <v>4.5878142199999994</v>
      </c>
      <c r="J12" s="527">
        <v>43015</v>
      </c>
      <c r="K12" s="279">
        <v>255.84</v>
      </c>
      <c r="L12" s="279">
        <v>23.1</v>
      </c>
      <c r="M12" s="279">
        <v>9.49</v>
      </c>
      <c r="N12" s="279">
        <v>3.62</v>
      </c>
      <c r="O12" s="518">
        <f t="shared" si="1"/>
        <v>4.8159999999999998</v>
      </c>
      <c r="P12" s="279">
        <v>3.93</v>
      </c>
    </row>
    <row r="13" spans="1:16" x14ac:dyDescent="0.25">
      <c r="A13" s="71"/>
      <c r="B13" s="35" t="s">
        <v>201</v>
      </c>
      <c r="C13" s="9" t="s">
        <v>190</v>
      </c>
      <c r="D13" s="9" t="s">
        <v>236</v>
      </c>
      <c r="E13" s="503">
        <v>10</v>
      </c>
      <c r="F13" s="500">
        <v>22.5</v>
      </c>
      <c r="G13" s="71" t="s">
        <v>329</v>
      </c>
      <c r="H13" s="6">
        <v>15.672000000000001</v>
      </c>
      <c r="I13" s="518">
        <f t="shared" si="0"/>
        <v>17.275402319999998</v>
      </c>
      <c r="J13" s="530">
        <v>43007</v>
      </c>
      <c r="K13" s="6">
        <v>220.3</v>
      </c>
      <c r="L13" s="6">
        <v>22.1</v>
      </c>
      <c r="M13" s="6">
        <v>8.4</v>
      </c>
      <c r="N13" s="6">
        <v>3.16</v>
      </c>
      <c r="O13" s="518">
        <f t="shared" si="1"/>
        <v>25.2</v>
      </c>
      <c r="P13" s="279">
        <v>33.6</v>
      </c>
    </row>
    <row r="14" spans="1:16" x14ac:dyDescent="0.25">
      <c r="A14" s="71"/>
      <c r="B14" s="35" t="s">
        <v>7</v>
      </c>
      <c r="C14" s="72" t="s">
        <v>110</v>
      </c>
      <c r="D14" s="9" t="s">
        <v>289</v>
      </c>
      <c r="E14" s="511">
        <v>2</v>
      </c>
      <c r="F14" s="500">
        <v>9.9</v>
      </c>
      <c r="G14" s="124"/>
      <c r="H14" s="279">
        <v>12.964</v>
      </c>
      <c r="I14" s="518">
        <f>H14*1.10231</f>
        <v>14.29034684</v>
      </c>
      <c r="J14" s="527">
        <v>43010</v>
      </c>
      <c r="K14" s="279">
        <v>185.6</v>
      </c>
      <c r="L14" s="279">
        <v>23.8</v>
      </c>
      <c r="M14" s="279">
        <v>9.1999999999999993</v>
      </c>
      <c r="N14" s="279">
        <v>3.35</v>
      </c>
      <c r="O14" s="518">
        <f t="shared" si="1"/>
        <v>11.087999999999999</v>
      </c>
      <c r="P14" s="279">
        <v>14.3</v>
      </c>
    </row>
    <row r="15" spans="1:16" x14ac:dyDescent="0.25">
      <c r="A15" s="71"/>
      <c r="B15" s="35" t="s">
        <v>7</v>
      </c>
      <c r="C15" s="72" t="s">
        <v>111</v>
      </c>
      <c r="D15" s="9" t="s">
        <v>290</v>
      </c>
      <c r="E15" s="511">
        <v>1.5</v>
      </c>
      <c r="F15" s="500">
        <v>6.1</v>
      </c>
      <c r="H15" s="279">
        <v>7.8579999999999997</v>
      </c>
      <c r="I15" s="518">
        <f>H15*1.10231</f>
        <v>8.6619519799999996</v>
      </c>
      <c r="J15" s="527">
        <v>43010</v>
      </c>
      <c r="K15" s="279">
        <v>229.3</v>
      </c>
      <c r="L15" s="279">
        <v>23.5</v>
      </c>
      <c r="M15" s="279">
        <v>3.51</v>
      </c>
      <c r="N15" s="279">
        <v>8.4</v>
      </c>
      <c r="O15" s="518">
        <f t="shared" si="1"/>
        <v>6.8319999999999999</v>
      </c>
      <c r="P15" s="279">
        <v>8.34</v>
      </c>
    </row>
    <row r="16" spans="1:16" ht="15.75" thickBot="1" x14ac:dyDescent="0.3">
      <c r="A16" s="71"/>
      <c r="B16" s="35" t="s">
        <v>7</v>
      </c>
      <c r="C16" s="94" t="s">
        <v>114</v>
      </c>
      <c r="D16" s="9" t="s">
        <v>314</v>
      </c>
      <c r="E16" s="536">
        <v>12</v>
      </c>
      <c r="F16" s="500">
        <v>45.46</v>
      </c>
      <c r="H16" s="279">
        <v>43.735999999999997</v>
      </c>
      <c r="I16" s="518">
        <f>H16*1.10231</f>
        <v>48.210630159999994</v>
      </c>
      <c r="J16" s="527">
        <v>43009</v>
      </c>
      <c r="K16" s="279">
        <v>207</v>
      </c>
      <c r="L16" s="279">
        <v>21.5</v>
      </c>
      <c r="M16" s="279">
        <v>3.73</v>
      </c>
      <c r="N16" s="279">
        <v>6.2</v>
      </c>
      <c r="O16" s="518">
        <f t="shared" si="1"/>
        <v>50.915200000000006</v>
      </c>
      <c r="P16" s="279">
        <v>38.03</v>
      </c>
    </row>
    <row r="17" spans="1:16" ht="15.75" thickTop="1" x14ac:dyDescent="0.25">
      <c r="A17" s="71"/>
      <c r="B17" s="69"/>
      <c r="C17" s="146" t="s">
        <v>118</v>
      </c>
      <c r="D17" s="9"/>
      <c r="E17" s="460">
        <f>SUM(E4:E16)</f>
        <v>42.849999999999994</v>
      </c>
      <c r="F17" s="460">
        <f t="shared" ref="F17:I17" si="2">SUM(F4:F16)</f>
        <v>155.56299999999999</v>
      </c>
      <c r="G17" s="460">
        <f t="shared" si="2"/>
        <v>0</v>
      </c>
      <c r="H17" s="460">
        <f t="shared" si="2"/>
        <v>158.434</v>
      </c>
      <c r="I17" s="569">
        <f t="shared" si="2"/>
        <v>174.64338253999998</v>
      </c>
      <c r="J17" s="522"/>
      <c r="K17" s="522"/>
      <c r="L17" s="522"/>
      <c r="M17" s="522"/>
      <c r="N17" s="522"/>
      <c r="O17" s="519">
        <f t="shared" si="1"/>
        <v>174.23056</v>
      </c>
      <c r="P17" s="490">
        <v>214.34</v>
      </c>
    </row>
    <row r="18" spans="1:16" x14ac:dyDescent="0.25">
      <c r="A18" s="3" t="s">
        <v>13</v>
      </c>
      <c r="B18" s="15"/>
      <c r="C18" s="15"/>
      <c r="D18" s="15"/>
      <c r="E18" s="37"/>
      <c r="G18" s="502"/>
      <c r="H18" s="523"/>
      <c r="I18" s="570"/>
      <c r="J18" s="523"/>
      <c r="K18" s="523"/>
      <c r="L18" s="523"/>
      <c r="M18" s="523"/>
      <c r="N18" s="523"/>
      <c r="O18" s="518"/>
    </row>
    <row r="19" spans="1:16" x14ac:dyDescent="0.25">
      <c r="A19" s="71"/>
      <c r="B19" s="9" t="s">
        <v>3</v>
      </c>
      <c r="C19" s="9" t="s">
        <v>29</v>
      </c>
      <c r="D19" s="9" t="s">
        <v>237</v>
      </c>
      <c r="E19" s="508">
        <v>4.32</v>
      </c>
      <c r="F19" s="500">
        <v>29</v>
      </c>
      <c r="G19" s="85"/>
      <c r="H19" s="532">
        <v>28.526</v>
      </c>
      <c r="I19" s="568">
        <f>H19*1.10231</f>
        <v>31.444495059999998</v>
      </c>
      <c r="J19" s="531">
        <v>43012</v>
      </c>
      <c r="K19" s="532">
        <v>159.52000000000001</v>
      </c>
      <c r="L19" s="532">
        <v>21.1</v>
      </c>
      <c r="M19" s="532">
        <v>5.7</v>
      </c>
      <c r="N19" s="532">
        <v>3.57</v>
      </c>
      <c r="O19" s="518">
        <f t="shared" si="1"/>
        <v>32.479999999999997</v>
      </c>
      <c r="P19" s="279">
        <v>43.1</v>
      </c>
    </row>
    <row r="20" spans="1:16" x14ac:dyDescent="0.25">
      <c r="A20" s="71"/>
      <c r="B20" s="9" t="s">
        <v>3</v>
      </c>
      <c r="C20" s="9" t="s">
        <v>31</v>
      </c>
      <c r="D20" s="9" t="s">
        <v>238</v>
      </c>
      <c r="E20" s="508">
        <v>1.92</v>
      </c>
      <c r="F20" s="500">
        <v>12.5</v>
      </c>
      <c r="H20" s="279">
        <v>11.212</v>
      </c>
      <c r="I20" s="568">
        <f t="shared" ref="I20:I83" si="3">H20*1.10231</f>
        <v>12.359099719999998</v>
      </c>
      <c r="J20" s="527">
        <v>43012</v>
      </c>
      <c r="K20" s="279">
        <v>148.41999999999999</v>
      </c>
      <c r="L20" s="279">
        <v>21.4</v>
      </c>
      <c r="M20" s="279">
        <v>5.4</v>
      </c>
      <c r="N20" s="279">
        <v>3.64</v>
      </c>
      <c r="O20" s="518">
        <f t="shared" si="1"/>
        <v>14</v>
      </c>
      <c r="P20" s="279">
        <v>14.85</v>
      </c>
    </row>
    <row r="21" spans="1:16" x14ac:dyDescent="0.25">
      <c r="A21" s="71"/>
      <c r="B21" s="9" t="s">
        <v>86</v>
      </c>
      <c r="C21" s="9" t="s">
        <v>224</v>
      </c>
      <c r="D21" s="9" t="s">
        <v>239</v>
      </c>
      <c r="E21" s="501">
        <v>3.29</v>
      </c>
      <c r="F21" s="500">
        <v>20.9</v>
      </c>
      <c r="H21" s="279">
        <v>21.777999999999999</v>
      </c>
      <c r="I21" s="568">
        <f t="shared" si="3"/>
        <v>24.006107179999997</v>
      </c>
      <c r="J21" s="527">
        <v>43013</v>
      </c>
      <c r="K21" s="279">
        <v>190</v>
      </c>
      <c r="L21" s="279">
        <v>19.7</v>
      </c>
      <c r="M21" s="279">
        <v>5.8</v>
      </c>
      <c r="N21" s="279">
        <v>3.51</v>
      </c>
      <c r="O21" s="518">
        <f t="shared" si="1"/>
        <v>23.408000000000001</v>
      </c>
      <c r="P21" s="279">
        <v>30.79</v>
      </c>
    </row>
    <row r="22" spans="1:16" ht="15.75" thickBot="1" x14ac:dyDescent="0.3">
      <c r="A22" s="71"/>
      <c r="B22" s="9" t="s">
        <v>84</v>
      </c>
      <c r="C22" s="9" t="s">
        <v>88</v>
      </c>
      <c r="D22" s="9" t="s">
        <v>315</v>
      </c>
      <c r="E22" s="501">
        <v>7.5</v>
      </c>
      <c r="F22" s="500">
        <v>45</v>
      </c>
      <c r="H22" s="279">
        <v>64.703000000000003</v>
      </c>
      <c r="I22" s="568">
        <f t="shared" si="3"/>
        <v>71.322763929999994</v>
      </c>
      <c r="J22" s="527">
        <v>43013</v>
      </c>
      <c r="K22" s="279">
        <v>178</v>
      </c>
      <c r="L22" s="279">
        <v>20.3</v>
      </c>
      <c r="M22" s="279">
        <v>6.4</v>
      </c>
      <c r="N22" s="279">
        <v>3.42</v>
      </c>
      <c r="O22" s="518">
        <f t="shared" si="1"/>
        <v>50.4</v>
      </c>
      <c r="P22" s="279">
        <v>56.75</v>
      </c>
    </row>
    <row r="23" spans="1:16" ht="15.75" thickTop="1" x14ac:dyDescent="0.25">
      <c r="A23" s="71"/>
      <c r="B23" s="69"/>
      <c r="C23" s="79" t="s">
        <v>118</v>
      </c>
      <c r="D23" s="9"/>
      <c r="E23" s="458">
        <f>SUM(E19:E22)</f>
        <v>17.03</v>
      </c>
      <c r="F23" s="490">
        <f>SUM(F19:F22)</f>
        <v>107.4</v>
      </c>
      <c r="G23" s="533">
        <f>SUM(H19:H22)</f>
        <v>126.21899999999999</v>
      </c>
      <c r="H23" s="490">
        <f>SUM(H19:H22)</f>
        <v>126.21899999999999</v>
      </c>
      <c r="I23" s="571">
        <f t="shared" si="3"/>
        <v>139.13246588999999</v>
      </c>
      <c r="J23" s="524"/>
      <c r="K23" s="524"/>
      <c r="L23" s="524"/>
      <c r="M23" s="524"/>
      <c r="N23" s="524"/>
      <c r="O23" s="519">
        <f t="shared" si="1"/>
        <v>120.288</v>
      </c>
      <c r="P23" s="490">
        <v>145.49</v>
      </c>
    </row>
    <row r="24" spans="1:16" x14ac:dyDescent="0.25">
      <c r="A24" s="3" t="s">
        <v>15</v>
      </c>
      <c r="B24" s="15"/>
      <c r="C24" s="3"/>
      <c r="D24" s="3"/>
      <c r="E24" s="37"/>
      <c r="I24" s="568"/>
      <c r="O24" s="518"/>
    </row>
    <row r="25" spans="1:16" x14ac:dyDescent="0.25">
      <c r="A25" s="71"/>
      <c r="B25" s="9" t="s">
        <v>3</v>
      </c>
      <c r="C25" s="9" t="s">
        <v>36</v>
      </c>
      <c r="D25" s="9" t="s">
        <v>240</v>
      </c>
      <c r="E25" s="501">
        <v>4.04</v>
      </c>
      <c r="F25" s="500">
        <v>22.9</v>
      </c>
      <c r="H25" s="279">
        <v>22.309000000000001</v>
      </c>
      <c r="I25" s="568">
        <f t="shared" si="3"/>
        <v>24.59143379</v>
      </c>
      <c r="J25" s="527">
        <v>43022</v>
      </c>
      <c r="K25" s="279">
        <v>141.5</v>
      </c>
      <c r="L25" s="279">
        <v>23.1</v>
      </c>
      <c r="M25" s="279">
        <v>8.6</v>
      </c>
      <c r="N25" s="279">
        <v>3.32</v>
      </c>
      <c r="O25" s="518">
        <f t="shared" si="1"/>
        <v>25.648</v>
      </c>
      <c r="P25" s="279">
        <v>25.52</v>
      </c>
    </row>
    <row r="26" spans="1:16" x14ac:dyDescent="0.25">
      <c r="A26" s="71"/>
      <c r="B26" s="9" t="s">
        <v>86</v>
      </c>
      <c r="C26" s="9" t="s">
        <v>215</v>
      </c>
      <c r="D26" s="9" t="s">
        <v>241</v>
      </c>
      <c r="E26" s="501">
        <v>5.04</v>
      </c>
      <c r="F26" s="500">
        <v>23.2</v>
      </c>
      <c r="H26" s="279">
        <v>25.841000000000001</v>
      </c>
      <c r="I26" s="568">
        <f t="shared" si="3"/>
        <v>28.484792709999997</v>
      </c>
      <c r="J26" s="527">
        <v>43024</v>
      </c>
      <c r="K26" s="279">
        <v>196.9</v>
      </c>
      <c r="L26" s="279">
        <v>22.5</v>
      </c>
      <c r="M26" s="279">
        <v>10.5</v>
      </c>
      <c r="N26" s="279">
        <v>3.14</v>
      </c>
      <c r="O26" s="518">
        <f t="shared" si="1"/>
        <v>25.984000000000002</v>
      </c>
      <c r="P26" s="279">
        <v>27.26</v>
      </c>
    </row>
    <row r="27" spans="1:16" ht="15.75" thickBot="1" x14ac:dyDescent="0.3">
      <c r="A27" s="71"/>
      <c r="B27" s="9" t="s">
        <v>6</v>
      </c>
      <c r="C27" s="9" t="s">
        <v>38</v>
      </c>
      <c r="D27" s="9" t="s">
        <v>242</v>
      </c>
      <c r="E27" s="501">
        <v>2.5</v>
      </c>
      <c r="F27" s="500">
        <v>11.5</v>
      </c>
      <c r="H27" s="279">
        <v>6.032</v>
      </c>
      <c r="I27" s="568">
        <f t="shared" si="3"/>
        <v>6.6491339199999997</v>
      </c>
      <c r="J27" s="527">
        <v>43020</v>
      </c>
      <c r="K27" s="279">
        <v>73.94</v>
      </c>
      <c r="L27" s="279">
        <v>25.1</v>
      </c>
      <c r="M27" s="279">
        <v>9.4</v>
      </c>
      <c r="N27" s="279">
        <v>3.25</v>
      </c>
      <c r="O27" s="518">
        <f t="shared" si="1"/>
        <v>12.88</v>
      </c>
      <c r="P27" s="279">
        <v>14.53</v>
      </c>
    </row>
    <row r="28" spans="1:16" ht="15.75" thickTop="1" x14ac:dyDescent="0.25">
      <c r="A28" s="71"/>
      <c r="B28" s="69"/>
      <c r="C28" s="79" t="s">
        <v>118</v>
      </c>
      <c r="D28" s="9"/>
      <c r="E28" s="458">
        <f>SUM(E25:E27)</f>
        <v>11.58</v>
      </c>
      <c r="F28" s="490">
        <f>SUM(F25:F27)</f>
        <v>57.599999999999994</v>
      </c>
      <c r="G28" s="534">
        <f>SUM(H25:H27)</f>
        <v>54.182000000000002</v>
      </c>
      <c r="H28" s="490">
        <f>SUM(H25:H27)</f>
        <v>54.182000000000002</v>
      </c>
      <c r="I28" s="571">
        <f t="shared" si="3"/>
        <v>59.725360419999994</v>
      </c>
      <c r="J28" s="490"/>
      <c r="K28" s="490"/>
      <c r="L28" s="490"/>
      <c r="M28" s="490"/>
      <c r="N28" s="490"/>
      <c r="O28" s="519">
        <f t="shared" si="1"/>
        <v>64.511999999999986</v>
      </c>
      <c r="P28" s="490">
        <v>67.31</v>
      </c>
    </row>
    <row r="29" spans="1:16" x14ac:dyDescent="0.25">
      <c r="A29" s="3" t="s">
        <v>17</v>
      </c>
      <c r="B29" s="15"/>
      <c r="C29" s="3"/>
      <c r="D29" s="3"/>
      <c r="E29" s="37"/>
      <c r="I29" s="568"/>
      <c r="O29" s="518"/>
    </row>
    <row r="30" spans="1:16" x14ac:dyDescent="0.25">
      <c r="A30" s="71"/>
      <c r="B30" s="9" t="s">
        <v>3</v>
      </c>
      <c r="C30" s="9" t="s">
        <v>39</v>
      </c>
      <c r="D30" s="9" t="s">
        <v>243</v>
      </c>
      <c r="E30" s="503">
        <v>1.89</v>
      </c>
      <c r="F30" s="500">
        <v>6.4</v>
      </c>
      <c r="H30" s="279">
        <v>6.62</v>
      </c>
      <c r="I30" s="568">
        <f t="shared" si="3"/>
        <v>7.2972921999999993</v>
      </c>
      <c r="J30" s="527">
        <v>43004</v>
      </c>
      <c r="K30" s="279">
        <v>162</v>
      </c>
      <c r="L30" s="279">
        <v>23.2</v>
      </c>
      <c r="M30" s="279">
        <v>6.8</v>
      </c>
      <c r="N30" s="279">
        <v>3.47</v>
      </c>
      <c r="O30" s="518">
        <f t="shared" si="1"/>
        <v>7.1680000000000001</v>
      </c>
      <c r="P30" s="279">
        <v>7.22</v>
      </c>
    </row>
    <row r="31" spans="1:16" x14ac:dyDescent="0.25">
      <c r="A31" s="71"/>
      <c r="B31" s="9" t="s">
        <v>86</v>
      </c>
      <c r="C31" s="9" t="s">
        <v>219</v>
      </c>
      <c r="D31" s="9" t="s">
        <v>244</v>
      </c>
      <c r="E31" s="503">
        <v>0.57999999999999996</v>
      </c>
      <c r="F31" s="500">
        <v>1.7</v>
      </c>
      <c r="H31" s="279">
        <v>1.9770000000000001</v>
      </c>
      <c r="I31" s="568">
        <f t="shared" si="3"/>
        <v>2.1792668699999997</v>
      </c>
      <c r="J31" s="527">
        <v>43004</v>
      </c>
      <c r="O31" s="518">
        <f t="shared" si="1"/>
        <v>1.9039999999999999</v>
      </c>
      <c r="P31" s="279">
        <v>3.81</v>
      </c>
    </row>
    <row r="32" spans="1:16" x14ac:dyDescent="0.25">
      <c r="A32" s="71"/>
      <c r="B32" s="72" t="s">
        <v>4</v>
      </c>
      <c r="C32" s="9" t="s">
        <v>40</v>
      </c>
      <c r="D32" s="9" t="s">
        <v>245</v>
      </c>
      <c r="E32" s="503">
        <v>9.11</v>
      </c>
      <c r="F32" s="500">
        <v>18</v>
      </c>
      <c r="H32" s="279">
        <v>18.782</v>
      </c>
      <c r="I32" s="568">
        <f t="shared" si="3"/>
        <v>20.703586419999997</v>
      </c>
      <c r="J32" s="527">
        <v>43010</v>
      </c>
      <c r="K32" s="279">
        <v>171.1</v>
      </c>
      <c r="L32" s="279">
        <v>22.5</v>
      </c>
      <c r="M32" s="279">
        <v>7</v>
      </c>
      <c r="N32" s="279">
        <v>3.39</v>
      </c>
      <c r="O32" s="518">
        <f t="shared" si="1"/>
        <v>20.16</v>
      </c>
      <c r="P32" s="279">
        <v>31.27</v>
      </c>
    </row>
    <row r="33" spans="1:16" x14ac:dyDescent="0.25">
      <c r="A33" s="71"/>
      <c r="B33" s="9" t="s">
        <v>89</v>
      </c>
      <c r="C33" s="9" t="s">
        <v>90</v>
      </c>
      <c r="D33" s="9" t="s">
        <v>246</v>
      </c>
      <c r="E33" s="503">
        <v>7.34</v>
      </c>
      <c r="F33" s="500">
        <v>30.9</v>
      </c>
      <c r="H33" s="279">
        <v>38.545000000000002</v>
      </c>
      <c r="I33" s="568">
        <f t="shared" si="3"/>
        <v>42.488538949999999</v>
      </c>
      <c r="J33" s="527">
        <v>43006</v>
      </c>
      <c r="K33" s="279">
        <v>185.74</v>
      </c>
      <c r="L33" s="279">
        <v>21.7</v>
      </c>
      <c r="M33" s="279">
        <v>5.6</v>
      </c>
      <c r="N33" s="279">
        <v>3.44</v>
      </c>
      <c r="O33" s="518">
        <f t="shared" si="1"/>
        <v>34.607999999999997</v>
      </c>
      <c r="P33" s="279">
        <v>53.62</v>
      </c>
    </row>
    <row r="34" spans="1:16" x14ac:dyDescent="0.25">
      <c r="A34" s="1"/>
      <c r="B34" s="18" t="s">
        <v>7</v>
      </c>
      <c r="C34" s="18" t="s">
        <v>41</v>
      </c>
      <c r="D34" s="9" t="s">
        <v>247</v>
      </c>
      <c r="E34" s="129">
        <v>2</v>
      </c>
      <c r="H34" s="279">
        <v>7.38</v>
      </c>
      <c r="I34" s="568">
        <f t="shared" si="3"/>
        <v>8.1350477999999988</v>
      </c>
      <c r="J34" s="527">
        <v>43014</v>
      </c>
      <c r="K34" s="279">
        <v>241.3</v>
      </c>
      <c r="L34" s="279">
        <v>20.9</v>
      </c>
      <c r="M34" s="279">
        <v>6.6</v>
      </c>
      <c r="N34" s="279">
        <v>3.48</v>
      </c>
      <c r="O34" s="518">
        <f t="shared" si="1"/>
        <v>0</v>
      </c>
      <c r="P34" s="279">
        <v>11.33</v>
      </c>
    </row>
    <row r="35" spans="1:16" x14ac:dyDescent="0.25">
      <c r="A35" s="71"/>
      <c r="B35" s="18" t="s">
        <v>7</v>
      </c>
      <c r="C35" s="18" t="s">
        <v>42</v>
      </c>
      <c r="D35" s="9" t="s">
        <v>248</v>
      </c>
      <c r="E35" s="501">
        <v>2</v>
      </c>
      <c r="F35" s="500">
        <v>7.2</v>
      </c>
      <c r="H35" s="279">
        <v>5.8739999999999997</v>
      </c>
      <c r="I35" s="568">
        <f t="shared" si="3"/>
        <v>6.4749689399999992</v>
      </c>
      <c r="J35" s="527">
        <v>43012</v>
      </c>
      <c r="K35" s="279">
        <v>281.23</v>
      </c>
      <c r="L35" s="279">
        <v>22.1</v>
      </c>
      <c r="M35" s="279">
        <v>3.8</v>
      </c>
      <c r="N35" s="279">
        <v>3.75</v>
      </c>
      <c r="O35" s="518">
        <f t="shared" si="1"/>
        <v>8.0640000000000001</v>
      </c>
      <c r="P35" s="279">
        <v>12.47</v>
      </c>
    </row>
    <row r="36" spans="1:16" x14ac:dyDescent="0.25">
      <c r="A36" s="71"/>
      <c r="B36" s="18" t="s">
        <v>7</v>
      </c>
      <c r="C36" s="18" t="s">
        <v>43</v>
      </c>
      <c r="D36" s="9" t="s">
        <v>249</v>
      </c>
      <c r="E36" s="501">
        <v>4</v>
      </c>
      <c r="F36" s="500">
        <v>18</v>
      </c>
      <c r="H36" s="279">
        <v>22.763999999999999</v>
      </c>
      <c r="I36" s="568">
        <f t="shared" si="3"/>
        <v>25.092984839999996</v>
      </c>
      <c r="J36" s="527">
        <v>43024</v>
      </c>
      <c r="K36" s="279">
        <v>178.9</v>
      </c>
      <c r="L36" s="279">
        <v>23.9</v>
      </c>
      <c r="M36" s="279">
        <v>3.49</v>
      </c>
      <c r="N36" s="279">
        <v>7</v>
      </c>
      <c r="O36" s="518">
        <f t="shared" si="1"/>
        <v>20.16</v>
      </c>
      <c r="P36" s="279">
        <v>19.97</v>
      </c>
    </row>
    <row r="37" spans="1:16" ht="15.75" thickBot="1" x14ac:dyDescent="0.3">
      <c r="A37" s="71"/>
      <c r="B37" s="18" t="s">
        <v>7</v>
      </c>
      <c r="C37" s="18" t="s">
        <v>91</v>
      </c>
      <c r="D37" s="9" t="s">
        <v>263</v>
      </c>
      <c r="E37" s="501">
        <v>4.25</v>
      </c>
      <c r="F37" s="500">
        <v>13.8</v>
      </c>
      <c r="H37" s="279">
        <v>15.669</v>
      </c>
      <c r="I37" s="568">
        <f t="shared" si="3"/>
        <v>17.27209539</v>
      </c>
      <c r="J37" s="527">
        <v>43013</v>
      </c>
      <c r="K37" s="279">
        <v>241.3</v>
      </c>
      <c r="L37" s="279">
        <v>22.1</v>
      </c>
      <c r="M37" s="279">
        <v>6.6</v>
      </c>
      <c r="N37" s="279">
        <v>3.48</v>
      </c>
      <c r="O37" s="518">
        <f t="shared" si="1"/>
        <v>15.456</v>
      </c>
      <c r="P37" s="279">
        <v>21.13</v>
      </c>
    </row>
    <row r="38" spans="1:16" ht="15.75" thickTop="1" x14ac:dyDescent="0.25">
      <c r="A38" s="44"/>
      <c r="B38" s="25"/>
      <c r="C38" s="473" t="s">
        <v>9</v>
      </c>
      <c r="D38" s="123"/>
      <c r="E38" s="456">
        <f>SUM(E30:E37)</f>
        <v>31.169999999999998</v>
      </c>
      <c r="F38" s="490">
        <f>SUM(F30:F37)</f>
        <v>96</v>
      </c>
      <c r="G38" s="534">
        <f>SUM(H30:H37)</f>
        <v>117.61099999999999</v>
      </c>
      <c r="H38" s="490">
        <f>SUM(H30:H37)</f>
        <v>117.61099999999999</v>
      </c>
      <c r="I38" s="571">
        <f t="shared" si="3"/>
        <v>129.64378140999997</v>
      </c>
      <c r="J38" s="490"/>
      <c r="K38" s="490"/>
      <c r="L38" s="490"/>
      <c r="M38" s="490"/>
      <c r="N38" s="490"/>
      <c r="O38" s="519">
        <f t="shared" si="1"/>
        <v>107.52</v>
      </c>
      <c r="P38" s="490">
        <v>178.29</v>
      </c>
    </row>
    <row r="39" spans="1:16" x14ac:dyDescent="0.25">
      <c r="A39" s="1" t="s">
        <v>19</v>
      </c>
      <c r="B39" s="9" t="s">
        <v>3</v>
      </c>
      <c r="C39" s="9" t="s">
        <v>185</v>
      </c>
      <c r="D39" s="9" t="s">
        <v>250</v>
      </c>
      <c r="E39" s="87"/>
      <c r="H39" s="279">
        <v>4.2409999999999997</v>
      </c>
      <c r="I39" s="568">
        <f t="shared" si="3"/>
        <v>4.6748967099999996</v>
      </c>
      <c r="J39" s="527">
        <v>43019</v>
      </c>
      <c r="K39" s="279">
        <v>210</v>
      </c>
      <c r="L39" s="279">
        <v>28</v>
      </c>
      <c r="M39" s="279">
        <v>7.2</v>
      </c>
      <c r="N39" s="279">
        <v>3.46</v>
      </c>
      <c r="O39" s="518"/>
      <c r="P39" s="279">
        <v>17.600000000000001</v>
      </c>
    </row>
    <row r="40" spans="1:16" s="70" customFormat="1" ht="15.75" thickBot="1" x14ac:dyDescent="0.3">
      <c r="A40" s="1"/>
      <c r="B40" s="9" t="s">
        <v>3</v>
      </c>
      <c r="C40" s="9" t="s">
        <v>186</v>
      </c>
      <c r="D40" s="9" t="s">
        <v>251</v>
      </c>
      <c r="E40" s="505">
        <v>4.43</v>
      </c>
      <c r="F40" s="500">
        <v>13.5</v>
      </c>
      <c r="H40" s="279">
        <v>5.5880000000000001</v>
      </c>
      <c r="I40" s="568">
        <f t="shared" si="3"/>
        <v>6.1597082799999994</v>
      </c>
      <c r="J40" s="527">
        <v>43019</v>
      </c>
      <c r="K40" s="279">
        <v>210</v>
      </c>
      <c r="L40" s="279">
        <v>38</v>
      </c>
      <c r="M40" s="279">
        <v>9.9</v>
      </c>
      <c r="N40" s="279">
        <v>3.57</v>
      </c>
      <c r="O40" s="518">
        <f t="shared" si="1"/>
        <v>15.12</v>
      </c>
      <c r="P40" s="279">
        <v>5.1100000000000003</v>
      </c>
    </row>
    <row r="41" spans="1:16" ht="15.75" thickTop="1" x14ac:dyDescent="0.25">
      <c r="A41" s="71"/>
      <c r="B41" s="9"/>
      <c r="C41" s="1" t="s">
        <v>9</v>
      </c>
      <c r="D41" s="9"/>
      <c r="E41" s="39">
        <f>SUM(E39:E40)</f>
        <v>4.43</v>
      </c>
      <c r="F41" s="490">
        <f>SUM(F39:F40)</f>
        <v>13.5</v>
      </c>
      <c r="G41" s="534">
        <f>SUM(H39:H40)</f>
        <v>9.8290000000000006</v>
      </c>
      <c r="H41" s="490">
        <f>SUM(H39:H40)</f>
        <v>9.8290000000000006</v>
      </c>
      <c r="I41" s="571">
        <f t="shared" si="3"/>
        <v>10.834604989999999</v>
      </c>
      <c r="J41" s="490"/>
      <c r="K41" s="490"/>
      <c r="L41" s="490"/>
      <c r="M41" s="490"/>
      <c r="N41" s="490"/>
      <c r="O41" s="519">
        <f t="shared" si="1"/>
        <v>15.12</v>
      </c>
      <c r="P41" s="490">
        <v>24.07</v>
      </c>
    </row>
    <row r="42" spans="1:16" x14ac:dyDescent="0.25">
      <c r="A42" s="3" t="s">
        <v>21</v>
      </c>
      <c r="B42" s="15"/>
      <c r="C42" s="3"/>
      <c r="D42" s="3"/>
      <c r="E42" s="37"/>
      <c r="I42" s="568"/>
      <c r="O42" s="518"/>
    </row>
    <row r="43" spans="1:16" x14ac:dyDescent="0.25">
      <c r="A43" s="71"/>
      <c r="B43" s="9" t="s">
        <v>3</v>
      </c>
      <c r="C43" s="9" t="s">
        <v>44</v>
      </c>
      <c r="D43" s="9" t="s">
        <v>252</v>
      </c>
      <c r="E43" s="501">
        <v>3.38</v>
      </c>
      <c r="F43" s="500">
        <v>14.5</v>
      </c>
      <c r="H43" s="279">
        <v>15.499000000000001</v>
      </c>
      <c r="I43" s="568">
        <f t="shared" si="3"/>
        <v>17.08470269</v>
      </c>
      <c r="J43" s="527">
        <v>43005</v>
      </c>
      <c r="K43" s="279">
        <v>177.3</v>
      </c>
      <c r="L43" s="279">
        <v>21.7</v>
      </c>
      <c r="M43" s="279">
        <v>8</v>
      </c>
      <c r="N43" s="279">
        <v>3.36</v>
      </c>
      <c r="O43" s="518">
        <f t="shared" si="1"/>
        <v>16.239999999999998</v>
      </c>
      <c r="P43" s="279">
        <v>17.079999999999998</v>
      </c>
    </row>
    <row r="44" spans="1:16" x14ac:dyDescent="0.25">
      <c r="A44" s="71"/>
      <c r="B44" s="9" t="s">
        <v>86</v>
      </c>
      <c r="C44" s="9" t="s">
        <v>217</v>
      </c>
      <c r="D44" s="9" t="s">
        <v>253</v>
      </c>
      <c r="E44" s="501">
        <v>1.9</v>
      </c>
      <c r="F44" s="500">
        <v>11</v>
      </c>
      <c r="H44" s="279">
        <v>9.5370000000000008</v>
      </c>
      <c r="I44" s="568">
        <f t="shared" si="3"/>
        <v>10.512730469999999</v>
      </c>
      <c r="J44" s="527">
        <v>43018</v>
      </c>
      <c r="K44" s="279">
        <v>178.6</v>
      </c>
      <c r="L44" s="279">
        <v>20.9</v>
      </c>
      <c r="M44" s="279">
        <v>8.9</v>
      </c>
      <c r="N44" s="279">
        <v>3.29</v>
      </c>
      <c r="O44" s="518">
        <f t="shared" si="1"/>
        <v>12.32</v>
      </c>
      <c r="P44" s="279">
        <v>11.12</v>
      </c>
    </row>
    <row r="45" spans="1:16" x14ac:dyDescent="0.25">
      <c r="A45" s="71"/>
      <c r="B45" s="9" t="s">
        <v>203</v>
      </c>
      <c r="C45" s="9" t="s">
        <v>192</v>
      </c>
      <c r="D45" s="9" t="s">
        <v>254</v>
      </c>
      <c r="E45" s="501">
        <v>5.5</v>
      </c>
      <c r="F45" s="500">
        <v>14.7</v>
      </c>
      <c r="H45" s="279">
        <v>12.994</v>
      </c>
      <c r="I45" s="568">
        <f t="shared" si="3"/>
        <v>14.323416139999999</v>
      </c>
      <c r="J45" s="527">
        <v>43018</v>
      </c>
      <c r="K45" s="279">
        <v>229.6</v>
      </c>
      <c r="L45" s="279">
        <v>21.7</v>
      </c>
      <c r="M45" s="279">
        <v>9.4</v>
      </c>
      <c r="N45" s="279">
        <v>3.31</v>
      </c>
      <c r="O45" s="518">
        <f t="shared" si="1"/>
        <v>16.463999999999999</v>
      </c>
      <c r="P45" s="279">
        <v>12</v>
      </c>
    </row>
    <row r="46" spans="1:16" ht="15.75" thickBot="1" x14ac:dyDescent="0.3">
      <c r="A46" s="71"/>
      <c r="B46" s="18" t="s">
        <v>7</v>
      </c>
      <c r="C46" s="18" t="s">
        <v>92</v>
      </c>
      <c r="D46" s="9" t="s">
        <v>255</v>
      </c>
      <c r="E46" s="129">
        <v>9.1</v>
      </c>
      <c r="F46" s="279">
        <v>18</v>
      </c>
      <c r="H46" s="279">
        <v>25.035</v>
      </c>
      <c r="I46" s="568">
        <f t="shared" si="3"/>
        <v>27.596330849999998</v>
      </c>
      <c r="J46" s="527">
        <v>43026</v>
      </c>
      <c r="K46" s="279">
        <v>165.3</v>
      </c>
      <c r="L46" s="279">
        <v>22.1</v>
      </c>
      <c r="M46" s="279">
        <v>9.3000000000000007</v>
      </c>
      <c r="N46" s="279">
        <v>3.21</v>
      </c>
      <c r="O46" s="518">
        <f t="shared" si="1"/>
        <v>20.16</v>
      </c>
      <c r="P46" s="279">
        <v>29.45</v>
      </c>
    </row>
    <row r="47" spans="1:16" ht="15.75" thickTop="1" x14ac:dyDescent="0.25">
      <c r="A47" s="71"/>
      <c r="B47" s="9"/>
      <c r="C47" s="79" t="s">
        <v>118</v>
      </c>
      <c r="D47" s="9"/>
      <c r="E47" s="456">
        <f>SUM(E43:E46)</f>
        <v>19.88</v>
      </c>
      <c r="F47" s="490">
        <f>SUM(F43:F46)</f>
        <v>58.2</v>
      </c>
      <c r="G47" s="534">
        <f>SUM(H43:H46)</f>
        <v>63.064999999999998</v>
      </c>
      <c r="H47" s="490">
        <f>SUM(H43:H46)</f>
        <v>63.064999999999998</v>
      </c>
      <c r="I47" s="571">
        <f t="shared" si="3"/>
        <v>69.517180149999987</v>
      </c>
      <c r="J47" s="490"/>
      <c r="K47" s="490"/>
      <c r="L47" s="490"/>
      <c r="M47" s="490"/>
      <c r="N47" s="490"/>
      <c r="O47" s="519">
        <f t="shared" si="1"/>
        <v>65.183999999999997</v>
      </c>
      <c r="P47" s="490">
        <v>69.650000000000006</v>
      </c>
    </row>
    <row r="48" spans="1:16" x14ac:dyDescent="0.25">
      <c r="A48" s="3" t="s">
        <v>23</v>
      </c>
      <c r="B48" s="15"/>
      <c r="C48" s="15"/>
      <c r="D48" s="15"/>
      <c r="E48" s="42"/>
      <c r="I48" s="568"/>
      <c r="O48" s="518"/>
    </row>
    <row r="49" spans="1:16" x14ac:dyDescent="0.25">
      <c r="A49" s="1"/>
      <c r="B49" s="8" t="s">
        <v>203</v>
      </c>
      <c r="C49" s="8" t="s">
        <v>193</v>
      </c>
      <c r="D49" s="9" t="s">
        <v>256</v>
      </c>
      <c r="E49" s="510">
        <v>0.5</v>
      </c>
      <c r="F49" s="500">
        <v>1.3</v>
      </c>
      <c r="H49" s="279">
        <v>2.0619999999999998</v>
      </c>
      <c r="I49" s="568">
        <f t="shared" si="3"/>
        <v>2.2729632199999994</v>
      </c>
      <c r="J49" s="527">
        <v>43018</v>
      </c>
      <c r="O49" s="518">
        <f t="shared" si="1"/>
        <v>1.456</v>
      </c>
      <c r="P49" s="279">
        <v>0.48</v>
      </c>
    </row>
    <row r="50" spans="1:16" x14ac:dyDescent="0.25">
      <c r="A50" s="1"/>
      <c r="B50" s="8" t="s">
        <v>201</v>
      </c>
      <c r="C50" s="8" t="s">
        <v>258</v>
      </c>
      <c r="D50" s="9" t="s">
        <v>257</v>
      </c>
      <c r="E50" s="510">
        <v>2</v>
      </c>
      <c r="F50" s="500">
        <v>3.3</v>
      </c>
      <c r="H50" s="279">
        <v>1.762</v>
      </c>
      <c r="I50" s="568">
        <f t="shared" si="3"/>
        <v>1.9422702199999999</v>
      </c>
      <c r="J50" s="527">
        <v>42998</v>
      </c>
      <c r="O50" s="518">
        <f t="shared" si="1"/>
        <v>3.6960000000000002</v>
      </c>
      <c r="P50" s="279">
        <v>1.5</v>
      </c>
    </row>
    <row r="51" spans="1:16" x14ac:dyDescent="0.25">
      <c r="A51" s="71"/>
      <c r="B51" s="18" t="s">
        <v>7</v>
      </c>
      <c r="C51" s="18" t="s">
        <v>42</v>
      </c>
      <c r="D51" s="9" t="s">
        <v>259</v>
      </c>
      <c r="E51" s="501">
        <v>6</v>
      </c>
      <c r="F51" s="500">
        <v>18</v>
      </c>
      <c r="H51" s="279">
        <v>27.283999999999999</v>
      </c>
      <c r="I51" s="568">
        <f t="shared" si="3"/>
        <v>30.075426039999996</v>
      </c>
      <c r="J51" s="527">
        <v>43013</v>
      </c>
      <c r="K51" s="279">
        <v>299</v>
      </c>
      <c r="L51" s="279">
        <v>21.9</v>
      </c>
      <c r="M51" s="279">
        <v>6.7</v>
      </c>
      <c r="N51" s="279">
        <v>3.5</v>
      </c>
      <c r="O51" s="518">
        <f t="shared" si="1"/>
        <v>20.16</v>
      </c>
      <c r="P51" s="279">
        <v>16.05</v>
      </c>
    </row>
    <row r="52" spans="1:16" x14ac:dyDescent="0.25">
      <c r="A52" s="71"/>
      <c r="B52" s="18" t="s">
        <v>7</v>
      </c>
      <c r="C52" s="18" t="s">
        <v>46</v>
      </c>
      <c r="D52" s="9" t="s">
        <v>260</v>
      </c>
      <c r="E52" s="501">
        <v>3.8</v>
      </c>
      <c r="F52" s="500">
        <v>13.5</v>
      </c>
      <c r="H52" s="279">
        <v>17.901</v>
      </c>
      <c r="I52" s="568">
        <f t="shared" si="3"/>
        <v>19.732451309999998</v>
      </c>
      <c r="J52" s="527">
        <v>43014</v>
      </c>
      <c r="K52" s="279">
        <v>316</v>
      </c>
      <c r="L52" s="279">
        <v>21.7</v>
      </c>
      <c r="M52" s="279">
        <v>6.15</v>
      </c>
      <c r="N52" s="279">
        <v>3.42</v>
      </c>
      <c r="O52" s="518">
        <f t="shared" si="1"/>
        <v>15.12</v>
      </c>
      <c r="P52" s="279">
        <v>11.75</v>
      </c>
    </row>
    <row r="53" spans="1:16" x14ac:dyDescent="0.25">
      <c r="A53" s="71"/>
      <c r="B53" s="18" t="s">
        <v>7</v>
      </c>
      <c r="C53" s="18" t="s">
        <v>47</v>
      </c>
      <c r="D53" s="9" t="s">
        <v>261</v>
      </c>
      <c r="E53" s="501">
        <v>2.5</v>
      </c>
      <c r="F53" s="500">
        <v>12.3</v>
      </c>
      <c r="H53" s="279">
        <v>8.718</v>
      </c>
      <c r="I53" s="568">
        <f t="shared" si="3"/>
        <v>9.6099385799999997</v>
      </c>
      <c r="J53" s="527">
        <v>43015</v>
      </c>
      <c r="K53" s="279">
        <v>241.3</v>
      </c>
      <c r="L53" s="279">
        <v>24.4</v>
      </c>
      <c r="M53" s="279">
        <v>3.33</v>
      </c>
      <c r="N53" s="279">
        <v>8.5</v>
      </c>
      <c r="O53" s="518">
        <f t="shared" si="1"/>
        <v>13.776</v>
      </c>
      <c r="P53" s="279">
        <v>12.06</v>
      </c>
    </row>
    <row r="54" spans="1:16" x14ac:dyDescent="0.25">
      <c r="A54" s="71"/>
      <c r="B54" s="18" t="s">
        <v>7</v>
      </c>
      <c r="C54" s="18" t="s">
        <v>91</v>
      </c>
      <c r="D54" s="9" t="s">
        <v>262</v>
      </c>
      <c r="E54" s="501">
        <v>1.75</v>
      </c>
      <c r="F54" s="500">
        <v>5</v>
      </c>
      <c r="H54" s="279">
        <v>6.4349999999999996</v>
      </c>
      <c r="I54" s="568">
        <f t="shared" si="3"/>
        <v>7.0933648499999986</v>
      </c>
      <c r="J54" s="527">
        <v>43014</v>
      </c>
      <c r="K54" s="279">
        <v>349</v>
      </c>
      <c r="L54" s="279">
        <v>24.9</v>
      </c>
      <c r="M54" s="279">
        <v>7.43</v>
      </c>
      <c r="N54" s="279">
        <v>3.6</v>
      </c>
      <c r="O54" s="518">
        <f t="shared" si="1"/>
        <v>5.6</v>
      </c>
      <c r="P54" s="279">
        <v>6.96</v>
      </c>
    </row>
    <row r="55" spans="1:16" ht="15.75" thickBot="1" x14ac:dyDescent="0.3">
      <c r="A55" s="71"/>
      <c r="B55" s="18" t="s">
        <v>7</v>
      </c>
      <c r="C55" s="18" t="s">
        <v>79</v>
      </c>
      <c r="D55" s="9" t="s">
        <v>264</v>
      </c>
      <c r="E55" s="509">
        <v>5</v>
      </c>
      <c r="F55" s="500">
        <v>18</v>
      </c>
      <c r="H55" s="279">
        <v>20.155999999999999</v>
      </c>
      <c r="I55" s="568">
        <f t="shared" si="3"/>
        <v>22.218160359999995</v>
      </c>
      <c r="J55" s="527">
        <v>43007</v>
      </c>
      <c r="K55" s="279">
        <v>249.84</v>
      </c>
      <c r="L55" s="279">
        <v>22.6</v>
      </c>
      <c r="M55" s="279">
        <v>8.4</v>
      </c>
      <c r="N55" s="279">
        <v>3.2</v>
      </c>
      <c r="O55" s="518">
        <f t="shared" si="1"/>
        <v>20.16</v>
      </c>
      <c r="P55" s="279">
        <v>30</v>
      </c>
    </row>
    <row r="56" spans="1:16" ht="15.75" thickTop="1" x14ac:dyDescent="0.25">
      <c r="A56" s="71"/>
      <c r="B56" s="69"/>
      <c r="C56" s="212" t="s">
        <v>118</v>
      </c>
      <c r="D56" s="9"/>
      <c r="E56" s="456">
        <f>SUM(E49:E55)</f>
        <v>21.55</v>
      </c>
      <c r="F56" s="490">
        <f>SUM(F49:F55)</f>
        <v>71.400000000000006</v>
      </c>
      <c r="G56" s="534">
        <f>SUM(H49:H55)</f>
        <v>84.318000000000012</v>
      </c>
      <c r="H56" s="490">
        <f>SUM(H49:H55)</f>
        <v>84.318000000000012</v>
      </c>
      <c r="I56" s="571">
        <f t="shared" si="3"/>
        <v>92.944574580000008</v>
      </c>
      <c r="J56" s="490"/>
      <c r="K56" s="490"/>
      <c r="L56" s="490"/>
      <c r="M56" s="490"/>
      <c r="N56" s="490"/>
      <c r="O56" s="519">
        <f t="shared" si="1"/>
        <v>79.968000000000004</v>
      </c>
      <c r="P56" s="490">
        <v>78.8</v>
      </c>
    </row>
    <row r="57" spans="1:16" x14ac:dyDescent="0.25">
      <c r="A57" s="3" t="s">
        <v>48</v>
      </c>
      <c r="B57" s="15"/>
      <c r="C57" s="3"/>
      <c r="D57" s="3"/>
      <c r="E57" s="37"/>
      <c r="I57" s="568"/>
      <c r="O57" s="518"/>
    </row>
    <row r="58" spans="1:16" x14ac:dyDescent="0.25">
      <c r="A58" s="71"/>
      <c r="B58" s="9" t="s">
        <v>3</v>
      </c>
      <c r="C58" s="9" t="s">
        <v>49</v>
      </c>
      <c r="D58" s="9" t="s">
        <v>265</v>
      </c>
      <c r="E58" s="501">
        <v>5.07</v>
      </c>
      <c r="F58" s="500">
        <v>15.9</v>
      </c>
      <c r="H58" s="279">
        <v>21.881</v>
      </c>
      <c r="I58" s="568">
        <f t="shared" si="3"/>
        <v>24.119645109999997</v>
      </c>
      <c r="J58" s="527">
        <v>43011</v>
      </c>
      <c r="K58" s="279">
        <v>182.5</v>
      </c>
      <c r="L58" s="279">
        <v>22.7</v>
      </c>
      <c r="M58" s="279">
        <v>11.7</v>
      </c>
      <c r="N58" s="279">
        <v>3.07</v>
      </c>
      <c r="O58" s="518">
        <f t="shared" si="1"/>
        <v>17.808</v>
      </c>
      <c r="P58" s="279">
        <v>29.91</v>
      </c>
    </row>
    <row r="59" spans="1:16" x14ac:dyDescent="0.25">
      <c r="A59" s="71"/>
      <c r="B59" s="9" t="s">
        <v>86</v>
      </c>
      <c r="C59" s="9" t="s">
        <v>216</v>
      </c>
      <c r="D59" s="9" t="s">
        <v>268</v>
      </c>
      <c r="E59" s="501">
        <v>2.8</v>
      </c>
      <c r="F59" s="500">
        <v>12.5</v>
      </c>
      <c r="H59" s="279">
        <v>9.1240000000000006</v>
      </c>
      <c r="I59" s="568">
        <f t="shared" si="3"/>
        <v>10.05747644</v>
      </c>
      <c r="J59" s="527">
        <v>43027</v>
      </c>
      <c r="K59" s="279">
        <v>284.3</v>
      </c>
      <c r="L59" s="279">
        <v>22.6</v>
      </c>
      <c r="M59" s="279">
        <v>10.5</v>
      </c>
      <c r="N59" s="279">
        <v>3.21</v>
      </c>
      <c r="O59" s="518">
        <f t="shared" si="1"/>
        <v>14</v>
      </c>
      <c r="P59" s="279">
        <v>17.79</v>
      </c>
    </row>
    <row r="60" spans="1:16" x14ac:dyDescent="0.25">
      <c r="A60" s="71"/>
      <c r="B60" s="9" t="s">
        <v>86</v>
      </c>
      <c r="C60" s="9" t="s">
        <v>220</v>
      </c>
      <c r="D60" s="9" t="s">
        <v>266</v>
      </c>
      <c r="E60" s="501">
        <v>0.21</v>
      </c>
      <c r="F60" s="500">
        <v>1.1000000000000001</v>
      </c>
      <c r="H60" s="279">
        <v>0.84399999999999997</v>
      </c>
      <c r="I60" s="568">
        <f t="shared" si="3"/>
        <v>0.93034963999999987</v>
      </c>
      <c r="J60" s="527">
        <v>43027</v>
      </c>
      <c r="O60" s="518">
        <f t="shared" si="1"/>
        <v>1.232</v>
      </c>
      <c r="P60" s="279">
        <v>2.7</v>
      </c>
    </row>
    <row r="61" spans="1:16" x14ac:dyDescent="0.25">
      <c r="A61" s="1"/>
      <c r="B61" s="9" t="s">
        <v>86</v>
      </c>
      <c r="C61" s="9" t="s">
        <v>223</v>
      </c>
      <c r="D61" s="9" t="s">
        <v>267</v>
      </c>
      <c r="E61" s="501">
        <v>1.4</v>
      </c>
      <c r="F61" s="500">
        <v>5.3</v>
      </c>
      <c r="H61" s="279">
        <v>5.6529999999999996</v>
      </c>
      <c r="I61" s="568">
        <f t="shared" si="3"/>
        <v>6.2313584299999993</v>
      </c>
      <c r="J61" s="527">
        <v>43027</v>
      </c>
      <c r="O61" s="518">
        <f t="shared" si="1"/>
        <v>5.9359999999999999</v>
      </c>
      <c r="P61" s="279">
        <v>6.34</v>
      </c>
    </row>
    <row r="62" spans="1:16" x14ac:dyDescent="0.25">
      <c r="A62" s="71"/>
      <c r="B62" s="9" t="s">
        <v>86</v>
      </c>
      <c r="C62" s="9" t="s">
        <v>225</v>
      </c>
      <c r="D62" s="9" t="s">
        <v>269</v>
      </c>
      <c r="E62" s="501">
        <v>1.1299999999999999</v>
      </c>
      <c r="F62" s="500">
        <v>4.2</v>
      </c>
      <c r="G62" s="71" t="s">
        <v>336</v>
      </c>
      <c r="H62" s="6">
        <v>4.4630000000000001</v>
      </c>
      <c r="I62" s="568">
        <f t="shared" si="3"/>
        <v>4.9196095299999998</v>
      </c>
      <c r="J62" s="530">
        <v>43024</v>
      </c>
      <c r="K62" s="6">
        <v>224</v>
      </c>
      <c r="L62" s="6">
        <v>23.4</v>
      </c>
      <c r="M62" s="6">
        <v>10.8</v>
      </c>
      <c r="N62" s="6">
        <v>3.2</v>
      </c>
      <c r="O62" s="518">
        <f t="shared" si="1"/>
        <v>4.7039999999999997</v>
      </c>
    </row>
    <row r="63" spans="1:16" x14ac:dyDescent="0.25">
      <c r="A63" s="71"/>
      <c r="B63" s="9" t="s">
        <v>89</v>
      </c>
      <c r="C63" s="9" t="s">
        <v>55</v>
      </c>
      <c r="D63" s="9" t="s">
        <v>270</v>
      </c>
      <c r="E63" s="501">
        <v>6.15</v>
      </c>
      <c r="F63" s="500">
        <v>26.5</v>
      </c>
      <c r="G63" s="71" t="s">
        <v>337</v>
      </c>
      <c r="H63" s="6">
        <v>21.913</v>
      </c>
      <c r="I63" s="568">
        <f t="shared" si="3"/>
        <v>24.154919029999999</v>
      </c>
      <c r="J63" s="530">
        <v>43025</v>
      </c>
      <c r="K63" s="6">
        <v>172.5</v>
      </c>
      <c r="L63" s="6">
        <v>21.3</v>
      </c>
      <c r="M63" s="6">
        <v>10.8</v>
      </c>
      <c r="N63" s="6">
        <v>3.05</v>
      </c>
      <c r="O63" s="518">
        <f t="shared" si="1"/>
        <v>29.68</v>
      </c>
      <c r="P63" s="279">
        <v>52.38</v>
      </c>
    </row>
    <row r="64" spans="1:16" ht="15.75" thickBot="1" x14ac:dyDescent="0.3">
      <c r="A64" s="71"/>
      <c r="B64" s="72" t="s">
        <v>139</v>
      </c>
      <c r="C64" s="72" t="s">
        <v>5</v>
      </c>
      <c r="D64" s="9" t="s">
        <v>271</v>
      </c>
      <c r="E64" s="219">
        <v>0</v>
      </c>
      <c r="G64" s="71" t="s">
        <v>229</v>
      </c>
      <c r="H64" s="543">
        <v>10</v>
      </c>
      <c r="I64" s="568">
        <f t="shared" si="3"/>
        <v>11.023099999999999</v>
      </c>
      <c r="J64" s="525"/>
      <c r="K64" s="525"/>
      <c r="L64" s="525"/>
      <c r="M64" s="525"/>
      <c r="N64" s="525"/>
      <c r="O64" s="518"/>
    </row>
    <row r="65" spans="1:16" ht="15.75" thickTop="1" x14ac:dyDescent="0.25">
      <c r="A65" s="71"/>
      <c r="B65" s="69"/>
      <c r="C65" s="79" t="s">
        <v>118</v>
      </c>
      <c r="D65" s="9"/>
      <c r="E65" s="456">
        <f>SUM(E58:E64)</f>
        <v>16.759999999999998</v>
      </c>
      <c r="F65" s="490">
        <f>SUM(F58:F64)</f>
        <v>65.5</v>
      </c>
      <c r="G65" s="534">
        <f>SUM(H58:H64)</f>
        <v>73.878</v>
      </c>
      <c r="H65" s="490">
        <f>SUM(H58:H64)</f>
        <v>73.878</v>
      </c>
      <c r="I65" s="571">
        <f t="shared" si="3"/>
        <v>81.436458179999988</v>
      </c>
      <c r="J65" s="490"/>
      <c r="K65" s="490"/>
      <c r="L65" s="490"/>
      <c r="M65" s="490"/>
      <c r="N65" s="490"/>
      <c r="O65" s="519">
        <f t="shared" si="1"/>
        <v>73.36</v>
      </c>
      <c r="P65" s="490">
        <v>109.12</v>
      </c>
    </row>
    <row r="66" spans="1:16" x14ac:dyDescent="0.25">
      <c r="A66" s="3" t="s">
        <v>25</v>
      </c>
      <c r="B66" s="15"/>
      <c r="C66" s="3"/>
      <c r="D66" s="3"/>
      <c r="E66" s="37"/>
      <c r="I66" s="568"/>
      <c r="O66" s="518"/>
    </row>
    <row r="67" spans="1:16" x14ac:dyDescent="0.25">
      <c r="A67" s="44"/>
      <c r="B67" s="123" t="s">
        <v>3</v>
      </c>
      <c r="C67" s="123" t="s">
        <v>56</v>
      </c>
      <c r="D67" s="123" t="s">
        <v>272</v>
      </c>
      <c r="E67" s="506">
        <v>1.49</v>
      </c>
      <c r="F67" s="507">
        <v>5</v>
      </c>
      <c r="G67" s="534">
        <f>H67</f>
        <v>6.641</v>
      </c>
      <c r="H67" s="490">
        <v>6.641</v>
      </c>
      <c r="I67" s="571">
        <f t="shared" si="3"/>
        <v>7.3204407099999997</v>
      </c>
      <c r="J67" s="528">
        <v>42989</v>
      </c>
      <c r="K67" s="529">
        <v>103.2</v>
      </c>
      <c r="L67" s="529">
        <v>20.5</v>
      </c>
      <c r="M67" s="529">
        <v>8.1</v>
      </c>
      <c r="N67" s="529">
        <v>3.04</v>
      </c>
      <c r="O67" s="519">
        <f t="shared" si="1"/>
        <v>5.6</v>
      </c>
      <c r="P67" s="490">
        <v>7.67</v>
      </c>
    </row>
    <row r="68" spans="1:16" x14ac:dyDescent="0.25">
      <c r="A68" s="43" t="s">
        <v>103</v>
      </c>
      <c r="B68" s="8"/>
      <c r="C68" s="79"/>
      <c r="D68" s="79"/>
      <c r="E68" s="493"/>
      <c r="I68" s="568"/>
      <c r="O68" s="518"/>
    </row>
    <row r="69" spans="1:16" s="70" customFormat="1" x14ac:dyDescent="0.25">
      <c r="A69" s="43"/>
      <c r="B69" s="8" t="s">
        <v>7</v>
      </c>
      <c r="C69" s="124" t="s">
        <v>204</v>
      </c>
      <c r="D69" s="9" t="s">
        <v>273</v>
      </c>
      <c r="E69" s="536">
        <v>1</v>
      </c>
      <c r="F69" s="279">
        <v>4.55</v>
      </c>
      <c r="H69" s="279">
        <v>2.54</v>
      </c>
      <c r="I69" s="568">
        <f t="shared" si="3"/>
        <v>2.7998673999999997</v>
      </c>
      <c r="J69" s="527">
        <v>43021</v>
      </c>
      <c r="K69" s="279">
        <v>237.59</v>
      </c>
      <c r="L69" s="279">
        <v>24.1</v>
      </c>
      <c r="M69" s="279">
        <v>7.6</v>
      </c>
      <c r="N69" s="279">
        <v>3.26</v>
      </c>
      <c r="O69" s="518">
        <f t="shared" si="1"/>
        <v>5.0960000000000001</v>
      </c>
      <c r="P69" s="279"/>
    </row>
    <row r="70" spans="1:16" s="70" customFormat="1" ht="15.75" thickBot="1" x14ac:dyDescent="0.3">
      <c r="A70" s="43"/>
      <c r="B70" s="8" t="s">
        <v>7</v>
      </c>
      <c r="C70" s="124" t="s">
        <v>205</v>
      </c>
      <c r="D70" s="9" t="s">
        <v>274</v>
      </c>
      <c r="E70" s="540">
        <v>1</v>
      </c>
      <c r="F70" s="279">
        <v>4.55</v>
      </c>
      <c r="H70" s="279">
        <v>5.36</v>
      </c>
      <c r="I70" s="568">
        <f t="shared" si="3"/>
        <v>5.9083816000000002</v>
      </c>
      <c r="J70" s="527">
        <v>43031</v>
      </c>
      <c r="K70" s="279">
        <v>135.49</v>
      </c>
      <c r="L70" s="279">
        <v>22.3</v>
      </c>
      <c r="M70" s="279">
        <v>6.7</v>
      </c>
      <c r="N70" s="279">
        <v>3.32</v>
      </c>
      <c r="O70" s="518">
        <f t="shared" ref="O70:O131" si="4">(F70*2240)/2000</f>
        <v>5.0960000000000001</v>
      </c>
      <c r="P70" s="279"/>
    </row>
    <row r="71" spans="1:16" ht="15.75" thickTop="1" x14ac:dyDescent="0.25">
      <c r="A71" s="44"/>
      <c r="B71" s="309"/>
      <c r="C71" s="253" t="s">
        <v>9</v>
      </c>
      <c r="D71" s="123"/>
      <c r="E71" s="537">
        <f>SUM(E69:E70)</f>
        <v>2</v>
      </c>
      <c r="F71" s="514">
        <f>SUM(F69:F70)</f>
        <v>9.1</v>
      </c>
      <c r="G71" s="534">
        <f>SUM(H69:H70)</f>
        <v>7.9</v>
      </c>
      <c r="H71" s="490">
        <f>SUM(H69:H70)</f>
        <v>7.9</v>
      </c>
      <c r="I71" s="571">
        <f t="shared" si="3"/>
        <v>8.7082490000000004</v>
      </c>
      <c r="J71" s="490"/>
      <c r="K71" s="490"/>
      <c r="L71" s="490"/>
      <c r="M71" s="490"/>
      <c r="N71" s="490"/>
      <c r="O71" s="519">
        <f t="shared" si="4"/>
        <v>10.192</v>
      </c>
      <c r="P71" s="490">
        <v>19.36</v>
      </c>
    </row>
    <row r="72" spans="1:16" x14ac:dyDescent="0.25">
      <c r="A72" s="43" t="s">
        <v>196</v>
      </c>
      <c r="B72" s="94"/>
      <c r="C72" s="130"/>
      <c r="D72" s="130"/>
      <c r="E72" s="494"/>
      <c r="G72" s="71" t="s">
        <v>333</v>
      </c>
      <c r="I72" s="568"/>
      <c r="O72" s="518"/>
    </row>
    <row r="73" spans="1:16" x14ac:dyDescent="0.25">
      <c r="A73" s="44"/>
      <c r="B73" s="309" t="s">
        <v>197</v>
      </c>
      <c r="C73" s="309"/>
      <c r="D73" s="123" t="s">
        <v>275</v>
      </c>
      <c r="E73" s="539">
        <v>6</v>
      </c>
      <c r="F73" s="514">
        <v>11.3</v>
      </c>
      <c r="G73" s="512" t="s">
        <v>330</v>
      </c>
      <c r="H73" s="464">
        <v>11.5</v>
      </c>
      <c r="I73" s="571">
        <f t="shared" si="3"/>
        <v>12.676564999999998</v>
      </c>
      <c r="J73" s="490"/>
      <c r="K73" s="490"/>
      <c r="L73" s="490"/>
      <c r="M73" s="490"/>
      <c r="N73" s="490"/>
      <c r="O73" s="519">
        <f t="shared" si="4"/>
        <v>12.656000000000001</v>
      </c>
      <c r="P73" s="490">
        <v>7.46</v>
      </c>
    </row>
    <row r="74" spans="1:16" x14ac:dyDescent="0.25">
      <c r="A74" s="43" t="s">
        <v>159</v>
      </c>
      <c r="B74" s="130"/>
      <c r="C74" s="130"/>
      <c r="D74" s="130"/>
      <c r="E74" s="495"/>
      <c r="I74" s="568"/>
      <c r="O74" s="518"/>
    </row>
    <row r="75" spans="1:16" x14ac:dyDescent="0.25">
      <c r="A75" s="44"/>
      <c r="B75" s="309" t="s">
        <v>160</v>
      </c>
      <c r="C75" s="309" t="s">
        <v>205</v>
      </c>
      <c r="D75" s="123" t="s">
        <v>276</v>
      </c>
      <c r="E75" s="538">
        <v>2</v>
      </c>
      <c r="F75" s="514">
        <v>9.1</v>
      </c>
      <c r="G75" s="534">
        <v>8.0359999999999996</v>
      </c>
      <c r="H75" s="490">
        <v>8.0359999999999996</v>
      </c>
      <c r="I75" s="571">
        <f t="shared" si="3"/>
        <v>8.8581631599999984</v>
      </c>
      <c r="J75" s="528">
        <v>43034</v>
      </c>
      <c r="K75" s="529">
        <v>127</v>
      </c>
      <c r="L75" s="529">
        <v>22.8</v>
      </c>
      <c r="M75" s="529">
        <v>8.1</v>
      </c>
      <c r="N75" s="529">
        <v>3.22</v>
      </c>
      <c r="O75" s="519">
        <f t="shared" si="4"/>
        <v>10.192</v>
      </c>
      <c r="P75" s="490">
        <v>10.73</v>
      </c>
    </row>
    <row r="76" spans="1:16" x14ac:dyDescent="0.25">
      <c r="A76" s="43" t="s">
        <v>27</v>
      </c>
      <c r="B76" s="8"/>
      <c r="C76" s="1"/>
      <c r="D76" s="1"/>
      <c r="E76" s="87"/>
      <c r="I76" s="568"/>
      <c r="O76" s="518"/>
    </row>
    <row r="77" spans="1:16" x14ac:dyDescent="0.25">
      <c r="A77" s="71"/>
      <c r="B77" s="9" t="s">
        <v>3</v>
      </c>
      <c r="C77" s="9" t="s">
        <v>57</v>
      </c>
      <c r="D77" s="9" t="s">
        <v>277</v>
      </c>
      <c r="E77" s="501">
        <v>0.19</v>
      </c>
      <c r="F77" s="500">
        <v>0.3</v>
      </c>
      <c r="H77" s="279">
        <v>0.315</v>
      </c>
      <c r="I77" s="568">
        <f t="shared" si="3"/>
        <v>0.34722765</v>
      </c>
      <c r="J77" s="527">
        <v>43027</v>
      </c>
      <c r="O77" s="518">
        <f t="shared" si="4"/>
        <v>0.33600000000000002</v>
      </c>
      <c r="P77" s="279">
        <v>0.4</v>
      </c>
    </row>
    <row r="78" spans="1:16" x14ac:dyDescent="0.25">
      <c r="A78" s="1"/>
      <c r="B78" s="9"/>
      <c r="C78" s="9" t="s">
        <v>58</v>
      </c>
      <c r="D78" s="9" t="s">
        <v>278</v>
      </c>
      <c r="E78" s="501">
        <v>2.36</v>
      </c>
      <c r="F78" s="500">
        <v>8</v>
      </c>
      <c r="H78" s="279">
        <v>5.8479999999999999</v>
      </c>
      <c r="I78" s="568">
        <f t="shared" si="3"/>
        <v>6.4463088799999992</v>
      </c>
      <c r="J78" s="527">
        <v>43027</v>
      </c>
      <c r="O78" s="518">
        <f t="shared" si="4"/>
        <v>8.9600000000000009</v>
      </c>
      <c r="P78" s="279">
        <v>12.94</v>
      </c>
    </row>
    <row r="79" spans="1:16" x14ac:dyDescent="0.25">
      <c r="A79" s="71"/>
      <c r="B79" s="9"/>
      <c r="C79" s="9" t="s">
        <v>59</v>
      </c>
      <c r="D79" s="9" t="s">
        <v>279</v>
      </c>
      <c r="E79" s="501">
        <v>1.17</v>
      </c>
      <c r="F79" s="500">
        <v>3.6</v>
      </c>
      <c r="H79" s="279">
        <v>3.2360000000000002</v>
      </c>
      <c r="I79" s="568">
        <f t="shared" si="3"/>
        <v>3.5670751599999999</v>
      </c>
      <c r="J79" s="527">
        <v>43027</v>
      </c>
      <c r="O79" s="518">
        <f t="shared" si="4"/>
        <v>4.032</v>
      </c>
      <c r="P79" s="279">
        <v>6.14</v>
      </c>
    </row>
    <row r="80" spans="1:16" x14ac:dyDescent="0.25">
      <c r="A80" s="71"/>
      <c r="B80" s="9"/>
      <c r="C80" s="9" t="s">
        <v>60</v>
      </c>
      <c r="D80" s="9" t="s">
        <v>280</v>
      </c>
      <c r="E80" s="501">
        <v>1.08</v>
      </c>
      <c r="F80" s="500">
        <v>4</v>
      </c>
      <c r="H80" s="279">
        <v>2.6040000000000001</v>
      </c>
      <c r="I80" s="568">
        <f t="shared" si="3"/>
        <v>2.8704152399999998</v>
      </c>
      <c r="J80" s="527">
        <v>43027</v>
      </c>
      <c r="O80" s="518">
        <f t="shared" si="4"/>
        <v>4.4800000000000004</v>
      </c>
      <c r="P80" s="279">
        <v>4.49</v>
      </c>
    </row>
    <row r="81" spans="1:16" x14ac:dyDescent="0.25">
      <c r="A81" s="71"/>
      <c r="B81" s="18" t="s">
        <v>7</v>
      </c>
      <c r="C81" s="18" t="s">
        <v>205</v>
      </c>
      <c r="D81" s="9" t="s">
        <v>281</v>
      </c>
      <c r="E81" s="501"/>
      <c r="F81" s="500">
        <v>9.1</v>
      </c>
      <c r="H81" s="279">
        <v>0</v>
      </c>
      <c r="I81" s="568">
        <f t="shared" si="3"/>
        <v>0</v>
      </c>
      <c r="O81" s="518">
        <f t="shared" si="4"/>
        <v>10.192</v>
      </c>
    </row>
    <row r="82" spans="1:16" ht="15.75" thickBot="1" x14ac:dyDescent="0.3">
      <c r="A82" s="71"/>
      <c r="B82" s="124" t="s">
        <v>7</v>
      </c>
      <c r="C82" s="208" t="s">
        <v>206</v>
      </c>
      <c r="D82" s="9" t="s">
        <v>282</v>
      </c>
      <c r="E82" s="178">
        <v>2.78</v>
      </c>
      <c r="F82" s="500">
        <v>2.73</v>
      </c>
      <c r="H82" s="279">
        <v>3.484</v>
      </c>
      <c r="I82" s="568">
        <f t="shared" si="3"/>
        <v>3.8404480399999996</v>
      </c>
      <c r="J82" s="527">
        <v>43020</v>
      </c>
      <c r="K82" s="279">
        <v>97.9</v>
      </c>
      <c r="L82" s="279">
        <v>24.8</v>
      </c>
      <c r="M82" s="279">
        <v>8.9</v>
      </c>
      <c r="N82" s="279">
        <v>3.4</v>
      </c>
      <c r="O82" s="518">
        <f t="shared" si="4"/>
        <v>3.0575999999999999</v>
      </c>
    </row>
    <row r="83" spans="1:16" ht="15.75" thickTop="1" x14ac:dyDescent="0.25">
      <c r="A83" s="71"/>
      <c r="B83" s="69"/>
      <c r="C83" s="79" t="s">
        <v>118</v>
      </c>
      <c r="D83" s="9"/>
      <c r="E83" s="486">
        <f>SUM(E77:E82)</f>
        <v>7.58</v>
      </c>
      <c r="F83" s="514">
        <f>SUM(F77:F82)</f>
        <v>27.73</v>
      </c>
      <c r="G83" s="534">
        <f>SUM(H77:H82)</f>
        <v>15.487</v>
      </c>
      <c r="H83" s="490">
        <f>SUM(H77:H82)</f>
        <v>15.487</v>
      </c>
      <c r="I83" s="571">
        <f t="shared" si="3"/>
        <v>17.071474969999997</v>
      </c>
      <c r="J83" s="490"/>
      <c r="K83" s="490"/>
      <c r="L83" s="490"/>
      <c r="M83" s="490"/>
      <c r="N83" s="490"/>
      <c r="O83" s="519">
        <f t="shared" si="4"/>
        <v>31.057600000000001</v>
      </c>
      <c r="P83" s="490">
        <v>44.86</v>
      </c>
    </row>
    <row r="84" spans="1:16" x14ac:dyDescent="0.25">
      <c r="A84" s="3" t="s">
        <v>28</v>
      </c>
      <c r="B84" s="15"/>
      <c r="C84" s="3"/>
      <c r="D84" s="3"/>
      <c r="E84" s="37"/>
      <c r="I84" s="568"/>
      <c r="O84" s="518"/>
    </row>
    <row r="85" spans="1:16" x14ac:dyDescent="0.25">
      <c r="A85" s="71"/>
      <c r="B85" s="9" t="s">
        <v>3</v>
      </c>
      <c r="C85" s="9" t="s">
        <v>53</v>
      </c>
      <c r="D85" s="9" t="s">
        <v>283</v>
      </c>
      <c r="E85" s="501">
        <v>1.0900000000000001</v>
      </c>
      <c r="F85" s="500">
        <v>3.1</v>
      </c>
      <c r="H85" s="279">
        <v>2.766</v>
      </c>
      <c r="I85" s="568">
        <f t="shared" ref="I85:I130" si="5">H85*1.10231</f>
        <v>3.0489894599999996</v>
      </c>
      <c r="J85" s="527">
        <v>42990</v>
      </c>
      <c r="K85" s="279">
        <v>255.11</v>
      </c>
      <c r="L85" s="279">
        <v>25.3</v>
      </c>
      <c r="M85" s="279">
        <v>9.5</v>
      </c>
      <c r="N85" s="279">
        <v>3.48</v>
      </c>
      <c r="O85" s="518">
        <f t="shared" si="4"/>
        <v>3.472</v>
      </c>
      <c r="P85" s="279">
        <v>4.46</v>
      </c>
    </row>
    <row r="86" spans="1:16" x14ac:dyDescent="0.25">
      <c r="A86" s="71"/>
      <c r="B86" s="9" t="s">
        <v>3</v>
      </c>
      <c r="C86" s="9" t="s">
        <v>61</v>
      </c>
      <c r="D86" s="9" t="s">
        <v>284</v>
      </c>
      <c r="E86" s="501">
        <v>0.83</v>
      </c>
      <c r="F86" s="500">
        <v>7.2</v>
      </c>
      <c r="H86" s="279">
        <v>2.7730000000000001</v>
      </c>
      <c r="I86" s="568">
        <f t="shared" si="5"/>
        <v>3.0567056299999997</v>
      </c>
      <c r="O86" s="518">
        <f t="shared" si="4"/>
        <v>8.0640000000000001</v>
      </c>
      <c r="P86" s="279">
        <v>4.6500000000000004</v>
      </c>
    </row>
    <row r="87" spans="1:16" x14ac:dyDescent="0.25">
      <c r="A87" s="71"/>
      <c r="B87" s="72" t="s">
        <v>86</v>
      </c>
      <c r="C87" s="9"/>
      <c r="D87" s="9" t="s">
        <v>285</v>
      </c>
      <c r="E87" s="39">
        <v>0.05</v>
      </c>
      <c r="F87" s="279">
        <v>0.2</v>
      </c>
      <c r="I87" s="568">
        <f t="shared" si="5"/>
        <v>0</v>
      </c>
      <c r="O87" s="518">
        <f t="shared" si="4"/>
        <v>0.224</v>
      </c>
      <c r="P87" s="279">
        <v>0.14000000000000001</v>
      </c>
    </row>
    <row r="88" spans="1:16" ht="15.75" thickBot="1" x14ac:dyDescent="0.3">
      <c r="A88" s="71"/>
      <c r="B88" s="9" t="s">
        <v>6</v>
      </c>
      <c r="C88" s="9"/>
      <c r="D88" s="9" t="s">
        <v>286</v>
      </c>
      <c r="E88" s="509">
        <v>13.5</v>
      </c>
      <c r="F88" s="500">
        <v>49</v>
      </c>
      <c r="H88" s="279">
        <v>43.442</v>
      </c>
      <c r="I88" s="568">
        <f t="shared" si="5"/>
        <v>47.886551019999999</v>
      </c>
      <c r="J88" s="527">
        <v>43000</v>
      </c>
      <c r="K88" s="279">
        <v>169.4</v>
      </c>
      <c r="L88" s="279">
        <v>24.8</v>
      </c>
      <c r="M88" s="279">
        <v>9.5</v>
      </c>
      <c r="N88" s="279">
        <v>3.5</v>
      </c>
      <c r="O88" s="518">
        <f t="shared" si="4"/>
        <v>54.88</v>
      </c>
      <c r="P88" s="279">
        <v>54.8</v>
      </c>
    </row>
    <row r="89" spans="1:16" ht="15.75" thickTop="1" x14ac:dyDescent="0.25">
      <c r="A89" s="71"/>
      <c r="B89" s="69"/>
      <c r="C89" s="79" t="s">
        <v>118</v>
      </c>
      <c r="D89" s="9"/>
      <c r="E89" s="199">
        <f>SUM(E85:E88)</f>
        <v>15.47</v>
      </c>
      <c r="F89" s="490">
        <f>SUM(F85:F88)</f>
        <v>59.5</v>
      </c>
      <c r="G89" s="534">
        <f>SUM(H85:H88)</f>
        <v>48.981000000000002</v>
      </c>
      <c r="H89" s="490">
        <f>SUM(H85:H88)</f>
        <v>48.981000000000002</v>
      </c>
      <c r="I89" s="571">
        <f t="shared" si="5"/>
        <v>53.992246109999996</v>
      </c>
      <c r="J89" s="490"/>
      <c r="K89" s="490"/>
      <c r="L89" s="490"/>
      <c r="M89" s="490"/>
      <c r="N89" s="490"/>
      <c r="O89" s="519">
        <f t="shared" si="4"/>
        <v>66.64</v>
      </c>
      <c r="P89" s="490">
        <v>64.05</v>
      </c>
    </row>
    <row r="90" spans="1:16" x14ac:dyDescent="0.25">
      <c r="A90" s="3" t="s">
        <v>62</v>
      </c>
      <c r="B90" s="15"/>
      <c r="C90" s="3"/>
      <c r="D90" s="3"/>
      <c r="E90" s="37"/>
      <c r="I90" s="568"/>
      <c r="O90" s="518"/>
    </row>
    <row r="91" spans="1:16" x14ac:dyDescent="0.25">
      <c r="A91" s="71"/>
      <c r="B91" s="18" t="s">
        <v>7</v>
      </c>
      <c r="C91" s="18" t="s">
        <v>46</v>
      </c>
      <c r="D91" s="9" t="s">
        <v>287</v>
      </c>
      <c r="E91" s="501">
        <v>11.2</v>
      </c>
      <c r="F91" s="500">
        <v>67</v>
      </c>
      <c r="H91" s="279">
        <v>59.654000000000003</v>
      </c>
      <c r="I91" s="568">
        <f t="shared" si="5"/>
        <v>65.757200740000002</v>
      </c>
      <c r="J91" s="527">
        <v>43018</v>
      </c>
      <c r="K91" s="279">
        <v>284.60000000000002</v>
      </c>
      <c r="L91" s="279">
        <v>24.1</v>
      </c>
      <c r="M91" s="279">
        <v>9.5</v>
      </c>
      <c r="N91" s="279">
        <v>3.18</v>
      </c>
      <c r="O91" s="518">
        <f t="shared" si="4"/>
        <v>75.040000000000006</v>
      </c>
      <c r="P91" s="279">
        <v>60.47</v>
      </c>
    </row>
    <row r="92" spans="1:16" ht="15.75" thickBot="1" x14ac:dyDescent="0.3">
      <c r="A92" s="71"/>
      <c r="B92" s="18" t="s">
        <v>7</v>
      </c>
      <c r="C92" s="72" t="s">
        <v>99</v>
      </c>
      <c r="D92" s="9" t="s">
        <v>288</v>
      </c>
      <c r="E92" s="509">
        <v>7</v>
      </c>
      <c r="F92" s="500">
        <v>26</v>
      </c>
      <c r="H92" s="279">
        <v>19.102</v>
      </c>
      <c r="I92" s="568">
        <f t="shared" si="5"/>
        <v>21.056325619999999</v>
      </c>
      <c r="J92" s="527">
        <v>43025</v>
      </c>
      <c r="K92" s="279">
        <v>281</v>
      </c>
      <c r="L92" s="279">
        <v>23.8</v>
      </c>
      <c r="M92" s="279">
        <v>10.1</v>
      </c>
      <c r="N92" s="279">
        <v>3.28</v>
      </c>
      <c r="O92" s="518">
        <f t="shared" si="4"/>
        <v>29.12</v>
      </c>
      <c r="P92" s="279">
        <v>29.61</v>
      </c>
    </row>
    <row r="93" spans="1:16" ht="15.75" thickTop="1" x14ac:dyDescent="0.25">
      <c r="A93" s="71"/>
      <c r="B93" s="69"/>
      <c r="C93" s="79" t="s">
        <v>118</v>
      </c>
      <c r="D93" s="9"/>
      <c r="E93" s="498">
        <f>SUM(E91:E92)</f>
        <v>18.2</v>
      </c>
      <c r="F93" s="490">
        <f>SUM(F91:F92)</f>
        <v>93</v>
      </c>
      <c r="G93" s="534">
        <f>SUM(H91:H92)</f>
        <v>78.756</v>
      </c>
      <c r="H93" s="490">
        <f>SUM(H91:H92)</f>
        <v>78.756</v>
      </c>
      <c r="I93" s="571">
        <f t="shared" si="5"/>
        <v>86.813526359999997</v>
      </c>
      <c r="J93" s="490"/>
      <c r="K93" s="490"/>
      <c r="L93" s="490"/>
      <c r="M93" s="490"/>
      <c r="N93" s="490"/>
      <c r="O93" s="519">
        <f t="shared" si="4"/>
        <v>104.16</v>
      </c>
      <c r="P93" s="490">
        <v>90.08</v>
      </c>
    </row>
    <row r="94" spans="1:16" x14ac:dyDescent="0.25">
      <c r="A94" s="13" t="s">
        <v>30</v>
      </c>
      <c r="B94" s="15"/>
      <c r="C94" s="3"/>
      <c r="D94" s="3"/>
      <c r="E94" s="37"/>
      <c r="I94" s="568"/>
      <c r="O94" s="518"/>
    </row>
    <row r="95" spans="1:16" x14ac:dyDescent="0.25">
      <c r="A95" s="71"/>
      <c r="B95" s="9" t="s">
        <v>3</v>
      </c>
      <c r="C95" s="9" t="s">
        <v>57</v>
      </c>
      <c r="D95" s="9" t="s">
        <v>291</v>
      </c>
      <c r="E95" s="501">
        <v>0.91</v>
      </c>
      <c r="F95" s="500">
        <v>3.7</v>
      </c>
      <c r="H95" s="279">
        <v>2.0369999999999999</v>
      </c>
      <c r="I95" s="568">
        <f t="shared" si="5"/>
        <v>2.2454054699999997</v>
      </c>
      <c r="J95" s="527">
        <v>43020</v>
      </c>
      <c r="O95" s="518">
        <f t="shared" si="4"/>
        <v>4.1440000000000001</v>
      </c>
      <c r="P95" s="279">
        <v>4.18</v>
      </c>
    </row>
    <row r="96" spans="1:16" x14ac:dyDescent="0.25">
      <c r="A96" s="1"/>
      <c r="B96" s="9" t="s">
        <v>3</v>
      </c>
      <c r="C96" s="9" t="s">
        <v>51</v>
      </c>
      <c r="D96" s="9" t="s">
        <v>292</v>
      </c>
      <c r="E96" s="501">
        <v>2.79</v>
      </c>
      <c r="F96" s="500">
        <v>10.1</v>
      </c>
      <c r="H96" s="279">
        <v>7.0750000000000002</v>
      </c>
      <c r="I96" s="568">
        <f t="shared" si="5"/>
        <v>7.7988432499999991</v>
      </c>
      <c r="J96" s="527">
        <v>43020</v>
      </c>
      <c r="K96" s="279">
        <v>131.19999999999999</v>
      </c>
      <c r="L96" s="279">
        <v>27.9</v>
      </c>
      <c r="M96" s="279">
        <v>6.3</v>
      </c>
      <c r="N96" s="279">
        <v>3.7</v>
      </c>
      <c r="O96" s="518">
        <f t="shared" si="4"/>
        <v>11.311999999999999</v>
      </c>
      <c r="P96" s="279">
        <v>14.58</v>
      </c>
    </row>
    <row r="97" spans="1:16" x14ac:dyDescent="0.25">
      <c r="A97" s="71"/>
      <c r="B97" s="123" t="s">
        <v>3</v>
      </c>
      <c r="C97" s="123" t="s">
        <v>208</v>
      </c>
      <c r="D97" s="123" t="s">
        <v>293</v>
      </c>
      <c r="E97" s="506">
        <v>4.33</v>
      </c>
      <c r="F97" s="500">
        <v>16.5</v>
      </c>
      <c r="H97" s="279">
        <v>15.206</v>
      </c>
      <c r="I97" s="568">
        <f t="shared" si="5"/>
        <v>16.761725859999999</v>
      </c>
      <c r="J97" s="527">
        <v>43020</v>
      </c>
      <c r="K97" s="279">
        <v>133.9</v>
      </c>
      <c r="L97" s="279">
        <v>26.3</v>
      </c>
      <c r="M97" s="279">
        <v>6.2</v>
      </c>
      <c r="N97" s="279">
        <v>3.62</v>
      </c>
      <c r="O97" s="518">
        <f t="shared" si="4"/>
        <v>18.48</v>
      </c>
      <c r="P97" s="279">
        <v>21.78</v>
      </c>
    </row>
    <row r="98" spans="1:16" x14ac:dyDescent="0.25">
      <c r="A98" s="1"/>
      <c r="B98" s="572" t="s">
        <v>3</v>
      </c>
      <c r="C98" s="572" t="s">
        <v>65</v>
      </c>
      <c r="D98" s="572" t="s">
        <v>316</v>
      </c>
      <c r="E98" s="573">
        <v>4.92</v>
      </c>
      <c r="F98" s="500">
        <v>17.100000000000001</v>
      </c>
      <c r="H98" s="279">
        <v>14.496</v>
      </c>
      <c r="I98" s="568">
        <f t="shared" si="5"/>
        <v>15.979085759999998</v>
      </c>
      <c r="J98" s="527">
        <v>43021</v>
      </c>
      <c r="K98" s="279">
        <v>158.5</v>
      </c>
      <c r="L98" s="279">
        <v>26.8</v>
      </c>
      <c r="M98" s="279">
        <v>4</v>
      </c>
      <c r="N98" s="279">
        <v>3.83</v>
      </c>
      <c r="O98" s="518">
        <f t="shared" si="4"/>
        <v>19.152000000000001</v>
      </c>
      <c r="P98" s="279">
        <v>24.84</v>
      </c>
    </row>
    <row r="99" spans="1:16" ht="15.75" thickBot="1" x14ac:dyDescent="0.3">
      <c r="A99" s="1"/>
      <c r="B99" s="9" t="s">
        <v>7</v>
      </c>
      <c r="C99" s="9" t="s">
        <v>206</v>
      </c>
      <c r="D99" s="9" t="s">
        <v>294</v>
      </c>
      <c r="E99" s="541">
        <v>9.4700000000000006</v>
      </c>
      <c r="F99" s="500">
        <v>9.1</v>
      </c>
      <c r="H99" s="279">
        <v>9.9540000000000006</v>
      </c>
      <c r="I99" s="568">
        <f t="shared" si="5"/>
        <v>10.972393739999999</v>
      </c>
      <c r="J99" s="527">
        <v>43008</v>
      </c>
      <c r="K99" s="279">
        <v>96.8</v>
      </c>
      <c r="L99" s="279">
        <v>25.5</v>
      </c>
      <c r="M99" s="279">
        <v>6.2</v>
      </c>
      <c r="N99" s="279">
        <v>3.68</v>
      </c>
      <c r="O99" s="518">
        <f t="shared" si="4"/>
        <v>10.192</v>
      </c>
    </row>
    <row r="100" spans="1:16" ht="15.75" thickTop="1" x14ac:dyDescent="0.25">
      <c r="A100" s="71"/>
      <c r="B100" s="69"/>
      <c r="C100" s="79" t="s">
        <v>118</v>
      </c>
      <c r="D100" s="9"/>
      <c r="E100" s="486">
        <f>SUM(E95:E99)</f>
        <v>22.42</v>
      </c>
      <c r="F100" s="490">
        <f>SUM(F95:F99)</f>
        <v>56.500000000000007</v>
      </c>
      <c r="G100" s="534">
        <f>SUM(H95:H99)</f>
        <v>48.768000000000001</v>
      </c>
      <c r="H100" s="490">
        <f>SUM(H95:H99)</f>
        <v>48.768000000000001</v>
      </c>
      <c r="I100" s="571">
        <f t="shared" si="5"/>
        <v>53.757454079999995</v>
      </c>
      <c r="J100" s="490"/>
      <c r="K100" s="490"/>
      <c r="L100" s="490"/>
      <c r="M100" s="490"/>
      <c r="N100" s="490"/>
      <c r="O100" s="519">
        <f t="shared" si="4"/>
        <v>63.280000000000008</v>
      </c>
      <c r="P100" s="490">
        <v>65.37</v>
      </c>
    </row>
    <row r="101" spans="1:16" x14ac:dyDescent="0.25">
      <c r="A101" s="3" t="s">
        <v>33</v>
      </c>
      <c r="B101" s="15"/>
      <c r="C101" s="15"/>
      <c r="D101" s="15"/>
      <c r="E101" s="42"/>
      <c r="I101" s="568"/>
      <c r="O101" s="518"/>
    </row>
    <row r="102" spans="1:16" x14ac:dyDescent="0.25">
      <c r="A102" s="71"/>
      <c r="B102" s="72" t="s">
        <v>3</v>
      </c>
      <c r="C102" s="72" t="s">
        <v>52</v>
      </c>
      <c r="D102" s="9" t="s">
        <v>295</v>
      </c>
      <c r="E102" s="501">
        <v>1.79</v>
      </c>
      <c r="F102" s="500">
        <v>5.5</v>
      </c>
      <c r="H102" s="279">
        <v>7.0759999999999996</v>
      </c>
      <c r="I102" s="568">
        <f t="shared" si="5"/>
        <v>7.7999455599999985</v>
      </c>
      <c r="J102" s="527">
        <v>42999</v>
      </c>
      <c r="K102" s="279">
        <v>215.2</v>
      </c>
      <c r="L102" s="279">
        <v>22.9</v>
      </c>
      <c r="M102" s="279">
        <v>9</v>
      </c>
      <c r="N102" s="279">
        <v>3.34</v>
      </c>
      <c r="O102" s="518">
        <f t="shared" si="4"/>
        <v>6.16</v>
      </c>
      <c r="P102" s="279">
        <v>7.22</v>
      </c>
    </row>
    <row r="103" spans="1:16" x14ac:dyDescent="0.25">
      <c r="A103" s="71"/>
      <c r="B103" s="72" t="s">
        <v>3</v>
      </c>
      <c r="C103" s="72" t="s">
        <v>32</v>
      </c>
      <c r="D103" s="9" t="s">
        <v>296</v>
      </c>
      <c r="E103" s="501">
        <v>2.4700000000000002</v>
      </c>
      <c r="F103" s="500">
        <v>9.1</v>
      </c>
      <c r="H103" s="279">
        <v>8.8469999999999995</v>
      </c>
      <c r="I103" s="568">
        <f t="shared" si="5"/>
        <v>9.7521365699999993</v>
      </c>
      <c r="J103" s="527">
        <v>42999</v>
      </c>
      <c r="K103" s="279">
        <v>235.8</v>
      </c>
      <c r="L103" s="279">
        <v>23.9</v>
      </c>
      <c r="M103" s="279">
        <v>8.3000000000000007</v>
      </c>
      <c r="N103" s="279">
        <v>3.53</v>
      </c>
      <c r="O103" s="518">
        <f t="shared" si="4"/>
        <v>10.192</v>
      </c>
      <c r="P103" s="279">
        <v>8.76</v>
      </c>
    </row>
    <row r="104" spans="1:16" x14ac:dyDescent="0.25">
      <c r="A104" s="71"/>
      <c r="B104" s="9" t="s">
        <v>3</v>
      </c>
      <c r="C104" s="9" t="s">
        <v>209</v>
      </c>
      <c r="D104" s="9" t="s">
        <v>297</v>
      </c>
      <c r="E104" s="501">
        <v>2.4300000000000002</v>
      </c>
      <c r="F104" s="500">
        <v>12.9</v>
      </c>
      <c r="H104" s="279">
        <v>10.4</v>
      </c>
      <c r="I104" s="568">
        <f t="shared" si="5"/>
        <v>11.464024</v>
      </c>
      <c r="J104" s="527">
        <v>43008</v>
      </c>
      <c r="K104" s="279">
        <v>158.6</v>
      </c>
      <c r="L104" s="279">
        <v>24.2</v>
      </c>
      <c r="M104" s="279">
        <v>7.9</v>
      </c>
      <c r="N104" s="279">
        <v>3.28</v>
      </c>
      <c r="O104" s="518">
        <f t="shared" si="4"/>
        <v>14.448</v>
      </c>
      <c r="P104" s="279">
        <v>10.3</v>
      </c>
    </row>
    <row r="105" spans="1:16" x14ac:dyDescent="0.25">
      <c r="A105" s="71"/>
      <c r="B105" s="9" t="s">
        <v>3</v>
      </c>
      <c r="C105" s="9" t="s">
        <v>68</v>
      </c>
      <c r="D105" s="9" t="s">
        <v>298</v>
      </c>
      <c r="E105" s="501">
        <v>0.56999999999999995</v>
      </c>
      <c r="F105" s="500">
        <v>1.7</v>
      </c>
      <c r="H105" s="279">
        <v>2.5670000000000002</v>
      </c>
      <c r="I105" s="568">
        <f t="shared" si="5"/>
        <v>2.8296297699999999</v>
      </c>
      <c r="J105" s="527">
        <v>43008</v>
      </c>
      <c r="K105" s="279">
        <v>202.1</v>
      </c>
      <c r="L105" s="279">
        <v>24.6</v>
      </c>
      <c r="M105" s="279">
        <v>8.6999999999999993</v>
      </c>
      <c r="N105" s="279">
        <v>3.41</v>
      </c>
      <c r="O105" s="518">
        <f t="shared" si="4"/>
        <v>1.9039999999999999</v>
      </c>
    </row>
    <row r="106" spans="1:16" x14ac:dyDescent="0.25">
      <c r="A106" s="71"/>
      <c r="B106" s="9" t="s">
        <v>3</v>
      </c>
      <c r="C106" s="72" t="s">
        <v>69</v>
      </c>
      <c r="D106" s="9" t="s">
        <v>299</v>
      </c>
      <c r="E106" s="501">
        <v>0.9</v>
      </c>
      <c r="F106" s="500">
        <v>4</v>
      </c>
      <c r="H106" s="279">
        <v>3.5329999999999999</v>
      </c>
      <c r="I106" s="568">
        <f t="shared" si="5"/>
        <v>3.8944612299999997</v>
      </c>
      <c r="J106" s="527">
        <v>42992</v>
      </c>
      <c r="K106" s="279">
        <v>145.24</v>
      </c>
      <c r="L106" s="279">
        <v>22.7</v>
      </c>
      <c r="M106" s="279">
        <v>8.3000000000000007</v>
      </c>
      <c r="N106" s="279">
        <v>3.42</v>
      </c>
      <c r="O106" s="518">
        <f t="shared" si="4"/>
        <v>4.4800000000000004</v>
      </c>
      <c r="P106" s="279">
        <v>3.42</v>
      </c>
    </row>
    <row r="107" spans="1:16" x14ac:dyDescent="0.25">
      <c r="A107" s="71"/>
      <c r="B107" s="9" t="s">
        <v>3</v>
      </c>
      <c r="C107" s="9" t="s">
        <v>70</v>
      </c>
      <c r="D107" s="9" t="s">
        <v>300</v>
      </c>
      <c r="E107" s="501">
        <v>2.68</v>
      </c>
      <c r="F107" s="500">
        <v>11.6</v>
      </c>
      <c r="H107" s="279">
        <v>11.69</v>
      </c>
      <c r="I107" s="568">
        <f t="shared" si="5"/>
        <v>12.886003899999999</v>
      </c>
      <c r="J107" s="527">
        <v>42997</v>
      </c>
      <c r="K107" s="279">
        <v>180</v>
      </c>
      <c r="L107" s="279">
        <v>24</v>
      </c>
      <c r="M107" s="279">
        <v>8.5</v>
      </c>
      <c r="N107" s="279">
        <v>3.36</v>
      </c>
      <c r="O107" s="518">
        <f t="shared" si="4"/>
        <v>12.992000000000001</v>
      </c>
      <c r="P107" s="279">
        <v>8.94</v>
      </c>
    </row>
    <row r="108" spans="1:16" x14ac:dyDescent="0.25">
      <c r="A108" s="1"/>
      <c r="B108" s="9" t="s">
        <v>3</v>
      </c>
      <c r="C108" s="9" t="s">
        <v>210</v>
      </c>
      <c r="D108" s="9" t="s">
        <v>326</v>
      </c>
      <c r="E108" s="501">
        <v>3.41</v>
      </c>
      <c r="F108" s="500">
        <v>13.5</v>
      </c>
      <c r="H108" s="279">
        <v>3.1120000000000001</v>
      </c>
      <c r="I108" s="568">
        <f t="shared" si="5"/>
        <v>3.4303887199999998</v>
      </c>
      <c r="J108" s="527">
        <v>42997</v>
      </c>
      <c r="K108" s="279">
        <v>89</v>
      </c>
      <c r="L108" s="279">
        <v>23.2</v>
      </c>
      <c r="M108" s="279">
        <v>6.6</v>
      </c>
      <c r="N108" s="279">
        <v>3.36</v>
      </c>
      <c r="O108" s="518">
        <f t="shared" si="4"/>
        <v>15.12</v>
      </c>
      <c r="P108" s="279">
        <v>14.15</v>
      </c>
    </row>
    <row r="109" spans="1:16" s="70" customFormat="1" x14ac:dyDescent="0.25">
      <c r="A109" s="1"/>
      <c r="B109" s="9"/>
      <c r="C109" s="9"/>
      <c r="D109" s="9" t="s">
        <v>328</v>
      </c>
      <c r="E109" s="501"/>
      <c r="F109" s="500"/>
      <c r="H109" s="279">
        <v>4.0190000000000001</v>
      </c>
      <c r="I109" s="568">
        <f t="shared" si="5"/>
        <v>4.4301838899999995</v>
      </c>
      <c r="J109" s="527">
        <v>42997</v>
      </c>
      <c r="K109" s="279">
        <v>111.6</v>
      </c>
      <c r="L109" s="279">
        <v>23.8</v>
      </c>
      <c r="M109" s="279">
        <v>8.1</v>
      </c>
      <c r="N109" s="279">
        <v>3.42</v>
      </c>
      <c r="O109" s="518"/>
      <c r="P109" s="279"/>
    </row>
    <row r="110" spans="1:16" s="70" customFormat="1" x14ac:dyDescent="0.25">
      <c r="A110" s="1"/>
      <c r="B110" s="9"/>
      <c r="C110" s="9"/>
      <c r="D110" s="9" t="s">
        <v>327</v>
      </c>
      <c r="E110" s="501"/>
      <c r="F110" s="500"/>
      <c r="H110" s="279">
        <v>4.97</v>
      </c>
      <c r="I110" s="568">
        <f t="shared" si="5"/>
        <v>5.4784806999999995</v>
      </c>
      <c r="J110" s="527">
        <v>42996</v>
      </c>
      <c r="K110" s="279">
        <v>110</v>
      </c>
      <c r="L110" s="279">
        <v>24.5</v>
      </c>
      <c r="M110" s="279">
        <v>8.3000000000000007</v>
      </c>
      <c r="N110" s="279">
        <v>3.52</v>
      </c>
      <c r="O110" s="518"/>
      <c r="P110" s="279"/>
    </row>
    <row r="111" spans="1:16" x14ac:dyDescent="0.25">
      <c r="A111" s="71"/>
      <c r="B111" s="9" t="s">
        <v>3</v>
      </c>
      <c r="C111" s="9" t="s">
        <v>74</v>
      </c>
      <c r="D111" s="9" t="s">
        <v>301</v>
      </c>
      <c r="E111" s="501">
        <v>1.72</v>
      </c>
      <c r="F111" s="500">
        <v>9.8000000000000007</v>
      </c>
      <c r="H111" s="279">
        <v>7.1520000000000001</v>
      </c>
      <c r="I111" s="568">
        <f t="shared" si="5"/>
        <v>7.8837211199999997</v>
      </c>
      <c r="J111" s="527">
        <v>43018</v>
      </c>
      <c r="K111" s="279">
        <v>267.89999999999998</v>
      </c>
      <c r="L111" s="279">
        <v>25.7</v>
      </c>
      <c r="M111" s="279">
        <v>9.4</v>
      </c>
      <c r="N111" s="279">
        <v>3.4</v>
      </c>
      <c r="O111" s="518">
        <f t="shared" si="4"/>
        <v>10.976000000000001</v>
      </c>
      <c r="P111" s="279">
        <v>6.34</v>
      </c>
    </row>
    <row r="112" spans="1:16" x14ac:dyDescent="0.25">
      <c r="A112" s="1"/>
      <c r="B112" s="9" t="s">
        <v>3</v>
      </c>
      <c r="C112" s="9" t="s">
        <v>75</v>
      </c>
      <c r="D112" s="9" t="s">
        <v>302</v>
      </c>
      <c r="E112" s="501">
        <v>1.57</v>
      </c>
      <c r="F112" s="500">
        <v>5</v>
      </c>
      <c r="H112" s="279">
        <v>4.548</v>
      </c>
      <c r="I112" s="568">
        <f t="shared" si="5"/>
        <v>5.0133058799999999</v>
      </c>
      <c r="J112" s="527">
        <v>42997</v>
      </c>
      <c r="K112" s="279">
        <v>285.3</v>
      </c>
      <c r="L112" s="279">
        <v>23.9</v>
      </c>
      <c r="M112" s="279">
        <v>8.9</v>
      </c>
      <c r="N112" s="279">
        <v>3.5</v>
      </c>
      <c r="O112" s="518">
        <f t="shared" si="4"/>
        <v>5.6</v>
      </c>
      <c r="P112" s="279">
        <v>4.95</v>
      </c>
    </row>
    <row r="113" spans="1:16" x14ac:dyDescent="0.25">
      <c r="A113" s="71"/>
      <c r="B113" s="9" t="s">
        <v>3</v>
      </c>
      <c r="C113" s="9" t="s">
        <v>211</v>
      </c>
      <c r="D113" s="9" t="s">
        <v>335</v>
      </c>
      <c r="E113" s="501">
        <v>2.5099999999999998</v>
      </c>
      <c r="F113" s="500">
        <v>10.5</v>
      </c>
      <c r="H113" s="279">
        <v>5.92</v>
      </c>
      <c r="I113" s="568">
        <f t="shared" si="5"/>
        <v>6.5256751999999993</v>
      </c>
      <c r="J113" s="527">
        <v>43008</v>
      </c>
      <c r="K113" s="279">
        <v>166</v>
      </c>
      <c r="L113" s="279">
        <v>24.2</v>
      </c>
      <c r="M113" s="279">
        <v>7.8</v>
      </c>
      <c r="N113" s="279">
        <v>3.35</v>
      </c>
      <c r="O113" s="518">
        <f t="shared" si="4"/>
        <v>11.76</v>
      </c>
      <c r="P113" s="279">
        <v>10.71</v>
      </c>
    </row>
    <row r="114" spans="1:16" s="70" customFormat="1" x14ac:dyDescent="0.25">
      <c r="A114" s="71"/>
      <c r="B114" s="9"/>
      <c r="C114" s="9"/>
      <c r="D114" s="9" t="s">
        <v>334</v>
      </c>
      <c r="E114" s="501"/>
      <c r="F114" s="500"/>
      <c r="H114" s="279">
        <v>6.2869999999999999</v>
      </c>
      <c r="I114" s="568">
        <f t="shared" si="5"/>
        <v>6.9302229699999991</v>
      </c>
      <c r="J114" s="527">
        <v>43018</v>
      </c>
      <c r="K114" s="279">
        <v>167.5</v>
      </c>
      <c r="L114" s="279">
        <v>24.8</v>
      </c>
      <c r="M114" s="279">
        <v>8.1999999999999993</v>
      </c>
      <c r="N114" s="279">
        <v>3.35</v>
      </c>
      <c r="O114" s="518"/>
      <c r="P114" s="279"/>
    </row>
    <row r="115" spans="1:16" x14ac:dyDescent="0.25">
      <c r="A115" s="71"/>
      <c r="B115" s="9" t="s">
        <v>86</v>
      </c>
      <c r="C115" s="9" t="s">
        <v>213</v>
      </c>
      <c r="D115" s="9" t="s">
        <v>303</v>
      </c>
      <c r="E115" s="501">
        <v>2.71</v>
      </c>
      <c r="F115" s="500">
        <v>7.2</v>
      </c>
      <c r="H115" s="279">
        <v>7.04</v>
      </c>
      <c r="I115" s="568">
        <f t="shared" si="5"/>
        <v>7.7602623999999993</v>
      </c>
      <c r="J115" s="527">
        <v>43018</v>
      </c>
      <c r="K115" s="279">
        <v>324.60000000000002</v>
      </c>
      <c r="L115" s="279">
        <v>24.2</v>
      </c>
      <c r="M115" s="279">
        <v>10.5</v>
      </c>
      <c r="N115" s="279">
        <v>3.38</v>
      </c>
      <c r="O115" s="518">
        <f t="shared" si="4"/>
        <v>8.0640000000000001</v>
      </c>
      <c r="P115" s="279">
        <v>8.01</v>
      </c>
    </row>
    <row r="116" spans="1:16" x14ac:dyDescent="0.25">
      <c r="A116" s="1"/>
      <c r="B116" s="9" t="s">
        <v>86</v>
      </c>
      <c r="C116" s="9" t="s">
        <v>214</v>
      </c>
      <c r="D116" s="9" t="s">
        <v>332</v>
      </c>
      <c r="E116" s="501">
        <v>1.04</v>
      </c>
      <c r="F116" s="500">
        <v>3.2</v>
      </c>
      <c r="H116" s="279">
        <v>3.996</v>
      </c>
      <c r="I116" s="568">
        <f t="shared" si="5"/>
        <v>4.4048307599999994</v>
      </c>
      <c r="J116" s="527">
        <v>42992</v>
      </c>
      <c r="K116" s="279">
        <v>174.37</v>
      </c>
      <c r="L116" s="279">
        <v>22.3</v>
      </c>
      <c r="M116" s="279">
        <v>7.9</v>
      </c>
      <c r="N116" s="279">
        <v>3.41</v>
      </c>
      <c r="O116" s="518">
        <f t="shared" si="4"/>
        <v>3.5840000000000001</v>
      </c>
      <c r="P116" s="279">
        <v>4.43</v>
      </c>
    </row>
    <row r="117" spans="1:16" x14ac:dyDescent="0.25">
      <c r="A117" s="71"/>
      <c r="B117" s="9" t="s">
        <v>86</v>
      </c>
      <c r="C117" s="9" t="s">
        <v>221</v>
      </c>
      <c r="D117" s="9" t="s">
        <v>304</v>
      </c>
      <c r="E117" s="501">
        <v>1.31</v>
      </c>
      <c r="F117" s="500">
        <v>5.3</v>
      </c>
      <c r="H117" s="279">
        <v>5.4210000000000003</v>
      </c>
      <c r="I117" s="568">
        <f t="shared" si="5"/>
        <v>5.97562251</v>
      </c>
      <c r="J117" s="527">
        <v>43004</v>
      </c>
      <c r="K117" s="279">
        <v>271</v>
      </c>
      <c r="L117" s="279">
        <v>23.9</v>
      </c>
      <c r="M117" s="279">
        <v>8.1</v>
      </c>
      <c r="N117" s="279">
        <v>3.41</v>
      </c>
      <c r="O117" s="518">
        <f t="shared" si="4"/>
        <v>5.9359999999999999</v>
      </c>
      <c r="P117" s="279">
        <v>13.57</v>
      </c>
    </row>
    <row r="118" spans="1:16" x14ac:dyDescent="0.25">
      <c r="A118" s="71"/>
      <c r="B118" s="9" t="s">
        <v>86</v>
      </c>
      <c r="C118" s="9" t="s">
        <v>222</v>
      </c>
      <c r="D118" s="9" t="s">
        <v>325</v>
      </c>
      <c r="E118" s="501">
        <v>1.7</v>
      </c>
      <c r="F118" s="500">
        <v>5.5</v>
      </c>
      <c r="H118" s="279">
        <v>3.0609999999999999</v>
      </c>
      <c r="I118" s="568">
        <f t="shared" si="5"/>
        <v>3.3741709099999997</v>
      </c>
      <c r="J118" s="527">
        <v>42996</v>
      </c>
      <c r="K118" s="279">
        <v>220</v>
      </c>
      <c r="L118" s="279">
        <v>24</v>
      </c>
      <c r="M118" s="279">
        <v>8</v>
      </c>
      <c r="N118" s="279">
        <v>3.55</v>
      </c>
      <c r="O118" s="518">
        <f t="shared" si="4"/>
        <v>6.16</v>
      </c>
    </row>
    <row r="119" spans="1:16" s="70" customFormat="1" x14ac:dyDescent="0.25">
      <c r="A119" s="71"/>
      <c r="B119" s="9"/>
      <c r="C119" s="9"/>
      <c r="D119" s="9" t="s">
        <v>324</v>
      </c>
      <c r="E119" s="501"/>
      <c r="F119" s="500"/>
      <c r="H119" s="279">
        <v>1.9410000000000001</v>
      </c>
      <c r="I119" s="568">
        <f t="shared" si="5"/>
        <v>2.1395837099999997</v>
      </c>
      <c r="J119" s="527">
        <v>43004</v>
      </c>
      <c r="K119" s="279">
        <v>294</v>
      </c>
      <c r="L119" s="279">
        <v>24.7</v>
      </c>
      <c r="M119" s="279">
        <v>8.1</v>
      </c>
      <c r="N119" s="279">
        <v>3.42</v>
      </c>
      <c r="O119" s="518"/>
      <c r="P119" s="279"/>
    </row>
    <row r="120" spans="1:16" x14ac:dyDescent="0.25">
      <c r="A120" s="1"/>
      <c r="B120" s="9"/>
      <c r="C120" s="9" t="s">
        <v>195</v>
      </c>
      <c r="D120" s="9" t="s">
        <v>305</v>
      </c>
      <c r="E120" s="501">
        <v>5.5</v>
      </c>
      <c r="F120" s="500">
        <v>5.3</v>
      </c>
      <c r="G120" s="71" t="s">
        <v>331</v>
      </c>
      <c r="H120" s="6">
        <v>4.0819999999999999</v>
      </c>
      <c r="I120" s="568">
        <f t="shared" si="5"/>
        <v>4.4996294199999998</v>
      </c>
      <c r="J120" s="530">
        <v>42998</v>
      </c>
      <c r="K120" s="6">
        <v>121.52</v>
      </c>
      <c r="L120" s="6">
        <v>21.7</v>
      </c>
      <c r="M120" s="6">
        <v>6.2</v>
      </c>
      <c r="N120" s="6">
        <v>3.49</v>
      </c>
      <c r="O120" s="518">
        <f t="shared" si="4"/>
        <v>5.9359999999999999</v>
      </c>
      <c r="P120" s="279">
        <v>6.56</v>
      </c>
    </row>
    <row r="121" spans="1:16" x14ac:dyDescent="0.25">
      <c r="A121" s="1"/>
      <c r="B121" s="9"/>
      <c r="C121" s="9" t="s">
        <v>194</v>
      </c>
      <c r="D121" s="9" t="s">
        <v>306</v>
      </c>
      <c r="E121" s="501">
        <v>5.5</v>
      </c>
      <c r="F121" s="500">
        <v>13.5</v>
      </c>
      <c r="H121" s="279">
        <v>11.278</v>
      </c>
      <c r="I121" s="568">
        <f t="shared" si="5"/>
        <v>12.43185218</v>
      </c>
      <c r="J121" s="527">
        <v>42998</v>
      </c>
      <c r="K121" s="279">
        <v>157.30000000000001</v>
      </c>
      <c r="L121" s="279">
        <v>21.3</v>
      </c>
      <c r="M121" s="279">
        <v>8.8000000000000007</v>
      </c>
      <c r="N121" s="279">
        <v>3.24</v>
      </c>
      <c r="O121" s="518">
        <f t="shared" si="4"/>
        <v>15.12</v>
      </c>
      <c r="P121" s="279">
        <v>6.97</v>
      </c>
    </row>
    <row r="122" spans="1:16" x14ac:dyDescent="0.25">
      <c r="A122" s="71"/>
      <c r="B122" s="18" t="s">
        <v>7</v>
      </c>
      <c r="C122" s="18" t="s">
        <v>46</v>
      </c>
      <c r="D122" s="9" t="s">
        <v>307</v>
      </c>
      <c r="E122" s="501">
        <v>5.0999999999999996</v>
      </c>
      <c r="F122" s="500">
        <v>18</v>
      </c>
      <c r="H122" s="279">
        <v>26.939</v>
      </c>
      <c r="I122" s="568">
        <f t="shared" si="5"/>
        <v>29.695129089999998</v>
      </c>
      <c r="J122" s="527">
        <v>43014</v>
      </c>
      <c r="K122" s="279">
        <v>323.2</v>
      </c>
      <c r="L122" s="279">
        <v>24.2</v>
      </c>
      <c r="M122" s="279">
        <v>8.81</v>
      </c>
      <c r="N122" s="279">
        <v>3.52</v>
      </c>
      <c r="O122" s="518">
        <f t="shared" si="4"/>
        <v>20.16</v>
      </c>
      <c r="P122" s="279">
        <v>15.84</v>
      </c>
    </row>
    <row r="123" spans="1:16" x14ac:dyDescent="0.25">
      <c r="A123" s="71"/>
      <c r="B123" s="18" t="s">
        <v>7</v>
      </c>
      <c r="C123" s="18" t="s">
        <v>42</v>
      </c>
      <c r="D123" s="9" t="s">
        <v>308</v>
      </c>
      <c r="E123" s="501">
        <v>4</v>
      </c>
      <c r="F123" s="500">
        <v>13</v>
      </c>
      <c r="H123" s="279">
        <v>17.166</v>
      </c>
      <c r="I123" s="568">
        <f t="shared" si="5"/>
        <v>18.92225346</v>
      </c>
      <c r="J123" s="527">
        <v>43015</v>
      </c>
      <c r="K123" s="279">
        <v>346.7</v>
      </c>
      <c r="L123" s="279">
        <v>22.4</v>
      </c>
      <c r="M123" s="279">
        <v>7.1</v>
      </c>
      <c r="N123" s="279">
        <v>3.59</v>
      </c>
      <c r="O123" s="518">
        <f t="shared" si="4"/>
        <v>14.56</v>
      </c>
      <c r="P123" s="279">
        <v>10.07</v>
      </c>
    </row>
    <row r="124" spans="1:16" ht="15.75" thickBot="1" x14ac:dyDescent="0.3">
      <c r="A124" s="71"/>
      <c r="B124" s="18" t="s">
        <v>7</v>
      </c>
      <c r="C124" s="18" t="s">
        <v>47</v>
      </c>
      <c r="D124" s="9" t="s">
        <v>309</v>
      </c>
      <c r="E124" s="509">
        <v>4.5</v>
      </c>
      <c r="F124" s="500">
        <v>19.7</v>
      </c>
      <c r="H124" s="279">
        <v>24.36</v>
      </c>
      <c r="I124" s="568">
        <f t="shared" si="5"/>
        <v>26.852271599999998</v>
      </c>
      <c r="J124" s="527">
        <v>43015</v>
      </c>
      <c r="K124" s="279">
        <v>259.2</v>
      </c>
      <c r="L124" s="279">
        <v>24.1</v>
      </c>
      <c r="M124" s="279">
        <v>9.3000000000000007</v>
      </c>
      <c r="N124" s="279">
        <v>3.38</v>
      </c>
      <c r="O124" s="518">
        <f t="shared" si="4"/>
        <v>22.064</v>
      </c>
      <c r="P124" s="279">
        <v>20.6</v>
      </c>
    </row>
    <row r="125" spans="1:16" ht="15.75" thickTop="1" x14ac:dyDescent="0.25">
      <c r="A125" s="43"/>
      <c r="B125" s="8"/>
      <c r="C125" s="79" t="s">
        <v>118</v>
      </c>
      <c r="D125" s="9"/>
      <c r="E125" s="456">
        <f>SUM(E102:E124)</f>
        <v>51.41</v>
      </c>
      <c r="F125" s="490">
        <f>SUM(F102:F124)</f>
        <v>174.3</v>
      </c>
      <c r="G125" s="534">
        <f>SUM(H102:H124)</f>
        <v>185.40500000000003</v>
      </c>
      <c r="H125" s="490">
        <f>SUM(H102:H124)</f>
        <v>185.40500000000003</v>
      </c>
      <c r="I125" s="571">
        <f t="shared" si="5"/>
        <v>204.37378555000001</v>
      </c>
      <c r="J125" s="490"/>
      <c r="K125" s="490"/>
      <c r="L125" s="490"/>
      <c r="M125" s="490"/>
      <c r="N125" s="490"/>
      <c r="O125" s="519">
        <f t="shared" si="4"/>
        <v>195.21600000000001</v>
      </c>
      <c r="P125" s="490">
        <v>160.84</v>
      </c>
    </row>
    <row r="126" spans="1:16" x14ac:dyDescent="0.25">
      <c r="A126" s="3" t="s">
        <v>34</v>
      </c>
      <c r="B126" s="15"/>
      <c r="C126" s="3"/>
      <c r="D126" s="3"/>
      <c r="E126" s="37"/>
      <c r="I126" s="568"/>
      <c r="O126" s="518"/>
    </row>
    <row r="127" spans="1:16" x14ac:dyDescent="0.25">
      <c r="A127" s="71"/>
      <c r="B127" s="9" t="s">
        <v>3</v>
      </c>
      <c r="C127" s="9" t="s">
        <v>50</v>
      </c>
      <c r="D127" s="9" t="s">
        <v>310</v>
      </c>
      <c r="E127" s="501">
        <v>2.69</v>
      </c>
      <c r="F127" s="500">
        <v>7.1</v>
      </c>
      <c r="H127" s="279">
        <v>6.1829999999999998</v>
      </c>
      <c r="I127" s="568">
        <f t="shared" si="5"/>
        <v>6.8155827299999991</v>
      </c>
      <c r="J127" s="527">
        <v>43004</v>
      </c>
      <c r="K127" s="279">
        <v>156.1</v>
      </c>
      <c r="L127" s="279">
        <v>25.2</v>
      </c>
      <c r="M127" s="279">
        <v>9.6</v>
      </c>
      <c r="N127" s="279">
        <v>3.32</v>
      </c>
      <c r="O127" s="518">
        <f t="shared" si="4"/>
        <v>7.952</v>
      </c>
      <c r="P127" s="279">
        <v>9.57</v>
      </c>
    </row>
    <row r="128" spans="1:16" x14ac:dyDescent="0.25">
      <c r="A128" s="71"/>
      <c r="B128" s="9" t="s">
        <v>6</v>
      </c>
      <c r="C128" s="9" t="s">
        <v>38</v>
      </c>
      <c r="D128" s="9" t="s">
        <v>311</v>
      </c>
      <c r="E128" s="501">
        <v>0.8</v>
      </c>
      <c r="F128" s="500">
        <v>2.7</v>
      </c>
      <c r="H128" s="279">
        <v>0.80500000000000005</v>
      </c>
      <c r="I128" s="568">
        <f t="shared" si="5"/>
        <v>0.88735955</v>
      </c>
      <c r="J128" s="527">
        <v>43020</v>
      </c>
      <c r="O128" s="518">
        <f t="shared" si="4"/>
        <v>3.024</v>
      </c>
      <c r="P128" s="279">
        <v>3.49</v>
      </c>
    </row>
    <row r="129" spans="1:16" ht="15.75" thickBot="1" x14ac:dyDescent="0.3">
      <c r="A129" s="71"/>
      <c r="B129" s="18" t="s">
        <v>7</v>
      </c>
      <c r="C129" s="18" t="s">
        <v>205</v>
      </c>
      <c r="D129" s="9" t="s">
        <v>312</v>
      </c>
      <c r="E129" s="491">
        <v>1.5</v>
      </c>
      <c r="F129" s="500">
        <v>7.28</v>
      </c>
      <c r="H129" s="279">
        <v>8.5749999999999993</v>
      </c>
      <c r="I129" s="568">
        <f t="shared" si="5"/>
        <v>9.452308249999998</v>
      </c>
      <c r="J129" s="527">
        <v>43032</v>
      </c>
      <c r="K129" s="279">
        <v>85.2</v>
      </c>
      <c r="L129" s="279">
        <v>19.7</v>
      </c>
      <c r="M129" s="279">
        <v>9.1</v>
      </c>
      <c r="N129" s="279">
        <v>3.08</v>
      </c>
      <c r="O129" s="518">
        <f t="shared" si="4"/>
        <v>8.1536000000000008</v>
      </c>
    </row>
    <row r="130" spans="1:16" ht="15.75" thickTop="1" x14ac:dyDescent="0.25">
      <c r="A130" s="71"/>
      <c r="B130" s="69"/>
      <c r="C130" s="79" t="s">
        <v>9</v>
      </c>
      <c r="D130" s="9"/>
      <c r="E130" s="492">
        <f>SUM(E127:E129)</f>
        <v>4.99</v>
      </c>
      <c r="H130" s="542">
        <f>SUM(H127:H129)</f>
        <v>15.562999999999999</v>
      </c>
      <c r="I130" s="568">
        <f t="shared" si="5"/>
        <v>17.155250529999996</v>
      </c>
      <c r="O130" s="518"/>
    </row>
    <row r="131" spans="1:16" x14ac:dyDescent="0.25">
      <c r="A131" s="70"/>
      <c r="B131" s="70"/>
      <c r="C131" s="70"/>
      <c r="F131" s="490">
        <f>SUM(F127:F130)</f>
        <v>17.080000000000002</v>
      </c>
      <c r="G131" s="534">
        <f>SUM(H127:H129)</f>
        <v>15.562999999999999</v>
      </c>
      <c r="H131" s="490"/>
      <c r="I131" s="490"/>
      <c r="J131" s="490"/>
      <c r="K131" s="490"/>
      <c r="L131" s="490"/>
      <c r="M131" s="490"/>
      <c r="N131" s="490"/>
      <c r="O131" s="519">
        <f t="shared" si="4"/>
        <v>19.129600000000003</v>
      </c>
      <c r="P131" s="490">
        <v>22.66</v>
      </c>
    </row>
    <row r="132" spans="1:16" x14ac:dyDescent="0.25">
      <c r="A132" s="20"/>
      <c r="B132" s="15"/>
      <c r="C132" s="59"/>
      <c r="D132" s="59"/>
      <c r="E132" s="453"/>
      <c r="O132" s="518"/>
    </row>
    <row r="133" spans="1:16" x14ac:dyDescent="0.25">
      <c r="A133" s="22"/>
      <c r="B133" s="69"/>
      <c r="C133" s="223"/>
      <c r="D133" s="223"/>
      <c r="E133" s="454"/>
      <c r="O133" s="518"/>
    </row>
    <row r="134" spans="1:16" ht="15.75" thickBot="1" x14ac:dyDescent="0.3">
      <c r="A134" s="23"/>
      <c r="B134" s="469"/>
      <c r="C134" s="60" t="s">
        <v>97</v>
      </c>
      <c r="D134" s="60"/>
      <c r="E134" s="455">
        <f>SUM(E17,E23,E28,E38,E41,E47,E56,E65,E67,E71,E73,E75,E83,E89,E93,E100,E125,E130)</f>
        <v>296.81000000000006</v>
      </c>
      <c r="F134" s="515">
        <f>SUM(F17+F23+F28+F38+F41+F47+F56+F65+F67+F75+F83+F89+F93+F100+F125+F131+F71+F73)</f>
        <v>1087.7729999999999</v>
      </c>
      <c r="G134" s="516"/>
      <c r="H134" s="226">
        <f>SUM(H130,H125,H100,H93,H89,H83,H75,H73,H71,H67,H65,H56,H47,H41,H38,H28,H23,H17)</f>
        <v>1114.5729999999999</v>
      </c>
      <c r="I134" s="226">
        <f>SUM(I130,I125,I100,I93,I89,I83,I75,I73,I71,I67,I65,I56,I47,I41,I38,I28,I23,I17)</f>
        <v>1228.6049636299997</v>
      </c>
      <c r="J134" s="480"/>
      <c r="K134" s="480"/>
      <c r="L134" s="480"/>
      <c r="M134" s="480"/>
      <c r="N134" s="480"/>
      <c r="O134" s="520">
        <f>(F134*2204)/2000</f>
        <v>1198.7258459999998</v>
      </c>
      <c r="P134" s="480">
        <v>1380.8</v>
      </c>
    </row>
    <row r="135" spans="1:16" ht="15.75" thickTop="1" x14ac:dyDescent="0.25">
      <c r="A135" s="70"/>
      <c r="B135" s="70"/>
      <c r="C135" s="70"/>
    </row>
    <row r="136" spans="1:16" x14ac:dyDescent="0.25">
      <c r="A136" s="70"/>
      <c r="B136" s="70"/>
      <c r="C136" s="70"/>
    </row>
  </sheetData>
  <mergeCells count="1">
    <mergeCell ref="B2:C2"/>
  </mergeCells>
  <printOptions gridLines="1"/>
  <pageMargins left="0" right="0" top="0.25" bottom="0.25" header="0.3" footer="0.3"/>
  <pageSetup scale="7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9"/>
  <sheetViews>
    <sheetView workbookViewId="0">
      <selection activeCell="R25" sqref="R25"/>
    </sheetView>
  </sheetViews>
  <sheetFormatPr defaultRowHeight="15" x14ac:dyDescent="0.25"/>
  <cols>
    <col min="1" max="1" width="16.28515625" customWidth="1"/>
    <col min="2" max="2" width="16.5703125" bestFit="1" customWidth="1"/>
    <col min="3" max="3" width="27.7109375" bestFit="1" customWidth="1"/>
    <col min="4" max="4" width="46" bestFit="1" customWidth="1"/>
    <col min="6" max="6" width="20.42578125" customWidth="1"/>
    <col min="7" max="7" width="17.140625" bestFit="1" customWidth="1"/>
    <col min="8" max="8" width="16" hidden="1" customWidth="1"/>
    <col min="9" max="12" width="0" hidden="1" customWidth="1"/>
  </cols>
  <sheetData>
    <row r="1" spans="1:12" ht="19.5" thickBot="1" x14ac:dyDescent="0.35">
      <c r="A1" s="553" t="s">
        <v>0</v>
      </c>
      <c r="B1" s="765" t="s">
        <v>1</v>
      </c>
      <c r="C1" s="765"/>
      <c r="D1" s="545" t="s">
        <v>230</v>
      </c>
      <c r="E1" s="497" t="s">
        <v>82</v>
      </c>
      <c r="F1" s="545" t="s">
        <v>339</v>
      </c>
      <c r="G1" s="545" t="s">
        <v>338</v>
      </c>
      <c r="H1" s="545" t="s">
        <v>320</v>
      </c>
      <c r="I1" s="545" t="s">
        <v>165</v>
      </c>
      <c r="J1" s="545" t="s">
        <v>317</v>
      </c>
      <c r="K1" s="545" t="s">
        <v>318</v>
      </c>
      <c r="L1" s="497" t="s">
        <v>319</v>
      </c>
    </row>
    <row r="2" spans="1:12" x14ac:dyDescent="0.25">
      <c r="A2" s="554" t="s">
        <v>2</v>
      </c>
      <c r="B2" s="9"/>
      <c r="C2" s="9"/>
      <c r="D2" s="9"/>
      <c r="E2" s="62"/>
      <c r="F2" s="467"/>
      <c r="G2" s="467"/>
      <c r="H2" s="467"/>
      <c r="I2" s="467"/>
      <c r="J2" s="467"/>
      <c r="K2" s="467"/>
      <c r="L2" s="555"/>
    </row>
    <row r="3" spans="1:12" x14ac:dyDescent="0.25">
      <c r="A3" s="22"/>
      <c r="B3" s="35" t="s">
        <v>7</v>
      </c>
      <c r="C3" s="72" t="s">
        <v>110</v>
      </c>
      <c r="D3" s="9" t="s">
        <v>289</v>
      </c>
      <c r="E3" s="511">
        <v>2</v>
      </c>
      <c r="F3" s="467">
        <v>12.964</v>
      </c>
      <c r="G3" s="556">
        <f>F3*1.10231</f>
        <v>14.29034684</v>
      </c>
      <c r="H3" s="557">
        <v>43010</v>
      </c>
      <c r="I3" s="467">
        <v>185.6</v>
      </c>
      <c r="J3" s="467">
        <v>23.8</v>
      </c>
      <c r="K3" s="467">
        <v>9.1999999999999993</v>
      </c>
      <c r="L3" s="555">
        <v>3.35</v>
      </c>
    </row>
    <row r="4" spans="1:12" x14ac:dyDescent="0.25">
      <c r="A4" s="22"/>
      <c r="B4" s="35" t="s">
        <v>7</v>
      </c>
      <c r="C4" s="72" t="s">
        <v>111</v>
      </c>
      <c r="D4" s="9" t="s">
        <v>290</v>
      </c>
      <c r="E4" s="511">
        <v>1.5</v>
      </c>
      <c r="F4" s="467">
        <v>7.8579999999999997</v>
      </c>
      <c r="G4" s="556">
        <f>F4*1.10231</f>
        <v>8.6619519799999996</v>
      </c>
      <c r="H4" s="557">
        <v>43010</v>
      </c>
      <c r="I4" s="467">
        <v>229.3</v>
      </c>
      <c r="J4" s="467">
        <v>23.5</v>
      </c>
      <c r="K4" s="467">
        <v>3.51</v>
      </c>
      <c r="L4" s="555">
        <v>8.4</v>
      </c>
    </row>
    <row r="5" spans="1:12" ht="15.75" thickBot="1" x14ac:dyDescent="0.3">
      <c r="A5" s="22"/>
      <c r="B5" s="35" t="s">
        <v>7</v>
      </c>
      <c r="C5" s="130" t="s">
        <v>114</v>
      </c>
      <c r="D5" s="9" t="s">
        <v>314</v>
      </c>
      <c r="E5" s="536">
        <v>12</v>
      </c>
      <c r="F5" s="467">
        <v>43.735999999999997</v>
      </c>
      <c r="G5" s="556">
        <f>F5*1.10231</f>
        <v>48.210630159999994</v>
      </c>
      <c r="H5" s="557">
        <v>43009</v>
      </c>
      <c r="I5" s="467">
        <v>207</v>
      </c>
      <c r="J5" s="467">
        <v>21.5</v>
      </c>
      <c r="K5" s="467">
        <v>3.73</v>
      </c>
      <c r="L5" s="555">
        <v>6.2</v>
      </c>
    </row>
    <row r="6" spans="1:12" ht="15.75" thickTop="1" x14ac:dyDescent="0.25">
      <c r="A6" s="22"/>
      <c r="B6" s="8"/>
      <c r="C6" s="146" t="s">
        <v>118</v>
      </c>
      <c r="D6" s="9"/>
      <c r="E6" s="460">
        <f>SUM(E3:E5)</f>
        <v>15.5</v>
      </c>
      <c r="F6" s="460">
        <f>SUM(F3:F5)</f>
        <v>64.557999999999993</v>
      </c>
      <c r="G6" s="460">
        <f>SUM(G3:G5)</f>
        <v>71.16292897999999</v>
      </c>
      <c r="H6" s="522"/>
      <c r="I6" s="522"/>
      <c r="J6" s="522"/>
      <c r="K6" s="522"/>
      <c r="L6" s="558"/>
    </row>
    <row r="7" spans="1:12" x14ac:dyDescent="0.25">
      <c r="A7" s="559" t="s">
        <v>17</v>
      </c>
      <c r="B7" s="15"/>
      <c r="C7" s="3"/>
      <c r="D7" s="3"/>
      <c r="E7" s="37"/>
      <c r="F7" s="467"/>
      <c r="G7" s="467"/>
      <c r="H7" s="467"/>
      <c r="I7" s="467"/>
      <c r="J7" s="467"/>
      <c r="K7" s="467"/>
      <c r="L7" s="555"/>
    </row>
    <row r="8" spans="1:12" x14ac:dyDescent="0.25">
      <c r="A8" s="554"/>
      <c r="B8" s="18" t="s">
        <v>7</v>
      </c>
      <c r="C8" s="18" t="s">
        <v>41</v>
      </c>
      <c r="D8" s="9" t="s">
        <v>247</v>
      </c>
      <c r="E8" s="129">
        <v>2</v>
      </c>
      <c r="F8" s="467">
        <v>7.38</v>
      </c>
      <c r="G8" s="556">
        <f>F8*1.10231</f>
        <v>8.1350477999999988</v>
      </c>
      <c r="H8" s="557">
        <v>43014</v>
      </c>
      <c r="I8" s="467">
        <v>241.3</v>
      </c>
      <c r="J8" s="467">
        <v>20.9</v>
      </c>
      <c r="K8" s="467">
        <v>6.6</v>
      </c>
      <c r="L8" s="555">
        <v>3.48</v>
      </c>
    </row>
    <row r="9" spans="1:12" x14ac:dyDescent="0.25">
      <c r="A9" s="22"/>
      <c r="B9" s="18" t="s">
        <v>7</v>
      </c>
      <c r="C9" s="18" t="s">
        <v>42</v>
      </c>
      <c r="D9" s="9" t="s">
        <v>248</v>
      </c>
      <c r="E9" s="501">
        <v>2</v>
      </c>
      <c r="F9" s="467">
        <v>5.8739999999999997</v>
      </c>
      <c r="G9" s="556">
        <f>F9*1.10231</f>
        <v>6.4749689399999992</v>
      </c>
      <c r="H9" s="557">
        <v>43012</v>
      </c>
      <c r="I9" s="467">
        <v>281.23</v>
      </c>
      <c r="J9" s="467">
        <v>22.1</v>
      </c>
      <c r="K9" s="467">
        <v>3.8</v>
      </c>
      <c r="L9" s="555">
        <v>3.75</v>
      </c>
    </row>
    <row r="10" spans="1:12" x14ac:dyDescent="0.25">
      <c r="A10" s="22"/>
      <c r="B10" s="18" t="s">
        <v>7</v>
      </c>
      <c r="C10" s="18" t="s">
        <v>43</v>
      </c>
      <c r="D10" s="9" t="s">
        <v>249</v>
      </c>
      <c r="E10" s="501">
        <v>4</v>
      </c>
      <c r="F10" s="467">
        <v>22.763999999999999</v>
      </c>
      <c r="G10" s="556">
        <f>F10*1.10231</f>
        <v>25.092984839999996</v>
      </c>
      <c r="H10" s="557">
        <v>43024</v>
      </c>
      <c r="I10" s="467">
        <v>178.9</v>
      </c>
      <c r="J10" s="467">
        <v>23.9</v>
      </c>
      <c r="K10" s="467">
        <v>3.49</v>
      </c>
      <c r="L10" s="555">
        <v>7</v>
      </c>
    </row>
    <row r="11" spans="1:12" ht="15.75" thickBot="1" x14ac:dyDescent="0.3">
      <c r="A11" s="22"/>
      <c r="B11" s="18" t="s">
        <v>7</v>
      </c>
      <c r="C11" s="18" t="s">
        <v>91</v>
      </c>
      <c r="D11" s="9" t="s">
        <v>263</v>
      </c>
      <c r="E11" s="501">
        <v>4.25</v>
      </c>
      <c r="F11" s="467">
        <v>15.669</v>
      </c>
      <c r="G11" s="556">
        <v>17.78</v>
      </c>
      <c r="H11" s="557">
        <v>43013</v>
      </c>
      <c r="I11" s="467">
        <v>241.3</v>
      </c>
      <c r="J11" s="467">
        <v>22.1</v>
      </c>
      <c r="K11" s="467">
        <v>6.6</v>
      </c>
      <c r="L11" s="555">
        <v>3.48</v>
      </c>
    </row>
    <row r="12" spans="1:12" ht="15.75" thickTop="1" x14ac:dyDescent="0.25">
      <c r="A12" s="560"/>
      <c r="B12" s="25"/>
      <c r="C12" s="473" t="s">
        <v>9</v>
      </c>
      <c r="D12" s="123"/>
      <c r="E12" s="456">
        <f>SUM(E8:E11)</f>
        <v>12.25</v>
      </c>
      <c r="F12" s="490">
        <f>SUM(F8:F11)</f>
        <v>51.686999999999998</v>
      </c>
      <c r="G12" s="546">
        <f>F12*1.10231</f>
        <v>56.975096969999996</v>
      </c>
      <c r="H12" s="490"/>
      <c r="I12" s="490"/>
      <c r="J12" s="490"/>
      <c r="K12" s="490"/>
      <c r="L12" s="561"/>
    </row>
    <row r="13" spans="1:12" x14ac:dyDescent="0.25">
      <c r="A13" s="559" t="s">
        <v>21</v>
      </c>
      <c r="B13" s="15"/>
      <c r="C13" s="3"/>
      <c r="D13" s="3"/>
      <c r="E13" s="37"/>
      <c r="F13" s="467"/>
      <c r="G13" s="467"/>
      <c r="H13" s="467"/>
      <c r="I13" s="467"/>
      <c r="J13" s="467"/>
      <c r="K13" s="467"/>
      <c r="L13" s="555"/>
    </row>
    <row r="14" spans="1:12" ht="15.75" thickBot="1" x14ac:dyDescent="0.3">
      <c r="A14" s="22"/>
      <c r="B14" s="18" t="s">
        <v>7</v>
      </c>
      <c r="C14" s="18" t="s">
        <v>92</v>
      </c>
      <c r="D14" s="9" t="s">
        <v>255</v>
      </c>
      <c r="E14" s="129">
        <v>9.1</v>
      </c>
      <c r="F14" s="467">
        <v>25.035</v>
      </c>
      <c r="G14" s="556">
        <f>F14*1.10231</f>
        <v>27.596330849999998</v>
      </c>
      <c r="H14" s="557">
        <v>43026</v>
      </c>
      <c r="I14" s="467">
        <v>165.3</v>
      </c>
      <c r="J14" s="467">
        <v>22.1</v>
      </c>
      <c r="K14" s="467">
        <v>9.3000000000000007</v>
      </c>
      <c r="L14" s="555">
        <v>3.21</v>
      </c>
    </row>
    <row r="15" spans="1:12" ht="15.75" thickTop="1" x14ac:dyDescent="0.25">
      <c r="A15" s="22"/>
      <c r="B15" s="9"/>
      <c r="C15" s="79" t="s">
        <v>118</v>
      </c>
      <c r="D15" s="9"/>
      <c r="E15" s="456">
        <f>SUM(E14:E14)</f>
        <v>9.1</v>
      </c>
      <c r="F15" s="490">
        <f>SUM(F14:F14)</f>
        <v>25.035</v>
      </c>
      <c r="G15" s="546">
        <f>F15*1.10132</f>
        <v>27.571546200000004</v>
      </c>
      <c r="H15" s="490"/>
      <c r="I15" s="490"/>
      <c r="J15" s="490"/>
      <c r="K15" s="490"/>
      <c r="L15" s="561"/>
    </row>
    <row r="16" spans="1:12" x14ac:dyDescent="0.25">
      <c r="A16" s="559" t="s">
        <v>23</v>
      </c>
      <c r="B16" s="15"/>
      <c r="C16" s="15"/>
      <c r="D16" s="15"/>
      <c r="E16" s="42"/>
      <c r="F16" s="467"/>
      <c r="G16" s="467"/>
      <c r="H16" s="467"/>
      <c r="I16" s="467"/>
      <c r="J16" s="467"/>
      <c r="K16" s="467"/>
      <c r="L16" s="555"/>
    </row>
    <row r="17" spans="1:12" x14ac:dyDescent="0.25">
      <c r="A17" s="22"/>
      <c r="B17" s="18" t="s">
        <v>7</v>
      </c>
      <c r="C17" s="18" t="s">
        <v>42</v>
      </c>
      <c r="D17" s="9" t="s">
        <v>259</v>
      </c>
      <c r="E17" s="501">
        <v>6</v>
      </c>
      <c r="F17" s="467">
        <v>27.283999999999999</v>
      </c>
      <c r="G17" s="556">
        <f t="shared" ref="G17:G22" si="0">F17*1.10231</f>
        <v>30.075426039999996</v>
      </c>
      <c r="H17" s="557">
        <v>43013</v>
      </c>
      <c r="I17" s="467">
        <v>299</v>
      </c>
      <c r="J17" s="467">
        <v>21.9</v>
      </c>
      <c r="K17" s="467">
        <v>6.7</v>
      </c>
      <c r="L17" s="555">
        <v>3.5</v>
      </c>
    </row>
    <row r="18" spans="1:12" x14ac:dyDescent="0.25">
      <c r="A18" s="22"/>
      <c r="B18" s="18" t="s">
        <v>7</v>
      </c>
      <c r="C18" s="18" t="s">
        <v>46</v>
      </c>
      <c r="D18" s="9" t="s">
        <v>260</v>
      </c>
      <c r="E18" s="501">
        <v>3.8</v>
      </c>
      <c r="F18" s="467">
        <v>17.901</v>
      </c>
      <c r="G18" s="556">
        <f t="shared" si="0"/>
        <v>19.732451309999998</v>
      </c>
      <c r="H18" s="557">
        <v>43014</v>
      </c>
      <c r="I18" s="467">
        <v>316</v>
      </c>
      <c r="J18" s="467">
        <v>21.7</v>
      </c>
      <c r="K18" s="467">
        <v>6.15</v>
      </c>
      <c r="L18" s="555">
        <v>3.42</v>
      </c>
    </row>
    <row r="19" spans="1:12" x14ac:dyDescent="0.25">
      <c r="A19" s="22"/>
      <c r="B19" s="18" t="s">
        <v>7</v>
      </c>
      <c r="C19" s="18" t="s">
        <v>47</v>
      </c>
      <c r="D19" s="9" t="s">
        <v>261</v>
      </c>
      <c r="E19" s="501">
        <v>2.5</v>
      </c>
      <c r="F19" s="467">
        <v>8.718</v>
      </c>
      <c r="G19" s="556">
        <v>15.374000000000001</v>
      </c>
      <c r="H19" s="557">
        <v>43015</v>
      </c>
      <c r="I19" s="467">
        <v>241.3</v>
      </c>
      <c r="J19" s="467">
        <v>24.4</v>
      </c>
      <c r="K19" s="467">
        <v>3.33</v>
      </c>
      <c r="L19" s="555">
        <v>8.5</v>
      </c>
    </row>
    <row r="20" spans="1:12" x14ac:dyDescent="0.25">
      <c r="A20" s="22"/>
      <c r="B20" s="18" t="s">
        <v>7</v>
      </c>
      <c r="C20" s="18" t="s">
        <v>91</v>
      </c>
      <c r="D20" s="9" t="s">
        <v>262</v>
      </c>
      <c r="E20" s="501">
        <v>1.75</v>
      </c>
      <c r="F20" s="467">
        <v>6.4349999999999996</v>
      </c>
      <c r="G20" s="556">
        <f t="shared" si="0"/>
        <v>7.0933648499999986</v>
      </c>
      <c r="H20" s="557">
        <v>43014</v>
      </c>
      <c r="I20" s="467">
        <v>349</v>
      </c>
      <c r="J20" s="467">
        <v>24.9</v>
      </c>
      <c r="K20" s="467">
        <v>7.43</v>
      </c>
      <c r="L20" s="555">
        <v>3.6</v>
      </c>
    </row>
    <row r="21" spans="1:12" ht="15.75" thickBot="1" x14ac:dyDescent="0.3">
      <c r="A21" s="22"/>
      <c r="B21" s="18" t="s">
        <v>7</v>
      </c>
      <c r="C21" s="18" t="s">
        <v>79</v>
      </c>
      <c r="D21" s="9" t="s">
        <v>264</v>
      </c>
      <c r="E21" s="509">
        <v>5</v>
      </c>
      <c r="F21" s="467">
        <v>20.155999999999999</v>
      </c>
      <c r="G21" s="556">
        <f t="shared" si="0"/>
        <v>22.218160359999995</v>
      </c>
      <c r="H21" s="557">
        <v>43007</v>
      </c>
      <c r="I21" s="467">
        <v>249.84</v>
      </c>
      <c r="J21" s="467">
        <v>22.6</v>
      </c>
      <c r="K21" s="467">
        <v>8.4</v>
      </c>
      <c r="L21" s="555">
        <v>3.2</v>
      </c>
    </row>
    <row r="22" spans="1:12" ht="15.75" thickTop="1" x14ac:dyDescent="0.25">
      <c r="A22" s="22"/>
      <c r="B22" s="8"/>
      <c r="C22" s="212" t="s">
        <v>118</v>
      </c>
      <c r="D22" s="9"/>
      <c r="E22" s="548">
        <f>SUM(E17:E21)</f>
        <v>19.05</v>
      </c>
      <c r="F22" s="549">
        <f>SUM(F17:F21)</f>
        <v>80.494</v>
      </c>
      <c r="G22" s="550">
        <f t="shared" si="0"/>
        <v>88.729341139999988</v>
      </c>
      <c r="H22" s="549"/>
      <c r="I22" s="549"/>
      <c r="J22" s="549"/>
      <c r="K22" s="549"/>
      <c r="L22" s="562"/>
    </row>
    <row r="23" spans="1:12" x14ac:dyDescent="0.25">
      <c r="A23" s="20" t="s">
        <v>103</v>
      </c>
      <c r="B23" s="15"/>
      <c r="C23" s="81"/>
      <c r="D23" s="81"/>
      <c r="E23" s="493"/>
      <c r="F23" s="551"/>
      <c r="G23" s="551"/>
      <c r="H23" s="551"/>
      <c r="I23" s="551"/>
      <c r="J23" s="551"/>
      <c r="K23" s="551"/>
      <c r="L23" s="552"/>
    </row>
    <row r="24" spans="1:12" x14ac:dyDescent="0.25">
      <c r="A24" s="22"/>
      <c r="B24" s="8" t="s">
        <v>7</v>
      </c>
      <c r="C24" s="124" t="s">
        <v>340</v>
      </c>
      <c r="D24" s="9" t="s">
        <v>273</v>
      </c>
      <c r="E24" s="536">
        <v>1</v>
      </c>
      <c r="F24" s="467">
        <v>2.54</v>
      </c>
      <c r="G24" s="556">
        <f>F24*1.10231</f>
        <v>2.7998673999999997</v>
      </c>
      <c r="H24" s="557">
        <v>43021</v>
      </c>
      <c r="I24" s="467">
        <v>237.59</v>
      </c>
      <c r="J24" s="467">
        <v>24.1</v>
      </c>
      <c r="K24" s="467">
        <v>7.6</v>
      </c>
      <c r="L24" s="555">
        <v>3.26</v>
      </c>
    </row>
    <row r="25" spans="1:12" ht="15.75" thickBot="1" x14ac:dyDescent="0.3">
      <c r="A25" s="22"/>
      <c r="B25" s="8" t="s">
        <v>7</v>
      </c>
      <c r="C25" s="124" t="s">
        <v>205</v>
      </c>
      <c r="D25" s="9" t="s">
        <v>274</v>
      </c>
      <c r="E25" s="540">
        <v>1</v>
      </c>
      <c r="F25" s="467">
        <v>5.36</v>
      </c>
      <c r="G25" s="556">
        <f>F25*1.10231</f>
        <v>5.9083816000000002</v>
      </c>
      <c r="H25" s="557">
        <v>43031</v>
      </c>
      <c r="I25" s="467">
        <v>135.49</v>
      </c>
      <c r="J25" s="467">
        <v>22.3</v>
      </c>
      <c r="K25" s="467">
        <v>6.7</v>
      </c>
      <c r="L25" s="555">
        <v>3.32</v>
      </c>
    </row>
    <row r="26" spans="1:12" ht="15.75" thickTop="1" x14ac:dyDescent="0.25">
      <c r="A26" s="560"/>
      <c r="B26" s="309"/>
      <c r="C26" s="253" t="s">
        <v>9</v>
      </c>
      <c r="D26" s="123"/>
      <c r="E26" s="537">
        <f>SUM(E24:E25)</f>
        <v>2</v>
      </c>
      <c r="F26" s="490">
        <f>SUM(F24:F25)</f>
        <v>7.9</v>
      </c>
      <c r="G26" s="546">
        <f>F26*1.10231</f>
        <v>8.7082490000000004</v>
      </c>
      <c r="H26" s="490"/>
      <c r="I26" s="490"/>
      <c r="J26" s="490"/>
      <c r="K26" s="490"/>
      <c r="L26" s="561"/>
    </row>
    <row r="27" spans="1:12" x14ac:dyDescent="0.25">
      <c r="A27" s="22" t="s">
        <v>159</v>
      </c>
      <c r="B27" s="130"/>
      <c r="C27" s="130"/>
      <c r="D27" s="130"/>
      <c r="E27" s="495"/>
      <c r="F27" s="467"/>
      <c r="G27" s="467"/>
      <c r="H27" s="467"/>
      <c r="I27" s="467"/>
      <c r="J27" s="467"/>
      <c r="K27" s="467"/>
      <c r="L27" s="555"/>
    </row>
    <row r="28" spans="1:12" x14ac:dyDescent="0.25">
      <c r="A28" s="560"/>
      <c r="B28" s="309" t="s">
        <v>160</v>
      </c>
      <c r="C28" s="309" t="s">
        <v>205</v>
      </c>
      <c r="D28" s="123" t="s">
        <v>276</v>
      </c>
      <c r="E28" s="538">
        <v>2</v>
      </c>
      <c r="F28" s="490">
        <v>8.0359999999999996</v>
      </c>
      <c r="G28" s="547">
        <f>F28*1.10231</f>
        <v>8.8581631599999984</v>
      </c>
      <c r="H28" s="528">
        <v>43034</v>
      </c>
      <c r="I28" s="529">
        <v>127</v>
      </c>
      <c r="J28" s="529">
        <v>22.8</v>
      </c>
      <c r="K28" s="529">
        <v>8.1</v>
      </c>
      <c r="L28" s="563">
        <v>3.22</v>
      </c>
    </row>
    <row r="29" spans="1:12" x14ac:dyDescent="0.25">
      <c r="A29" s="22" t="s">
        <v>27</v>
      </c>
      <c r="B29" s="8"/>
      <c r="C29" s="1"/>
      <c r="D29" s="1"/>
      <c r="E29" s="87"/>
      <c r="F29" s="467"/>
      <c r="G29" s="467"/>
      <c r="H29" s="467"/>
      <c r="I29" s="467"/>
      <c r="J29" s="467"/>
      <c r="K29" s="467"/>
      <c r="L29" s="555"/>
    </row>
    <row r="30" spans="1:12" ht="15.75" thickBot="1" x14ac:dyDescent="0.3">
      <c r="A30" s="22"/>
      <c r="B30" s="124" t="s">
        <v>7</v>
      </c>
      <c r="C30" s="208" t="s">
        <v>341</v>
      </c>
      <c r="D30" s="9" t="s">
        <v>282</v>
      </c>
      <c r="E30" s="178">
        <v>1.74</v>
      </c>
      <c r="F30" s="467">
        <v>3.484</v>
      </c>
      <c r="G30" s="556">
        <f>F30*1.10231</f>
        <v>3.8404480399999996</v>
      </c>
      <c r="H30" s="557">
        <v>43020</v>
      </c>
      <c r="I30" s="467">
        <v>97.9</v>
      </c>
      <c r="J30" s="467">
        <v>24.8</v>
      </c>
      <c r="K30" s="467">
        <v>8.9</v>
      </c>
      <c r="L30" s="555">
        <v>3.4</v>
      </c>
    </row>
    <row r="31" spans="1:12" ht="15.75" thickTop="1" x14ac:dyDescent="0.25">
      <c r="A31" s="22"/>
      <c r="B31" s="8"/>
      <c r="C31" s="79" t="s">
        <v>118</v>
      </c>
      <c r="D31" s="9"/>
      <c r="E31" s="486">
        <f>SUM(E30:E30)</f>
        <v>1.74</v>
      </c>
      <c r="F31" s="490">
        <f>SUM(F30:F30)</f>
        <v>3.484</v>
      </c>
      <c r="G31" s="546">
        <f>F31*1.10132</f>
        <v>3.8369988800000003</v>
      </c>
      <c r="H31" s="490"/>
      <c r="I31" s="490"/>
      <c r="J31" s="490"/>
      <c r="K31" s="490"/>
      <c r="L31" s="561"/>
    </row>
    <row r="32" spans="1:12" x14ac:dyDescent="0.25">
      <c r="A32" s="559" t="s">
        <v>62</v>
      </c>
      <c r="B32" s="15"/>
      <c r="C32" s="3"/>
      <c r="D32" s="3"/>
      <c r="E32" s="37"/>
      <c r="F32" s="467"/>
      <c r="G32" s="467"/>
      <c r="H32" s="467"/>
      <c r="I32" s="467"/>
      <c r="J32" s="467"/>
      <c r="K32" s="467"/>
      <c r="L32" s="555"/>
    </row>
    <row r="33" spans="1:12" x14ac:dyDescent="0.25">
      <c r="A33" s="22"/>
      <c r="B33" s="18" t="s">
        <v>7</v>
      </c>
      <c r="C33" s="18" t="s">
        <v>46</v>
      </c>
      <c r="D33" s="9" t="s">
        <v>287</v>
      </c>
      <c r="E33" s="501">
        <v>11.2</v>
      </c>
      <c r="F33" s="467">
        <v>59.654000000000003</v>
      </c>
      <c r="G33" s="556">
        <f>F33*1.10231</f>
        <v>65.757200740000002</v>
      </c>
      <c r="H33" s="557">
        <v>43018</v>
      </c>
      <c r="I33" s="467">
        <v>284.60000000000002</v>
      </c>
      <c r="J33" s="467">
        <v>24.1</v>
      </c>
      <c r="K33" s="467">
        <v>9.5</v>
      </c>
      <c r="L33" s="555">
        <v>3.18</v>
      </c>
    </row>
    <row r="34" spans="1:12" ht="15.75" thickBot="1" x14ac:dyDescent="0.3">
      <c r="A34" s="22"/>
      <c r="B34" s="18" t="s">
        <v>7</v>
      </c>
      <c r="C34" s="72" t="s">
        <v>99</v>
      </c>
      <c r="D34" s="9" t="s">
        <v>288</v>
      </c>
      <c r="E34" s="509">
        <v>6.5</v>
      </c>
      <c r="F34" s="467">
        <v>19.102</v>
      </c>
      <c r="G34" s="556">
        <f>F34*1.10231</f>
        <v>21.056325619999999</v>
      </c>
      <c r="H34" s="557">
        <v>43025</v>
      </c>
      <c r="I34" s="467">
        <v>281</v>
      </c>
      <c r="J34" s="467">
        <v>23.8</v>
      </c>
      <c r="K34" s="467">
        <v>10.1</v>
      </c>
      <c r="L34" s="555">
        <v>3.28</v>
      </c>
    </row>
    <row r="35" spans="1:12" ht="15.75" thickTop="1" x14ac:dyDescent="0.25">
      <c r="A35" s="22"/>
      <c r="B35" s="8"/>
      <c r="C35" s="79" t="s">
        <v>118</v>
      </c>
      <c r="D35" s="9"/>
      <c r="E35" s="498">
        <f>SUM(E33:E34)</f>
        <v>17.7</v>
      </c>
      <c r="F35" s="490">
        <f>SUM(F33:F34)</f>
        <v>78.756</v>
      </c>
      <c r="G35" s="546">
        <f>F35*1.10132</f>
        <v>86.735557920000005</v>
      </c>
      <c r="H35" s="490"/>
      <c r="I35" s="490"/>
      <c r="J35" s="490"/>
      <c r="K35" s="490"/>
      <c r="L35" s="561"/>
    </row>
    <row r="36" spans="1:12" x14ac:dyDescent="0.25">
      <c r="A36" s="20" t="s">
        <v>30</v>
      </c>
      <c r="B36" s="15"/>
      <c r="C36" s="3"/>
      <c r="D36" s="3"/>
      <c r="E36" s="37"/>
      <c r="F36" s="467"/>
      <c r="G36" s="467"/>
      <c r="H36" s="467"/>
      <c r="I36" s="467"/>
      <c r="J36" s="467"/>
      <c r="K36" s="467"/>
      <c r="L36" s="555"/>
    </row>
    <row r="37" spans="1:12" ht="15.75" thickBot="1" x14ac:dyDescent="0.3">
      <c r="A37" s="554"/>
      <c r="B37" s="9" t="s">
        <v>7</v>
      </c>
      <c r="C37" s="208" t="s">
        <v>341</v>
      </c>
      <c r="D37" s="9" t="s">
        <v>294</v>
      </c>
      <c r="E37" s="567">
        <v>4.9800000000000004</v>
      </c>
      <c r="F37" s="467">
        <v>9.9540000000000006</v>
      </c>
      <c r="G37" s="556">
        <f>F37*1.10231</f>
        <v>10.972393739999999</v>
      </c>
      <c r="H37" s="557">
        <v>43008</v>
      </c>
      <c r="I37" s="467">
        <v>96.8</v>
      </c>
      <c r="J37" s="467">
        <v>25.5</v>
      </c>
      <c r="K37" s="467">
        <v>6.2</v>
      </c>
      <c r="L37" s="555">
        <v>3.68</v>
      </c>
    </row>
    <row r="38" spans="1:12" ht="15.75" thickTop="1" x14ac:dyDescent="0.25">
      <c r="A38" s="22"/>
      <c r="B38" s="8"/>
      <c r="C38" s="79" t="s">
        <v>118</v>
      </c>
      <c r="D38" s="9"/>
      <c r="E38" s="486">
        <f>SUM(E37:E37)</f>
        <v>4.9800000000000004</v>
      </c>
      <c r="F38" s="490">
        <f>SUM(F37:F37)</f>
        <v>9.9540000000000006</v>
      </c>
      <c r="G38" s="546">
        <f>F38*1.10132</f>
        <v>10.962539280000001</v>
      </c>
      <c r="H38" s="490"/>
      <c r="I38" s="490"/>
      <c r="J38" s="490"/>
      <c r="K38" s="490"/>
      <c r="L38" s="561"/>
    </row>
    <row r="39" spans="1:12" x14ac:dyDescent="0.25">
      <c r="A39" s="559" t="s">
        <v>33</v>
      </c>
      <c r="B39" s="15"/>
      <c r="C39" s="15"/>
      <c r="D39" s="15"/>
      <c r="E39" s="42"/>
      <c r="F39" s="467"/>
      <c r="G39" s="467"/>
      <c r="H39" s="467"/>
      <c r="I39" s="467"/>
      <c r="J39" s="467"/>
      <c r="K39" s="467"/>
      <c r="L39" s="555"/>
    </row>
    <row r="40" spans="1:12" x14ac:dyDescent="0.25">
      <c r="A40" s="22"/>
      <c r="B40" s="18" t="s">
        <v>7</v>
      </c>
      <c r="C40" s="18" t="s">
        <v>46</v>
      </c>
      <c r="D40" s="9" t="s">
        <v>307</v>
      </c>
      <c r="E40" s="501">
        <v>5.0999999999999996</v>
      </c>
      <c r="F40" s="467">
        <v>26.939</v>
      </c>
      <c r="G40" s="556">
        <f>F40*1.10231</f>
        <v>29.695129089999998</v>
      </c>
      <c r="H40" s="557">
        <v>43014</v>
      </c>
      <c r="I40" s="467">
        <v>323.2</v>
      </c>
      <c r="J40" s="467">
        <v>24.2</v>
      </c>
      <c r="K40" s="467">
        <v>8.81</v>
      </c>
      <c r="L40" s="555">
        <v>3.52</v>
      </c>
    </row>
    <row r="41" spans="1:12" x14ac:dyDescent="0.25">
      <c r="A41" s="22"/>
      <c r="B41" s="18" t="s">
        <v>7</v>
      </c>
      <c r="C41" s="18" t="s">
        <v>42</v>
      </c>
      <c r="D41" s="9" t="s">
        <v>308</v>
      </c>
      <c r="E41" s="501">
        <v>4</v>
      </c>
      <c r="F41" s="467">
        <v>17.166</v>
      </c>
      <c r="G41" s="556">
        <f>F41*1.10231</f>
        <v>18.92225346</v>
      </c>
      <c r="H41" s="557">
        <v>43015</v>
      </c>
      <c r="I41" s="467">
        <v>346.7</v>
      </c>
      <c r="J41" s="467">
        <v>22.4</v>
      </c>
      <c r="K41" s="467">
        <v>7.1</v>
      </c>
      <c r="L41" s="555">
        <v>3.59</v>
      </c>
    </row>
    <row r="42" spans="1:12" ht="15.75" thickBot="1" x14ac:dyDescent="0.3">
      <c r="A42" s="22"/>
      <c r="B42" s="18" t="s">
        <v>7</v>
      </c>
      <c r="C42" s="18" t="s">
        <v>47</v>
      </c>
      <c r="D42" s="9" t="s">
        <v>309</v>
      </c>
      <c r="E42" s="509">
        <v>4.5</v>
      </c>
      <c r="F42" s="467">
        <v>24.36</v>
      </c>
      <c r="G42" s="556">
        <f>F42*1.10231</f>
        <v>26.852271599999998</v>
      </c>
      <c r="H42" s="557">
        <v>43015</v>
      </c>
      <c r="I42" s="467">
        <v>259.2</v>
      </c>
      <c r="J42" s="467">
        <v>24.1</v>
      </c>
      <c r="K42" s="467">
        <v>9.3000000000000007</v>
      </c>
      <c r="L42" s="555">
        <v>3.38</v>
      </c>
    </row>
    <row r="43" spans="1:12" ht="15.75" thickTop="1" x14ac:dyDescent="0.25">
      <c r="A43" s="22"/>
      <c r="B43" s="8"/>
      <c r="C43" s="79" t="s">
        <v>118</v>
      </c>
      <c r="D43" s="9"/>
      <c r="E43" s="456">
        <f>SUM(E40:E42)</f>
        <v>13.6</v>
      </c>
      <c r="F43" s="490">
        <f>SUM(F40:F42)</f>
        <v>68.465000000000003</v>
      </c>
      <c r="G43" s="546">
        <f>F43*1.10132</f>
        <v>75.401873800000004</v>
      </c>
      <c r="H43" s="490"/>
      <c r="I43" s="490"/>
      <c r="J43" s="490"/>
      <c r="K43" s="490"/>
      <c r="L43" s="561"/>
    </row>
    <row r="44" spans="1:12" x14ac:dyDescent="0.25">
      <c r="A44" s="559" t="s">
        <v>34</v>
      </c>
      <c r="B44" s="15"/>
      <c r="C44" s="3"/>
      <c r="D44" s="3"/>
      <c r="E44" s="37"/>
      <c r="F44" s="467"/>
      <c r="G44" s="467"/>
      <c r="H44" s="467"/>
      <c r="I44" s="467"/>
      <c r="J44" s="467"/>
      <c r="K44" s="467"/>
      <c r="L44" s="555"/>
    </row>
    <row r="45" spans="1:12" ht="15.75" thickBot="1" x14ac:dyDescent="0.3">
      <c r="A45" s="22"/>
      <c r="B45" s="18" t="s">
        <v>7</v>
      </c>
      <c r="C45" s="18" t="s">
        <v>205</v>
      </c>
      <c r="D45" s="9" t="s">
        <v>312</v>
      </c>
      <c r="E45" s="491">
        <v>1.5</v>
      </c>
      <c r="F45" s="467">
        <v>8.5749999999999993</v>
      </c>
      <c r="G45" s="556">
        <f>F45*1.10231</f>
        <v>9.452308249999998</v>
      </c>
      <c r="H45" s="557">
        <v>43032</v>
      </c>
      <c r="I45" s="467">
        <v>85.2</v>
      </c>
      <c r="J45" s="467">
        <v>19.7</v>
      </c>
      <c r="K45" s="467">
        <v>9.1</v>
      </c>
      <c r="L45" s="555">
        <v>3.08</v>
      </c>
    </row>
    <row r="46" spans="1:12" ht="15.75" thickTop="1" x14ac:dyDescent="0.25">
      <c r="A46" s="22"/>
      <c r="B46" s="8"/>
      <c r="C46" s="79" t="s">
        <v>9</v>
      </c>
      <c r="D46" s="9"/>
      <c r="E46" s="492">
        <f>SUM(E45:E45)</f>
        <v>1.5</v>
      </c>
      <c r="F46" s="544">
        <f>SUM(F45:F45)</f>
        <v>8.5749999999999993</v>
      </c>
      <c r="G46" s="564">
        <f>F46*1.10132</f>
        <v>9.4438189999999995</v>
      </c>
      <c r="H46" s="467"/>
      <c r="I46" s="467"/>
      <c r="J46" s="467"/>
      <c r="K46" s="467"/>
      <c r="L46" s="555"/>
    </row>
    <row r="47" spans="1:12" x14ac:dyDescent="0.25">
      <c r="A47" s="565"/>
      <c r="B47" s="255"/>
      <c r="C47" s="255"/>
      <c r="D47" s="255"/>
      <c r="E47" s="566"/>
      <c r="F47" s="490"/>
      <c r="G47" s="490"/>
      <c r="H47" s="490"/>
      <c r="I47" s="490"/>
      <c r="J47" s="490"/>
      <c r="K47" s="490"/>
      <c r="L47" s="561"/>
    </row>
    <row r="49" spans="4:7" x14ac:dyDescent="0.25">
      <c r="D49" t="s">
        <v>342</v>
      </c>
      <c r="G49" s="225">
        <f>SUM(G6,G12,G15,G22,G26,G28,G31,G35,G38,G43,G46)</f>
        <v>448.38611433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6"/>
  <sheetViews>
    <sheetView workbookViewId="0">
      <pane ySplit="2" topLeftCell="A3" activePane="bottomLeft" state="frozen"/>
      <selection pane="bottomLeft" activeCell="Q132" sqref="Q132"/>
    </sheetView>
  </sheetViews>
  <sheetFormatPr defaultRowHeight="15" x14ac:dyDescent="0.25"/>
  <cols>
    <col min="1" max="1" width="10" customWidth="1"/>
    <col min="2" max="2" width="16.5703125" bestFit="1" customWidth="1"/>
    <col min="3" max="3" width="27.7109375" bestFit="1" customWidth="1"/>
    <col min="4" max="4" width="16" customWidth="1"/>
    <col min="5" max="5" width="9.140625" customWidth="1"/>
    <col min="6" max="6" width="20.42578125" style="285" hidden="1" customWidth="1"/>
    <col min="7" max="7" width="17.140625" hidden="1" customWidth="1"/>
    <col min="8" max="8" width="16" hidden="1" customWidth="1"/>
    <col min="9" max="9" width="31" style="518" customWidth="1"/>
    <col min="10" max="10" width="25" customWidth="1"/>
    <col min="11" max="11" width="27.7109375" style="279" customWidth="1"/>
    <col min="12" max="12" width="10.5703125" style="279" customWidth="1"/>
    <col min="13" max="13" width="27.28515625" customWidth="1"/>
    <col min="14" max="14" width="2.42578125" customWidth="1"/>
    <col min="15" max="15" width="19.42578125" customWidth="1"/>
  </cols>
  <sheetData>
    <row r="1" spans="1:15" ht="19.5" thickBot="1" x14ac:dyDescent="0.35">
      <c r="A1" s="688"/>
      <c r="B1" s="689"/>
      <c r="C1" s="689"/>
      <c r="D1" s="689"/>
      <c r="E1" s="690"/>
      <c r="F1" s="623">
        <v>2017</v>
      </c>
      <c r="G1" s="624"/>
      <c r="H1" s="625"/>
      <c r="I1" s="623">
        <v>2018</v>
      </c>
      <c r="J1" s="654"/>
      <c r="K1" s="655">
        <v>2018</v>
      </c>
      <c r="L1" s="625"/>
      <c r="M1" s="655">
        <v>2018</v>
      </c>
      <c r="O1" s="692" t="s">
        <v>356</v>
      </c>
    </row>
    <row r="2" spans="1:15" ht="18.75" x14ac:dyDescent="0.3">
      <c r="A2" s="593" t="s">
        <v>0</v>
      </c>
      <c r="B2" s="766" t="s">
        <v>1</v>
      </c>
      <c r="C2" s="766"/>
      <c r="D2" s="681" t="s">
        <v>230</v>
      </c>
      <c r="E2" s="681" t="s">
        <v>82</v>
      </c>
      <c r="F2" s="626" t="s">
        <v>339</v>
      </c>
      <c r="G2" s="681" t="s">
        <v>338</v>
      </c>
      <c r="H2" s="627" t="s">
        <v>320</v>
      </c>
      <c r="I2" s="626" t="s">
        <v>227</v>
      </c>
      <c r="J2" s="667" t="s">
        <v>343</v>
      </c>
      <c r="K2" s="594" t="s">
        <v>352</v>
      </c>
      <c r="L2" s="668" t="s">
        <v>353</v>
      </c>
      <c r="M2" s="594" t="s">
        <v>355</v>
      </c>
    </row>
    <row r="3" spans="1:15" x14ac:dyDescent="0.25">
      <c r="A3" s="669" t="s">
        <v>2</v>
      </c>
      <c r="B3" s="4"/>
      <c r="C3" s="4"/>
      <c r="D3" s="4"/>
      <c r="E3" s="601"/>
      <c r="F3" s="588"/>
      <c r="G3" s="551"/>
      <c r="H3" s="628"/>
      <c r="I3" s="656"/>
      <c r="J3" s="471"/>
      <c r="K3" s="467"/>
      <c r="L3" s="640"/>
    </row>
    <row r="4" spans="1:15" x14ac:dyDescent="0.25">
      <c r="A4" s="670"/>
      <c r="B4" s="9" t="s">
        <v>358</v>
      </c>
      <c r="C4" s="9" t="s">
        <v>10</v>
      </c>
      <c r="D4" s="9" t="s">
        <v>231</v>
      </c>
      <c r="E4" s="602">
        <v>1.82</v>
      </c>
      <c r="F4" s="584">
        <v>1.9790000000000001</v>
      </c>
      <c r="G4" s="575">
        <f t="shared" ref="G4:G14" si="0">F4*1.10231</f>
        <v>2.1814714899999998</v>
      </c>
      <c r="H4" s="629">
        <v>42996</v>
      </c>
      <c r="I4" s="657">
        <v>2.8</v>
      </c>
      <c r="J4" s="471"/>
      <c r="K4" s="703">
        <v>2.8540000000000001</v>
      </c>
      <c r="L4" s="665">
        <f t="shared" ref="L4:L58" si="1">K4/I4</f>
        <v>1.0192857142857144</v>
      </c>
      <c r="M4" s="280">
        <f>K4*1.10231</f>
        <v>3.1459927399999996</v>
      </c>
    </row>
    <row r="5" spans="1:15" x14ac:dyDescent="0.25">
      <c r="A5" s="670"/>
      <c r="B5" s="9" t="s">
        <v>358</v>
      </c>
      <c r="C5" s="9" t="s">
        <v>207</v>
      </c>
      <c r="D5" s="9" t="s">
        <v>232</v>
      </c>
      <c r="E5" s="603">
        <v>2.12</v>
      </c>
      <c r="F5" s="584">
        <v>10.138</v>
      </c>
      <c r="G5" s="575">
        <f t="shared" si="0"/>
        <v>11.175218779999998</v>
      </c>
      <c r="H5" s="629">
        <v>43005</v>
      </c>
      <c r="I5" s="657">
        <v>11</v>
      </c>
      <c r="J5" s="471"/>
      <c r="K5" s="703">
        <f>5.638+3.55</f>
        <v>9.1879999999999988</v>
      </c>
      <c r="L5" s="665">
        <f t="shared" si="1"/>
        <v>0.83527272727272717</v>
      </c>
      <c r="M5" s="709">
        <f t="shared" ref="M5:M68" si="2">K5*1.10231</f>
        <v>10.128024279999998</v>
      </c>
      <c r="O5" s="693">
        <f>SUM(M4:M5)</f>
        <v>13.274017019999999</v>
      </c>
    </row>
    <row r="6" spans="1:15" x14ac:dyDescent="0.25">
      <c r="A6" s="671"/>
      <c r="B6" s="9" t="s">
        <v>3</v>
      </c>
      <c r="C6" s="9" t="s">
        <v>14</v>
      </c>
      <c r="D6" s="9" t="s">
        <v>233</v>
      </c>
      <c r="E6" s="603">
        <v>2.57</v>
      </c>
      <c r="F6" s="584">
        <v>10.42</v>
      </c>
      <c r="G6" s="575">
        <f t="shared" si="0"/>
        <v>11.486070199999999</v>
      </c>
      <c r="H6" s="629">
        <v>42996</v>
      </c>
      <c r="I6" s="657">
        <v>11</v>
      </c>
      <c r="J6" s="471"/>
      <c r="K6" s="703">
        <v>14.666</v>
      </c>
      <c r="L6" s="665">
        <f t="shared" si="1"/>
        <v>1.3332727272727274</v>
      </c>
      <c r="M6" s="709">
        <f t="shared" si="2"/>
        <v>16.16647846</v>
      </c>
    </row>
    <row r="7" spans="1:15" x14ac:dyDescent="0.25">
      <c r="A7" s="671"/>
      <c r="B7" s="9" t="s">
        <v>3</v>
      </c>
      <c r="C7" s="9" t="s">
        <v>16</v>
      </c>
      <c r="D7" s="9" t="s">
        <v>234</v>
      </c>
      <c r="E7" s="603">
        <v>2.35</v>
      </c>
      <c r="F7" s="584">
        <v>10.532999999999999</v>
      </c>
      <c r="G7" s="575">
        <f t="shared" si="0"/>
        <v>11.610631229999999</v>
      </c>
      <c r="H7" s="629">
        <v>42996</v>
      </c>
      <c r="I7" s="677">
        <v>11</v>
      </c>
      <c r="J7" s="471"/>
      <c r="K7" s="704">
        <v>11.055400000000001</v>
      </c>
      <c r="L7" s="678">
        <f t="shared" si="1"/>
        <v>1.0050363636363637</v>
      </c>
      <c r="M7" s="709">
        <f t="shared" si="2"/>
        <v>12.186477973999999</v>
      </c>
    </row>
    <row r="8" spans="1:15" x14ac:dyDescent="0.25">
      <c r="A8" s="671"/>
      <c r="B8" s="9" t="s">
        <v>3</v>
      </c>
      <c r="C8" s="72" t="s">
        <v>212</v>
      </c>
      <c r="D8" s="9" t="s">
        <v>321</v>
      </c>
      <c r="E8" s="603">
        <v>6.18</v>
      </c>
      <c r="F8" s="584">
        <v>11.238</v>
      </c>
      <c r="G8" s="575">
        <f t="shared" si="0"/>
        <v>12.387759779999998</v>
      </c>
      <c r="H8" s="629">
        <v>42997</v>
      </c>
      <c r="I8" s="679">
        <f>F8</f>
        <v>11.238</v>
      </c>
      <c r="J8" s="471"/>
      <c r="K8" s="705">
        <f>5.416+1.882</f>
        <v>7.298</v>
      </c>
      <c r="L8" s="665"/>
      <c r="M8" s="710">
        <f t="shared" si="2"/>
        <v>8.0446583799999996</v>
      </c>
    </row>
    <row r="9" spans="1:15" x14ac:dyDescent="0.25">
      <c r="A9" s="671"/>
      <c r="B9" s="9"/>
      <c r="C9" s="72"/>
      <c r="D9" s="9" t="s">
        <v>322</v>
      </c>
      <c r="E9" s="603"/>
      <c r="F9" s="584">
        <v>12.927</v>
      </c>
      <c r="G9" s="575">
        <f t="shared" si="0"/>
        <v>14.249561369999999</v>
      </c>
      <c r="H9" s="629">
        <v>42999</v>
      </c>
      <c r="I9" s="679">
        <f>F9</f>
        <v>12.927</v>
      </c>
      <c r="J9" s="471"/>
      <c r="K9" s="705">
        <f>5.611+4.523</f>
        <v>10.134</v>
      </c>
      <c r="L9" s="665"/>
      <c r="M9" s="710">
        <f t="shared" si="2"/>
        <v>11.170809539999999</v>
      </c>
    </row>
    <row r="10" spans="1:15" x14ac:dyDescent="0.25">
      <c r="A10" s="671"/>
      <c r="B10" s="9"/>
      <c r="C10" s="72" t="s">
        <v>354</v>
      </c>
      <c r="D10" s="9" t="s">
        <v>323</v>
      </c>
      <c r="E10" s="603"/>
      <c r="F10" s="584">
        <v>10.638999999999999</v>
      </c>
      <c r="G10" s="575">
        <f t="shared" si="0"/>
        <v>11.727476089999998</v>
      </c>
      <c r="H10" s="629">
        <v>43005</v>
      </c>
      <c r="I10" s="680">
        <f>F10</f>
        <v>10.638999999999999</v>
      </c>
      <c r="J10" s="471"/>
      <c r="K10" s="706">
        <f>6.3+5.923+5.283+3.1863</f>
        <v>20.692299999999999</v>
      </c>
      <c r="L10" s="678"/>
      <c r="M10" s="710">
        <f t="shared" si="2"/>
        <v>22.809329212999998</v>
      </c>
    </row>
    <row r="11" spans="1:15" s="70" customFormat="1" x14ac:dyDescent="0.25">
      <c r="A11" s="671"/>
      <c r="B11" s="9"/>
      <c r="C11" s="72"/>
      <c r="D11" s="9"/>
      <c r="E11" s="603"/>
      <c r="F11" s="584"/>
      <c r="G11" s="575"/>
      <c r="H11" s="629"/>
      <c r="I11" s="657">
        <f>SUM(I8:I10)</f>
        <v>34.804000000000002</v>
      </c>
      <c r="J11" s="471"/>
      <c r="K11" s="703">
        <f>SUM(K8:K10)</f>
        <v>38.124300000000005</v>
      </c>
      <c r="L11" s="665">
        <f t="shared" si="1"/>
        <v>1.0953999540282726</v>
      </c>
      <c r="M11" s="709">
        <f t="shared" si="2"/>
        <v>42.024797133</v>
      </c>
      <c r="O11" s="693">
        <f>SUM(M6:M7,M11)</f>
        <v>70.377753566999999</v>
      </c>
    </row>
    <row r="12" spans="1:15" x14ac:dyDescent="0.25">
      <c r="A12" s="671"/>
      <c r="B12" s="35" t="s">
        <v>84</v>
      </c>
      <c r="C12" s="9" t="s">
        <v>85</v>
      </c>
      <c r="D12" s="9" t="s">
        <v>313</v>
      </c>
      <c r="E12" s="603">
        <v>1.2</v>
      </c>
      <c r="F12" s="584">
        <v>6.1680000000000001</v>
      </c>
      <c r="G12" s="575">
        <f t="shared" si="0"/>
        <v>6.7990480799999995</v>
      </c>
      <c r="H12" s="629">
        <v>43014</v>
      </c>
      <c r="I12" s="657">
        <v>8.4</v>
      </c>
      <c r="J12" s="471"/>
      <c r="K12" s="703">
        <f>1.207+2.513</f>
        <v>3.7199999999999998</v>
      </c>
      <c r="L12" s="665">
        <f t="shared" si="1"/>
        <v>0.44285714285714278</v>
      </c>
      <c r="M12" s="709">
        <f t="shared" si="2"/>
        <v>4.1005931999999996</v>
      </c>
    </row>
    <row r="13" spans="1:15" x14ac:dyDescent="0.25">
      <c r="A13" s="671"/>
      <c r="B13" s="35" t="s">
        <v>86</v>
      </c>
      <c r="C13" s="9" t="s">
        <v>218</v>
      </c>
      <c r="D13" s="9" t="s">
        <v>235</v>
      </c>
      <c r="E13" s="603">
        <v>1.1100000000000001</v>
      </c>
      <c r="F13" s="584">
        <v>4.1619999999999999</v>
      </c>
      <c r="G13" s="575">
        <f t="shared" si="0"/>
        <v>4.5878142199999994</v>
      </c>
      <c r="H13" s="629">
        <v>43015</v>
      </c>
      <c r="I13" s="657">
        <v>4.8</v>
      </c>
      <c r="J13" s="471"/>
      <c r="K13" s="703">
        <v>4.37</v>
      </c>
      <c r="L13" s="665">
        <f t="shared" si="1"/>
        <v>0.91041666666666676</v>
      </c>
      <c r="M13" s="709">
        <f t="shared" si="2"/>
        <v>4.8170946999999993</v>
      </c>
    </row>
    <row r="14" spans="1:15" x14ac:dyDescent="0.25">
      <c r="A14" s="671"/>
      <c r="B14" s="35" t="s">
        <v>201</v>
      </c>
      <c r="C14" s="9" t="s">
        <v>190</v>
      </c>
      <c r="D14" s="9" t="s">
        <v>236</v>
      </c>
      <c r="E14" s="603">
        <v>10</v>
      </c>
      <c r="F14" s="630">
        <v>15.672000000000001</v>
      </c>
      <c r="G14" s="575">
        <f t="shared" si="0"/>
        <v>17.275402319999998</v>
      </c>
      <c r="H14" s="631">
        <v>43007</v>
      </c>
      <c r="I14" s="657">
        <v>22.5</v>
      </c>
      <c r="J14" s="471"/>
      <c r="K14" s="703">
        <f>1.019+3.281+8.981+7.879</f>
        <v>21.159999999999997</v>
      </c>
      <c r="L14" s="665">
        <f t="shared" si="1"/>
        <v>0.94044444444444431</v>
      </c>
      <c r="M14" s="709">
        <f t="shared" si="2"/>
        <v>23.324879599999996</v>
      </c>
    </row>
    <row r="15" spans="1:15" s="70" customFormat="1" x14ac:dyDescent="0.25">
      <c r="A15" s="671"/>
      <c r="B15" s="35" t="s">
        <v>347</v>
      </c>
      <c r="C15" s="9" t="s">
        <v>348</v>
      </c>
      <c r="D15" s="9"/>
      <c r="E15" s="603">
        <v>3.3</v>
      </c>
      <c r="F15" s="630"/>
      <c r="G15" s="575"/>
      <c r="H15" s="631"/>
      <c r="I15" s="658">
        <v>2.5</v>
      </c>
      <c r="J15" s="471"/>
      <c r="K15" s="703">
        <v>1.9119999999999999</v>
      </c>
      <c r="L15" s="665">
        <f t="shared" si="1"/>
        <v>0.76479999999999992</v>
      </c>
      <c r="M15" s="709">
        <f t="shared" si="2"/>
        <v>2.1076167199999998</v>
      </c>
    </row>
    <row r="16" spans="1:15" x14ac:dyDescent="0.25">
      <c r="A16" s="671"/>
      <c r="B16" s="35" t="s">
        <v>7</v>
      </c>
      <c r="C16" s="72" t="s">
        <v>110</v>
      </c>
      <c r="D16" s="9" t="s">
        <v>289</v>
      </c>
      <c r="E16" s="579">
        <v>2</v>
      </c>
      <c r="F16" s="584">
        <v>12.964</v>
      </c>
      <c r="G16" s="575">
        <f>F16*1.10231</f>
        <v>14.29034684</v>
      </c>
      <c r="H16" s="629">
        <v>43010</v>
      </c>
      <c r="I16" s="657">
        <v>13</v>
      </c>
      <c r="J16" s="471"/>
      <c r="K16" s="703">
        <v>12.25</v>
      </c>
      <c r="L16" s="665">
        <f t="shared" si="1"/>
        <v>0.94230769230769229</v>
      </c>
      <c r="M16" s="709">
        <f t="shared" si="2"/>
        <v>13.503297499999999</v>
      </c>
    </row>
    <row r="17" spans="1:15" x14ac:dyDescent="0.25">
      <c r="A17" s="671"/>
      <c r="B17" s="35" t="s">
        <v>7</v>
      </c>
      <c r="C17" s="72" t="s">
        <v>111</v>
      </c>
      <c r="D17" s="9" t="s">
        <v>290</v>
      </c>
      <c r="E17" s="579">
        <v>1.5</v>
      </c>
      <c r="F17" s="584">
        <v>7.8579999999999997</v>
      </c>
      <c r="G17" s="575">
        <f>F17*1.10231</f>
        <v>8.6619519799999996</v>
      </c>
      <c r="H17" s="629">
        <v>43010</v>
      </c>
      <c r="I17" s="657">
        <v>8</v>
      </c>
      <c r="J17" s="471"/>
      <c r="K17" s="703">
        <v>6.9889999999999999</v>
      </c>
      <c r="L17" s="665">
        <f t="shared" si="1"/>
        <v>0.87362499999999998</v>
      </c>
      <c r="M17" s="709">
        <f t="shared" si="2"/>
        <v>7.7040445899999987</v>
      </c>
    </row>
    <row r="18" spans="1:15" ht="15.75" thickBot="1" x14ac:dyDescent="0.3">
      <c r="A18" s="671"/>
      <c r="B18" s="35" t="s">
        <v>7</v>
      </c>
      <c r="C18" s="130" t="s">
        <v>114</v>
      </c>
      <c r="D18" s="9" t="s">
        <v>314</v>
      </c>
      <c r="E18" s="604">
        <v>12</v>
      </c>
      <c r="F18" s="585">
        <v>43.735999999999997</v>
      </c>
      <c r="G18" s="578">
        <f>F18*1.10231</f>
        <v>48.210630159999994</v>
      </c>
      <c r="H18" s="632">
        <v>43009</v>
      </c>
      <c r="I18" s="659">
        <v>0</v>
      </c>
      <c r="J18" s="471"/>
      <c r="K18" s="575"/>
      <c r="L18" s="665"/>
      <c r="M18" s="709"/>
    </row>
    <row r="19" spans="1:15" ht="15.75" thickTop="1" x14ac:dyDescent="0.25">
      <c r="A19" s="672"/>
      <c r="B19" s="25"/>
      <c r="C19" s="473" t="s">
        <v>118</v>
      </c>
      <c r="D19" s="123"/>
      <c r="E19" s="605">
        <f>SUM(E4:E18)</f>
        <v>46.15</v>
      </c>
      <c r="F19" s="633">
        <f t="shared" ref="F19:G19" si="3">SUM(F4:F18)</f>
        <v>158.434</v>
      </c>
      <c r="G19" s="592">
        <f t="shared" si="3"/>
        <v>174.64338253999998</v>
      </c>
      <c r="H19" s="634"/>
      <c r="I19" s="682">
        <f>SUM(I4:I10:I12:I18)</f>
        <v>164.608</v>
      </c>
      <c r="J19" s="546"/>
      <c r="K19" s="547">
        <f>SUM(K4:K10:K12:K18)</f>
        <v>164.41300000000001</v>
      </c>
      <c r="L19" s="691">
        <f>K19/I19</f>
        <v>0.99881536741835153</v>
      </c>
      <c r="M19" s="711">
        <f t="shared" si="2"/>
        <v>181.23409402999999</v>
      </c>
    </row>
    <row r="20" spans="1:15" x14ac:dyDescent="0.25">
      <c r="A20" s="669" t="s">
        <v>13</v>
      </c>
      <c r="B20" s="15"/>
      <c r="C20" s="15"/>
      <c r="D20" s="15"/>
      <c r="E20" s="3"/>
      <c r="F20" s="635"/>
      <c r="G20" s="595"/>
      <c r="H20" s="636"/>
      <c r="I20" s="683"/>
      <c r="J20" s="471"/>
      <c r="K20" s="575"/>
      <c r="L20" s="665"/>
      <c r="M20" s="709"/>
    </row>
    <row r="21" spans="1:15" x14ac:dyDescent="0.25">
      <c r="A21" s="671"/>
      <c r="B21" s="9" t="s">
        <v>3</v>
      </c>
      <c r="C21" s="9" t="s">
        <v>29</v>
      </c>
      <c r="D21" s="9" t="s">
        <v>237</v>
      </c>
      <c r="E21" s="606">
        <v>4.32</v>
      </c>
      <c r="F21" s="637">
        <v>28.526</v>
      </c>
      <c r="G21" s="574">
        <f>F21*1.10231</f>
        <v>31.444495059999998</v>
      </c>
      <c r="H21" s="638">
        <v>43012</v>
      </c>
      <c r="I21" s="657">
        <v>19</v>
      </c>
      <c r="J21" s="471"/>
      <c r="K21" s="703">
        <v>33.631</v>
      </c>
      <c r="L21" s="665">
        <f>K21/I21</f>
        <v>1.7700526315789473</v>
      </c>
      <c r="M21" s="709">
        <f t="shared" si="2"/>
        <v>37.071787609999994</v>
      </c>
    </row>
    <row r="22" spans="1:15" x14ac:dyDescent="0.25">
      <c r="A22" s="671"/>
      <c r="B22" s="9" t="s">
        <v>3</v>
      </c>
      <c r="C22" s="9" t="s">
        <v>31</v>
      </c>
      <c r="D22" s="9" t="s">
        <v>238</v>
      </c>
      <c r="E22" s="606">
        <v>1.92</v>
      </c>
      <c r="F22" s="584">
        <v>11.212</v>
      </c>
      <c r="G22" s="574">
        <f t="shared" ref="G22:G85" si="4">F22*1.10231</f>
        <v>12.359099719999998</v>
      </c>
      <c r="H22" s="629">
        <v>43012</v>
      </c>
      <c r="I22" s="657">
        <f>F22*0.9</f>
        <v>10.0908</v>
      </c>
      <c r="J22" s="471"/>
      <c r="K22" s="703">
        <v>10.741</v>
      </c>
      <c r="L22" s="665">
        <f>K22/I22</f>
        <v>1.0644349308280809</v>
      </c>
      <c r="M22" s="709">
        <f t="shared" si="2"/>
        <v>11.839911709999999</v>
      </c>
      <c r="O22" s="693">
        <f>SUM(M21:M22)</f>
        <v>48.911699319999997</v>
      </c>
    </row>
    <row r="23" spans="1:15" x14ac:dyDescent="0.25">
      <c r="A23" s="671"/>
      <c r="B23" s="9" t="s">
        <v>86</v>
      </c>
      <c r="C23" s="9" t="s">
        <v>224</v>
      </c>
      <c r="D23" s="9" t="s">
        <v>239</v>
      </c>
      <c r="E23" s="576">
        <v>3.29</v>
      </c>
      <c r="F23" s="584">
        <v>21.777999999999999</v>
      </c>
      <c r="G23" s="574">
        <f t="shared" si="4"/>
        <v>24.006107179999997</v>
      </c>
      <c r="H23" s="629">
        <v>43013</v>
      </c>
      <c r="I23" s="657">
        <v>23</v>
      </c>
      <c r="J23" s="471"/>
      <c r="K23" s="703">
        <v>29.629000000000001</v>
      </c>
      <c r="L23" s="665">
        <f>K23/I23</f>
        <v>1.288217391304348</v>
      </c>
      <c r="M23" s="709">
        <f t="shared" si="2"/>
        <v>32.660342989999997</v>
      </c>
    </row>
    <row r="24" spans="1:15" ht="15.75" thickBot="1" x14ac:dyDescent="0.3">
      <c r="A24" s="671"/>
      <c r="B24" s="9" t="s">
        <v>84</v>
      </c>
      <c r="C24" s="9" t="s">
        <v>88</v>
      </c>
      <c r="D24" s="9" t="s">
        <v>315</v>
      </c>
      <c r="E24" s="576">
        <v>7.5</v>
      </c>
      <c r="F24" s="584">
        <v>64.703000000000003</v>
      </c>
      <c r="G24" s="574">
        <f t="shared" si="4"/>
        <v>71.322763929999994</v>
      </c>
      <c r="H24" s="629">
        <v>43013</v>
      </c>
      <c r="I24" s="657">
        <v>48.5</v>
      </c>
      <c r="J24" s="471"/>
      <c r="K24" s="703">
        <v>53.234000000000002</v>
      </c>
      <c r="L24" s="665">
        <f>K24/I24</f>
        <v>1.0976082474226805</v>
      </c>
      <c r="M24" s="709">
        <f t="shared" si="2"/>
        <v>58.680370539999998</v>
      </c>
    </row>
    <row r="25" spans="1:15" ht="15.75" thickTop="1" x14ac:dyDescent="0.25">
      <c r="A25" s="672"/>
      <c r="B25" s="25"/>
      <c r="C25" s="591" t="s">
        <v>118</v>
      </c>
      <c r="D25" s="123"/>
      <c r="E25" s="607">
        <f>SUM(E21:E24)</f>
        <v>17.03</v>
      </c>
      <c r="F25" s="586">
        <f>SUM(F21:F24)</f>
        <v>126.21899999999999</v>
      </c>
      <c r="G25" s="598">
        <f t="shared" si="4"/>
        <v>139.13246588999999</v>
      </c>
      <c r="H25" s="639"/>
      <c r="I25" s="586">
        <f>SUM(I21:I24)</f>
        <v>100.5908</v>
      </c>
      <c r="J25" s="519">
        <f t="shared" ref="J25" si="5">SUM(J21:J24)</f>
        <v>0</v>
      </c>
      <c r="K25" s="547">
        <f>SUM(K21:K24)</f>
        <v>127.23500000000001</v>
      </c>
      <c r="L25" s="691">
        <f>K25/I25</f>
        <v>1.2648771060574129</v>
      </c>
      <c r="M25" s="711">
        <f t="shared" si="2"/>
        <v>140.25241285000001</v>
      </c>
    </row>
    <row r="26" spans="1:15" x14ac:dyDescent="0.25">
      <c r="A26" s="669" t="s">
        <v>15</v>
      </c>
      <c r="B26" s="15"/>
      <c r="C26" s="3"/>
      <c r="D26" s="3"/>
      <c r="E26" s="3"/>
      <c r="F26" s="588"/>
      <c r="G26" s="577"/>
      <c r="H26" s="628"/>
      <c r="I26" s="683"/>
      <c r="J26" s="471"/>
      <c r="K26" s="575"/>
      <c r="L26" s="665"/>
      <c r="M26" s="709"/>
    </row>
    <row r="27" spans="1:15" x14ac:dyDescent="0.25">
      <c r="A27" s="671"/>
      <c r="B27" s="9" t="s">
        <v>3</v>
      </c>
      <c r="C27" s="9" t="s">
        <v>36</v>
      </c>
      <c r="D27" s="9" t="s">
        <v>240</v>
      </c>
      <c r="E27" s="576">
        <v>4.04</v>
      </c>
      <c r="F27" s="584">
        <v>22.309000000000001</v>
      </c>
      <c r="G27" s="574">
        <f t="shared" si="4"/>
        <v>24.59143379</v>
      </c>
      <c r="H27" s="629">
        <v>43022</v>
      </c>
      <c r="I27" s="657">
        <v>18.100000000000001</v>
      </c>
      <c r="J27" s="471"/>
      <c r="K27" s="703">
        <v>17.55</v>
      </c>
      <c r="L27" s="665">
        <f t="shared" si="1"/>
        <v>0.9696132596685082</v>
      </c>
      <c r="M27" s="709">
        <f t="shared" si="2"/>
        <v>19.345540499999998</v>
      </c>
    </row>
    <row r="28" spans="1:15" x14ac:dyDescent="0.25">
      <c r="A28" s="671"/>
      <c r="B28" s="9" t="s">
        <v>86</v>
      </c>
      <c r="C28" s="9" t="s">
        <v>215</v>
      </c>
      <c r="D28" s="9" t="s">
        <v>241</v>
      </c>
      <c r="E28" s="576">
        <v>5.04</v>
      </c>
      <c r="F28" s="584">
        <v>25.841000000000001</v>
      </c>
      <c r="G28" s="574">
        <f t="shared" si="4"/>
        <v>28.484792709999997</v>
      </c>
      <c r="H28" s="629">
        <v>43024</v>
      </c>
      <c r="I28" s="657">
        <v>21.9</v>
      </c>
      <c r="J28" s="471"/>
      <c r="K28" s="703">
        <v>31.919</v>
      </c>
      <c r="L28" s="665">
        <f t="shared" si="1"/>
        <v>1.4574885844748859</v>
      </c>
      <c r="M28" s="709">
        <f t="shared" si="2"/>
        <v>35.184632889999996</v>
      </c>
    </row>
    <row r="29" spans="1:15" ht="15.75" thickBot="1" x14ac:dyDescent="0.3">
      <c r="A29" s="671"/>
      <c r="B29" s="9" t="s">
        <v>6</v>
      </c>
      <c r="C29" s="9" t="s">
        <v>38</v>
      </c>
      <c r="D29" s="9" t="s">
        <v>242</v>
      </c>
      <c r="E29" s="581">
        <v>2.5</v>
      </c>
      <c r="F29" s="585">
        <v>6.032</v>
      </c>
      <c r="G29" s="596">
        <f t="shared" si="4"/>
        <v>6.6491339199999997</v>
      </c>
      <c r="H29" s="632">
        <v>43020</v>
      </c>
      <c r="I29" s="657">
        <v>10</v>
      </c>
      <c r="J29" s="471"/>
      <c r="K29" s="703">
        <v>11.993</v>
      </c>
      <c r="L29" s="665">
        <f t="shared" si="1"/>
        <v>1.1993</v>
      </c>
      <c r="M29" s="709">
        <f t="shared" si="2"/>
        <v>13.22000383</v>
      </c>
    </row>
    <row r="30" spans="1:15" ht="15.75" thickTop="1" x14ac:dyDescent="0.25">
      <c r="A30" s="672"/>
      <c r="B30" s="25"/>
      <c r="C30" s="591" t="s">
        <v>118</v>
      </c>
      <c r="D30" s="123"/>
      <c r="E30" s="608">
        <f>SUM(E27:E29)</f>
        <v>11.58</v>
      </c>
      <c r="F30" s="586">
        <f>SUM(F27:F29)</f>
        <v>54.182000000000002</v>
      </c>
      <c r="G30" s="597">
        <f t="shared" si="4"/>
        <v>59.725360419999994</v>
      </c>
      <c r="H30" s="490"/>
      <c r="I30" s="684">
        <f>SUM(I27:I29)</f>
        <v>50</v>
      </c>
      <c r="J30" s="684"/>
      <c r="K30" s="547">
        <f>SUM(K27:K29)</f>
        <v>61.462000000000003</v>
      </c>
      <c r="L30" s="691">
        <f>K30/I30</f>
        <v>1.2292400000000001</v>
      </c>
      <c r="M30" s="711">
        <f t="shared" si="2"/>
        <v>67.750177219999998</v>
      </c>
    </row>
    <row r="31" spans="1:15" x14ac:dyDescent="0.25">
      <c r="A31" s="670" t="s">
        <v>17</v>
      </c>
      <c r="B31" s="8"/>
      <c r="C31" s="1"/>
      <c r="D31" s="1"/>
      <c r="E31" s="1"/>
      <c r="F31" s="584"/>
      <c r="G31" s="574"/>
      <c r="H31" s="640"/>
      <c r="I31" s="584"/>
      <c r="J31" s="471"/>
      <c r="K31" s="575"/>
      <c r="L31" s="665"/>
      <c r="M31" s="709"/>
    </row>
    <row r="32" spans="1:15" x14ac:dyDescent="0.25">
      <c r="A32" s="671"/>
      <c r="B32" s="9" t="s">
        <v>3</v>
      </c>
      <c r="C32" s="9" t="s">
        <v>39</v>
      </c>
      <c r="D32" s="9" t="s">
        <v>243</v>
      </c>
      <c r="E32" s="603">
        <v>1.89</v>
      </c>
      <c r="F32" s="584">
        <v>6.62</v>
      </c>
      <c r="G32" s="574">
        <f t="shared" si="4"/>
        <v>7.2972921999999993</v>
      </c>
      <c r="H32" s="629">
        <v>43004</v>
      </c>
      <c r="I32" s="660">
        <v>6.6</v>
      </c>
      <c r="J32" s="471"/>
      <c r="K32" s="703">
        <f>2.873+5.323</f>
        <v>8.1960000000000015</v>
      </c>
      <c r="L32" s="665">
        <f t="shared" si="1"/>
        <v>1.2418181818181822</v>
      </c>
      <c r="M32" s="709">
        <f t="shared" si="2"/>
        <v>9.0345327600000012</v>
      </c>
    </row>
    <row r="33" spans="1:13" x14ac:dyDescent="0.25">
      <c r="A33" s="671"/>
      <c r="B33" s="9" t="s">
        <v>86</v>
      </c>
      <c r="C33" s="9" t="s">
        <v>219</v>
      </c>
      <c r="D33" s="9" t="s">
        <v>244</v>
      </c>
      <c r="E33" s="603">
        <v>0.57999999999999996</v>
      </c>
      <c r="F33" s="584">
        <v>1.9770000000000001</v>
      </c>
      <c r="G33" s="574">
        <f t="shared" si="4"/>
        <v>2.1792668699999997</v>
      </c>
      <c r="H33" s="629">
        <v>43004</v>
      </c>
      <c r="I33" s="660">
        <v>2.2000000000000002</v>
      </c>
      <c r="J33" s="471"/>
      <c r="K33" s="703">
        <v>2.8820000000000001</v>
      </c>
      <c r="L33" s="665">
        <f t="shared" si="1"/>
        <v>1.31</v>
      </c>
      <c r="M33" s="709">
        <f t="shared" si="2"/>
        <v>3.1768574199999997</v>
      </c>
    </row>
    <row r="34" spans="1:13" x14ac:dyDescent="0.25">
      <c r="A34" s="671"/>
      <c r="B34" s="72" t="s">
        <v>4</v>
      </c>
      <c r="C34" s="9" t="s">
        <v>40</v>
      </c>
      <c r="D34" s="9" t="s">
        <v>245</v>
      </c>
      <c r="E34" s="603">
        <v>9.11</v>
      </c>
      <c r="F34" s="584">
        <v>18.782</v>
      </c>
      <c r="G34" s="574">
        <f t="shared" si="4"/>
        <v>20.703586419999997</v>
      </c>
      <c r="H34" s="629">
        <v>43010</v>
      </c>
      <c r="I34" s="660">
        <v>18</v>
      </c>
      <c r="J34" s="471"/>
      <c r="K34" s="703">
        <v>20.106999999999999</v>
      </c>
      <c r="L34" s="665">
        <f t="shared" si="1"/>
        <v>1.1170555555555555</v>
      </c>
      <c r="M34" s="709">
        <f t="shared" si="2"/>
        <v>22.164147169999996</v>
      </c>
    </row>
    <row r="35" spans="1:13" x14ac:dyDescent="0.25">
      <c r="A35" s="671"/>
      <c r="B35" s="9" t="s">
        <v>89</v>
      </c>
      <c r="C35" s="9" t="s">
        <v>90</v>
      </c>
      <c r="D35" s="9" t="s">
        <v>246</v>
      </c>
      <c r="E35" s="603">
        <v>7.34</v>
      </c>
      <c r="F35" s="584">
        <v>38.545000000000002</v>
      </c>
      <c r="G35" s="574">
        <f t="shared" si="4"/>
        <v>42.488538949999999</v>
      </c>
      <c r="H35" s="629">
        <v>43006</v>
      </c>
      <c r="I35" s="660">
        <v>30.6</v>
      </c>
      <c r="J35" s="471"/>
      <c r="K35" s="703">
        <f>29.291+11.863</f>
        <v>41.153999999999996</v>
      </c>
      <c r="L35" s="665">
        <f t="shared" si="1"/>
        <v>1.3449019607843136</v>
      </c>
      <c r="M35" s="709">
        <f t="shared" si="2"/>
        <v>45.364465739999993</v>
      </c>
    </row>
    <row r="36" spans="1:13" x14ac:dyDescent="0.25">
      <c r="A36" s="670"/>
      <c r="B36" s="18" t="s">
        <v>7</v>
      </c>
      <c r="C36" s="18" t="s">
        <v>41</v>
      </c>
      <c r="D36" s="9" t="s">
        <v>247</v>
      </c>
      <c r="E36" s="141">
        <v>2</v>
      </c>
      <c r="F36" s="584">
        <v>7.38</v>
      </c>
      <c r="G36" s="574">
        <f t="shared" si="4"/>
        <v>8.1350477999999988</v>
      </c>
      <c r="H36" s="629">
        <v>43014</v>
      </c>
      <c r="I36" s="661">
        <v>0</v>
      </c>
      <c r="J36" s="471"/>
      <c r="K36" s="695"/>
      <c r="L36" s="665"/>
      <c r="M36" s="709"/>
    </row>
    <row r="37" spans="1:13" x14ac:dyDescent="0.25">
      <c r="A37" s="671"/>
      <c r="B37" s="18" t="s">
        <v>7</v>
      </c>
      <c r="C37" s="18" t="s">
        <v>42</v>
      </c>
      <c r="D37" s="9" t="s">
        <v>248</v>
      </c>
      <c r="E37" s="576">
        <v>2</v>
      </c>
      <c r="F37" s="584">
        <v>5.8739999999999997</v>
      </c>
      <c r="G37" s="574">
        <f t="shared" si="4"/>
        <v>6.4749689399999992</v>
      </c>
      <c r="H37" s="629">
        <v>43012</v>
      </c>
      <c r="I37" s="660">
        <v>12</v>
      </c>
      <c r="J37" s="471"/>
      <c r="K37" s="703">
        <v>10.877000000000001</v>
      </c>
      <c r="L37" s="665">
        <f t="shared" si="1"/>
        <v>0.90641666666666676</v>
      </c>
      <c r="M37" s="709">
        <f t="shared" si="2"/>
        <v>11.989825869999999</v>
      </c>
    </row>
    <row r="38" spans="1:13" x14ac:dyDescent="0.25">
      <c r="A38" s="671"/>
      <c r="B38" s="18" t="s">
        <v>7</v>
      </c>
      <c r="C38" s="18" t="s">
        <v>43</v>
      </c>
      <c r="D38" s="9" t="s">
        <v>249</v>
      </c>
      <c r="E38" s="576">
        <v>4</v>
      </c>
      <c r="F38" s="584">
        <v>22.763999999999999</v>
      </c>
      <c r="G38" s="574">
        <f t="shared" si="4"/>
        <v>25.092984839999996</v>
      </c>
      <c r="H38" s="629">
        <v>43024</v>
      </c>
      <c r="I38" s="660">
        <f>F38*0.9</f>
        <v>20.4876</v>
      </c>
      <c r="J38" s="471"/>
      <c r="K38" s="703">
        <v>21.260999999999999</v>
      </c>
      <c r="L38" s="665">
        <f t="shared" si="1"/>
        <v>1.0377496632109178</v>
      </c>
      <c r="M38" s="709">
        <f t="shared" si="2"/>
        <v>23.436212909999998</v>
      </c>
    </row>
    <row r="39" spans="1:13" ht="15.75" thickBot="1" x14ac:dyDescent="0.3">
      <c r="A39" s="671"/>
      <c r="B39" s="18" t="s">
        <v>7</v>
      </c>
      <c r="C39" s="18" t="s">
        <v>91</v>
      </c>
      <c r="D39" s="9" t="s">
        <v>263</v>
      </c>
      <c r="E39" s="581">
        <v>4.25</v>
      </c>
      <c r="F39" s="585">
        <v>15.669</v>
      </c>
      <c r="G39" s="596">
        <f t="shared" si="4"/>
        <v>17.27209539</v>
      </c>
      <c r="H39" s="632">
        <v>43013</v>
      </c>
      <c r="I39" s="660">
        <v>21.1</v>
      </c>
      <c r="J39" s="471"/>
      <c r="K39" s="703">
        <v>16.582999999999998</v>
      </c>
      <c r="L39" s="665">
        <f t="shared" si="1"/>
        <v>0.78592417061611364</v>
      </c>
      <c r="M39" s="709">
        <f t="shared" si="2"/>
        <v>18.279606729999998</v>
      </c>
    </row>
    <row r="40" spans="1:13" ht="15.75" thickTop="1" x14ac:dyDescent="0.25">
      <c r="A40" s="671"/>
      <c r="B40" s="8"/>
      <c r="C40" s="146" t="s">
        <v>9</v>
      </c>
      <c r="D40" s="9"/>
      <c r="E40" s="609">
        <f>SUM(E32:E39)</f>
        <v>31.169999999999998</v>
      </c>
      <c r="F40" s="587">
        <f>SUM(F32:F39)</f>
        <v>117.61099999999999</v>
      </c>
      <c r="G40" s="599">
        <f t="shared" si="4"/>
        <v>129.64378140999997</v>
      </c>
      <c r="H40" s="549"/>
      <c r="I40" s="519">
        <f>SUM(I32:I39)</f>
        <v>110.98760000000001</v>
      </c>
      <c r="J40" s="519">
        <f t="shared" ref="J40" si="6">SUM(J32:J39)</f>
        <v>0</v>
      </c>
      <c r="K40" s="547">
        <f>SUM(K32:K39)</f>
        <v>121.05999999999999</v>
      </c>
      <c r="L40" s="691">
        <f>K40/I40</f>
        <v>1.0907524804572761</v>
      </c>
      <c r="M40" s="711">
        <f t="shared" si="2"/>
        <v>133.44564859999997</v>
      </c>
    </row>
    <row r="41" spans="1:13" x14ac:dyDescent="0.25">
      <c r="A41" s="669" t="s">
        <v>19</v>
      </c>
      <c r="B41" s="4" t="s">
        <v>3</v>
      </c>
      <c r="C41" s="4" t="s">
        <v>185</v>
      </c>
      <c r="D41" s="4" t="s">
        <v>250</v>
      </c>
      <c r="E41" s="3"/>
      <c r="F41" s="588">
        <v>4.2409999999999997</v>
      </c>
      <c r="G41" s="577">
        <f t="shared" si="4"/>
        <v>4.6748967099999996</v>
      </c>
      <c r="H41" s="641">
        <v>43019</v>
      </c>
      <c r="I41" s="657">
        <v>5</v>
      </c>
      <c r="J41" s="471"/>
      <c r="K41" s="703">
        <v>3.004</v>
      </c>
      <c r="L41" s="665">
        <f>K41/I41</f>
        <v>0.6008</v>
      </c>
      <c r="M41" s="709">
        <f t="shared" si="2"/>
        <v>3.3113392399999997</v>
      </c>
    </row>
    <row r="42" spans="1:13" ht="15.75" thickBot="1" x14ac:dyDescent="0.3">
      <c r="A42" s="670"/>
      <c r="B42" s="9" t="s">
        <v>3</v>
      </c>
      <c r="C42" s="9" t="s">
        <v>186</v>
      </c>
      <c r="D42" s="9" t="s">
        <v>251</v>
      </c>
      <c r="E42" s="610">
        <v>4.43</v>
      </c>
      <c r="F42" s="585">
        <v>5.5880000000000001</v>
      </c>
      <c r="G42" s="596">
        <f t="shared" si="4"/>
        <v>6.1597082799999994</v>
      </c>
      <c r="H42" s="632">
        <v>43019</v>
      </c>
      <c r="I42" s="657">
        <v>7.7</v>
      </c>
      <c r="J42" s="471"/>
      <c r="K42" s="703">
        <f>4.113+6.267</f>
        <v>10.38</v>
      </c>
      <c r="L42" s="665">
        <f>K42/I42</f>
        <v>1.3480519480519482</v>
      </c>
      <c r="M42" s="709">
        <f t="shared" si="2"/>
        <v>11.4419778</v>
      </c>
    </row>
    <row r="43" spans="1:13" ht="15.75" thickTop="1" x14ac:dyDescent="0.25">
      <c r="A43" s="672"/>
      <c r="B43" s="123"/>
      <c r="C43" s="19" t="s">
        <v>9</v>
      </c>
      <c r="D43" s="123"/>
      <c r="E43" s="608">
        <f>SUM(E41:E42)</f>
        <v>4.43</v>
      </c>
      <c r="F43" s="586">
        <f>SUM(F41:F42)</f>
        <v>9.8290000000000006</v>
      </c>
      <c r="G43" s="598">
        <f t="shared" si="4"/>
        <v>10.834604989999999</v>
      </c>
      <c r="H43" s="490"/>
      <c r="I43" s="519">
        <f>SUM(I41:I42)</f>
        <v>12.7</v>
      </c>
      <c r="J43" s="519">
        <f t="shared" ref="J43" si="7">SUM(J41:J42)</f>
        <v>0</v>
      </c>
      <c r="K43" s="547">
        <f>SUM(K41:K42)</f>
        <v>13.384</v>
      </c>
      <c r="L43" s="691">
        <f>K43/I43</f>
        <v>1.0538582677165356</v>
      </c>
      <c r="M43" s="711">
        <f t="shared" si="2"/>
        <v>14.753317039999999</v>
      </c>
    </row>
    <row r="44" spans="1:13" x14ac:dyDescent="0.25">
      <c r="A44" s="669" t="s">
        <v>21</v>
      </c>
      <c r="B44" s="15"/>
      <c r="C44" s="3"/>
      <c r="D44" s="3"/>
      <c r="E44" s="3"/>
      <c r="F44" s="588"/>
      <c r="G44" s="577"/>
      <c r="H44" s="628"/>
      <c r="I44" s="683"/>
      <c r="J44" s="471"/>
      <c r="K44" s="575"/>
      <c r="L44" s="665"/>
      <c r="M44" s="709"/>
    </row>
    <row r="45" spans="1:13" x14ac:dyDescent="0.25">
      <c r="A45" s="671"/>
      <c r="B45" s="9" t="s">
        <v>3</v>
      </c>
      <c r="C45" s="9" t="s">
        <v>44</v>
      </c>
      <c r="D45" s="9" t="s">
        <v>252</v>
      </c>
      <c r="E45" s="576">
        <v>3.38</v>
      </c>
      <c r="F45" s="584">
        <v>15.499000000000001</v>
      </c>
      <c r="G45" s="574">
        <f t="shared" si="4"/>
        <v>17.08470269</v>
      </c>
      <c r="H45" s="629">
        <v>43005</v>
      </c>
      <c r="I45" s="657">
        <v>11.5</v>
      </c>
      <c r="J45" s="471"/>
      <c r="K45" s="703">
        <v>12.622999999999999</v>
      </c>
      <c r="L45" s="665">
        <f t="shared" si="1"/>
        <v>1.0976521739130434</v>
      </c>
      <c r="M45" s="709">
        <f t="shared" si="2"/>
        <v>13.914459129999997</v>
      </c>
    </row>
    <row r="46" spans="1:13" x14ac:dyDescent="0.25">
      <c r="A46" s="671"/>
      <c r="B46" s="9" t="s">
        <v>86</v>
      </c>
      <c r="C46" s="9" t="s">
        <v>217</v>
      </c>
      <c r="D46" s="9" t="s">
        <v>253</v>
      </c>
      <c r="E46" s="576">
        <v>1.9</v>
      </c>
      <c r="F46" s="584">
        <v>9.5370000000000008</v>
      </c>
      <c r="G46" s="574">
        <f t="shared" si="4"/>
        <v>10.512730469999999</v>
      </c>
      <c r="H46" s="629">
        <v>43018</v>
      </c>
      <c r="I46" s="657">
        <v>8.3000000000000007</v>
      </c>
      <c r="J46" s="471"/>
      <c r="K46" s="703">
        <v>8.5220000000000002</v>
      </c>
      <c r="L46" s="665">
        <f t="shared" si="1"/>
        <v>1.0267469879518072</v>
      </c>
      <c r="M46" s="709">
        <f t="shared" si="2"/>
        <v>9.3938858199999995</v>
      </c>
    </row>
    <row r="47" spans="1:13" x14ac:dyDescent="0.25">
      <c r="A47" s="671"/>
      <c r="B47" s="9" t="s">
        <v>203</v>
      </c>
      <c r="C47" s="9" t="s">
        <v>192</v>
      </c>
      <c r="D47" s="9" t="s">
        <v>254</v>
      </c>
      <c r="E47" s="576">
        <v>5</v>
      </c>
      <c r="F47" s="584">
        <v>12.994</v>
      </c>
      <c r="G47" s="574">
        <f t="shared" si="4"/>
        <v>14.323416139999999</v>
      </c>
      <c r="H47" s="629">
        <v>43018</v>
      </c>
      <c r="I47" s="657">
        <v>15.6</v>
      </c>
      <c r="J47" s="471"/>
      <c r="K47" s="703">
        <v>8.4749999999999996</v>
      </c>
      <c r="L47" s="665">
        <f t="shared" si="1"/>
        <v>0.54326923076923073</v>
      </c>
      <c r="M47" s="709">
        <f t="shared" si="2"/>
        <v>9.3420772499999991</v>
      </c>
    </row>
    <row r="48" spans="1:13" ht="15.75" thickBot="1" x14ac:dyDescent="0.3">
      <c r="A48" s="671"/>
      <c r="B48" s="18" t="s">
        <v>7</v>
      </c>
      <c r="C48" s="18" t="s">
        <v>92</v>
      </c>
      <c r="D48" s="9" t="s">
        <v>255</v>
      </c>
      <c r="E48" s="611">
        <v>9.1</v>
      </c>
      <c r="F48" s="585">
        <v>25.035</v>
      </c>
      <c r="G48" s="596">
        <f t="shared" si="4"/>
        <v>27.596330849999998</v>
      </c>
      <c r="H48" s="632">
        <v>43026</v>
      </c>
      <c r="I48" s="657">
        <f>F48*0.9</f>
        <v>22.531500000000001</v>
      </c>
      <c r="J48" s="471"/>
      <c r="K48" s="703">
        <v>3.8319999999999999</v>
      </c>
      <c r="L48" s="665">
        <f t="shared" si="1"/>
        <v>0.17007300889865298</v>
      </c>
      <c r="M48" s="709">
        <f t="shared" si="2"/>
        <v>4.2240519199999991</v>
      </c>
    </row>
    <row r="49" spans="1:13" ht="15.75" thickTop="1" x14ac:dyDescent="0.25">
      <c r="A49" s="672"/>
      <c r="B49" s="123"/>
      <c r="C49" s="591" t="s">
        <v>118</v>
      </c>
      <c r="D49" s="123"/>
      <c r="E49" s="605">
        <f>SUM(E45:E48)</f>
        <v>19.38</v>
      </c>
      <c r="F49" s="586">
        <f>SUM(F45:F48)</f>
        <v>63.064999999999998</v>
      </c>
      <c r="G49" s="598">
        <f t="shared" si="4"/>
        <v>69.517180149999987</v>
      </c>
      <c r="H49" s="490"/>
      <c r="I49" s="519">
        <f>SUM(I45:I48)</f>
        <v>57.9315</v>
      </c>
      <c r="J49" s="519">
        <f t="shared" ref="J49" si="8">SUM(J45:J48)</f>
        <v>0</v>
      </c>
      <c r="K49" s="547">
        <f>SUM(K45:K48)</f>
        <v>33.451999999999998</v>
      </c>
      <c r="L49" s="691">
        <f>K49/I49</f>
        <v>0.57744059794757596</v>
      </c>
      <c r="M49" s="711">
        <f t="shared" si="2"/>
        <v>36.874474119999995</v>
      </c>
    </row>
    <row r="50" spans="1:13" x14ac:dyDescent="0.25">
      <c r="A50" s="669" t="s">
        <v>23</v>
      </c>
      <c r="B50" s="15"/>
      <c r="C50" s="15"/>
      <c r="D50" s="15"/>
      <c r="E50" s="580"/>
      <c r="F50" s="588"/>
      <c r="G50" s="577"/>
      <c r="H50" s="628"/>
      <c r="I50" s="683"/>
      <c r="J50" s="471"/>
      <c r="K50" s="575"/>
      <c r="L50" s="665"/>
      <c r="M50" s="709"/>
    </row>
    <row r="51" spans="1:13" x14ac:dyDescent="0.25">
      <c r="A51" s="670"/>
      <c r="B51" s="8" t="s">
        <v>203</v>
      </c>
      <c r="C51" s="8" t="s">
        <v>193</v>
      </c>
      <c r="D51" s="9" t="s">
        <v>256</v>
      </c>
      <c r="E51" s="612">
        <v>0.5</v>
      </c>
      <c r="F51" s="584">
        <v>2.0619999999999998</v>
      </c>
      <c r="G51" s="574">
        <f t="shared" si="4"/>
        <v>2.2729632199999994</v>
      </c>
      <c r="H51" s="629">
        <v>43018</v>
      </c>
      <c r="I51" s="657">
        <v>0.7</v>
      </c>
      <c r="J51" s="471"/>
      <c r="K51" s="703">
        <v>0.67200000000000004</v>
      </c>
      <c r="L51" s="665">
        <f t="shared" si="1"/>
        <v>0.96000000000000008</v>
      </c>
      <c r="M51" s="709">
        <f t="shared" si="2"/>
        <v>0.74075232000000002</v>
      </c>
    </row>
    <row r="52" spans="1:13" x14ac:dyDescent="0.25">
      <c r="A52" s="670"/>
      <c r="B52" s="8" t="s">
        <v>201</v>
      </c>
      <c r="C52" s="8" t="s">
        <v>258</v>
      </c>
      <c r="D52" s="9" t="s">
        <v>257</v>
      </c>
      <c r="E52" s="612">
        <v>2</v>
      </c>
      <c r="F52" s="584">
        <v>1.762</v>
      </c>
      <c r="G52" s="574">
        <f t="shared" si="4"/>
        <v>1.9422702199999999</v>
      </c>
      <c r="H52" s="629">
        <v>42998</v>
      </c>
      <c r="I52" s="657">
        <v>2.2000000000000002</v>
      </c>
      <c r="J52" s="471"/>
      <c r="K52" s="703">
        <v>1.44</v>
      </c>
      <c r="L52" s="665">
        <f t="shared" si="1"/>
        <v>0.65454545454545443</v>
      </c>
      <c r="M52" s="709">
        <f t="shared" si="2"/>
        <v>1.5873263999999998</v>
      </c>
    </row>
    <row r="53" spans="1:13" s="70" customFormat="1" x14ac:dyDescent="0.25">
      <c r="A53" s="670"/>
      <c r="B53" s="155" t="s">
        <v>7</v>
      </c>
      <c r="C53" s="155" t="s">
        <v>349</v>
      </c>
      <c r="D53" s="9"/>
      <c r="E53" s="612"/>
      <c r="F53" s="584"/>
      <c r="G53" s="574"/>
      <c r="H53" s="629"/>
      <c r="I53" s="658">
        <v>8</v>
      </c>
      <c r="J53" s="471"/>
      <c r="K53" s="703">
        <v>8.32</v>
      </c>
      <c r="L53" s="665">
        <f t="shared" si="1"/>
        <v>1.04</v>
      </c>
      <c r="M53" s="709">
        <f t="shared" si="2"/>
        <v>9.1712191999999995</v>
      </c>
    </row>
    <row r="54" spans="1:13" x14ac:dyDescent="0.25">
      <c r="A54" s="671"/>
      <c r="B54" s="18" t="s">
        <v>7</v>
      </c>
      <c r="C54" s="18" t="s">
        <v>42</v>
      </c>
      <c r="D54" s="9" t="s">
        <v>259</v>
      </c>
      <c r="E54" s="576">
        <v>6</v>
      </c>
      <c r="F54" s="584">
        <v>27.283999999999999</v>
      </c>
      <c r="G54" s="574">
        <f t="shared" si="4"/>
        <v>30.075426039999996</v>
      </c>
      <c r="H54" s="629">
        <v>43013</v>
      </c>
      <c r="I54" s="657">
        <v>30</v>
      </c>
      <c r="J54" s="471"/>
      <c r="K54" s="703">
        <v>17.132000000000001</v>
      </c>
      <c r="L54" s="665">
        <f t="shared" si="1"/>
        <v>0.57106666666666672</v>
      </c>
      <c r="M54" s="709">
        <f t="shared" si="2"/>
        <v>18.884774919999998</v>
      </c>
    </row>
    <row r="55" spans="1:13" x14ac:dyDescent="0.25">
      <c r="A55" s="671"/>
      <c r="B55" s="18" t="s">
        <v>7</v>
      </c>
      <c r="C55" s="18" t="s">
        <v>46</v>
      </c>
      <c r="D55" s="9" t="s">
        <v>260</v>
      </c>
      <c r="E55" s="576">
        <v>3.8</v>
      </c>
      <c r="F55" s="584">
        <v>17.901</v>
      </c>
      <c r="G55" s="574">
        <f t="shared" si="4"/>
        <v>19.732451309999998</v>
      </c>
      <c r="H55" s="629">
        <v>43014</v>
      </c>
      <c r="I55" s="657">
        <v>12</v>
      </c>
      <c r="J55" s="471"/>
      <c r="K55" s="703">
        <v>6.7480000000000002</v>
      </c>
      <c r="L55" s="665">
        <f t="shared" si="1"/>
        <v>0.56233333333333335</v>
      </c>
      <c r="M55" s="709">
        <f t="shared" si="2"/>
        <v>7.4383878799999996</v>
      </c>
    </row>
    <row r="56" spans="1:13" x14ac:dyDescent="0.25">
      <c r="A56" s="671"/>
      <c r="B56" s="18" t="s">
        <v>7</v>
      </c>
      <c r="C56" s="18" t="s">
        <v>47</v>
      </c>
      <c r="D56" s="9" t="s">
        <v>261</v>
      </c>
      <c r="E56" s="576">
        <v>2.5</v>
      </c>
      <c r="F56" s="584">
        <v>8.718</v>
      </c>
      <c r="G56" s="574">
        <f t="shared" si="4"/>
        <v>9.6099385799999997</v>
      </c>
      <c r="H56" s="629">
        <v>43015</v>
      </c>
      <c r="I56" s="657">
        <v>10.7</v>
      </c>
      <c r="J56" s="471"/>
      <c r="K56" s="703">
        <v>12.394</v>
      </c>
      <c r="L56" s="665">
        <f t="shared" si="1"/>
        <v>1.1583177570093459</v>
      </c>
      <c r="M56" s="709">
        <f t="shared" si="2"/>
        <v>13.662030139999999</v>
      </c>
    </row>
    <row r="57" spans="1:13" x14ac:dyDescent="0.25">
      <c r="A57" s="671"/>
      <c r="B57" s="18" t="s">
        <v>7</v>
      </c>
      <c r="C57" s="18" t="s">
        <v>91</v>
      </c>
      <c r="D57" s="9" t="s">
        <v>262</v>
      </c>
      <c r="E57" s="576">
        <v>1.75</v>
      </c>
      <c r="F57" s="584">
        <v>6.4349999999999996</v>
      </c>
      <c r="G57" s="574">
        <f t="shared" si="4"/>
        <v>7.0933648499999986</v>
      </c>
      <c r="H57" s="629">
        <v>43014</v>
      </c>
      <c r="I57" s="657">
        <v>3.3</v>
      </c>
      <c r="J57" s="471"/>
      <c r="K57" s="703">
        <v>3.4039999999999999</v>
      </c>
      <c r="L57" s="665">
        <f t="shared" si="1"/>
        <v>1.0315151515151515</v>
      </c>
      <c r="M57" s="709">
        <f t="shared" si="2"/>
        <v>3.7522632399999996</v>
      </c>
    </row>
    <row r="58" spans="1:13" ht="15.75" thickBot="1" x14ac:dyDescent="0.3">
      <c r="A58" s="671"/>
      <c r="B58" s="18" t="s">
        <v>7</v>
      </c>
      <c r="C58" s="18" t="s">
        <v>79</v>
      </c>
      <c r="D58" s="9" t="s">
        <v>264</v>
      </c>
      <c r="E58" s="581">
        <v>5</v>
      </c>
      <c r="F58" s="585">
        <v>20.155999999999999</v>
      </c>
      <c r="G58" s="596">
        <f t="shared" si="4"/>
        <v>22.218160359999995</v>
      </c>
      <c r="H58" s="632">
        <v>43007</v>
      </c>
      <c r="I58" s="657">
        <v>20</v>
      </c>
      <c r="J58" s="471"/>
      <c r="K58" s="703">
        <v>27.376000000000001</v>
      </c>
      <c r="L58" s="665">
        <f t="shared" si="1"/>
        <v>1.3688</v>
      </c>
      <c r="M58" s="709">
        <f t="shared" si="2"/>
        <v>30.17683856</v>
      </c>
    </row>
    <row r="59" spans="1:13" ht="15.75" thickTop="1" x14ac:dyDescent="0.25">
      <c r="A59" s="672"/>
      <c r="B59" s="25"/>
      <c r="C59" s="600" t="s">
        <v>118</v>
      </c>
      <c r="D59" s="123"/>
      <c r="E59" s="605">
        <f>SUM(E51:E58)</f>
        <v>21.55</v>
      </c>
      <c r="F59" s="586">
        <f>SUM(F51:F58)</f>
        <v>84.318000000000012</v>
      </c>
      <c r="G59" s="598">
        <f t="shared" si="4"/>
        <v>92.944574580000008</v>
      </c>
      <c r="H59" s="490"/>
      <c r="I59" s="519">
        <f>SUM(I51:I58)</f>
        <v>86.899999999999991</v>
      </c>
      <c r="J59" s="519">
        <f t="shared" ref="J59" si="9">SUM(J51:J58)</f>
        <v>0</v>
      </c>
      <c r="K59" s="547">
        <f>SUM(K51:K58)</f>
        <v>77.486000000000004</v>
      </c>
      <c r="L59" s="691">
        <f>K59/I59</f>
        <v>0.89166858457997711</v>
      </c>
      <c r="M59" s="711">
        <f t="shared" si="2"/>
        <v>85.413592659999992</v>
      </c>
    </row>
    <row r="60" spans="1:13" x14ac:dyDescent="0.25">
      <c r="A60" s="670" t="s">
        <v>48</v>
      </c>
      <c r="B60" s="8"/>
      <c r="C60" s="1"/>
      <c r="D60" s="1"/>
      <c r="E60" s="1"/>
      <c r="F60" s="584"/>
      <c r="G60" s="574"/>
      <c r="H60" s="640"/>
      <c r="I60" s="584"/>
      <c r="J60" s="471"/>
      <c r="K60" s="575"/>
      <c r="L60" s="665"/>
      <c r="M60" s="709"/>
    </row>
    <row r="61" spans="1:13" x14ac:dyDescent="0.25">
      <c r="A61" s="671"/>
      <c r="B61" s="9" t="s">
        <v>3</v>
      </c>
      <c r="C61" s="9" t="s">
        <v>49</v>
      </c>
      <c r="D61" s="9" t="s">
        <v>265</v>
      </c>
      <c r="E61" s="576">
        <v>5.07</v>
      </c>
      <c r="F61" s="584">
        <v>21.881</v>
      </c>
      <c r="G61" s="574">
        <f t="shared" si="4"/>
        <v>24.119645109999997</v>
      </c>
      <c r="H61" s="629">
        <v>43011</v>
      </c>
      <c r="I61" s="660">
        <v>13.9</v>
      </c>
      <c r="J61" s="471"/>
      <c r="K61" s="703">
        <v>15.871</v>
      </c>
      <c r="L61" s="665">
        <f>K61/I61</f>
        <v>1.1417985611510792</v>
      </c>
      <c r="M61" s="709">
        <f t="shared" si="2"/>
        <v>17.494762009999999</v>
      </c>
    </row>
    <row r="62" spans="1:13" x14ac:dyDescent="0.25">
      <c r="A62" s="671"/>
      <c r="B62" s="9" t="s">
        <v>86</v>
      </c>
      <c r="C62" s="9" t="s">
        <v>216</v>
      </c>
      <c r="D62" s="9" t="s">
        <v>268</v>
      </c>
      <c r="E62" s="576">
        <v>2.8</v>
      </c>
      <c r="F62" s="584">
        <v>9.1240000000000006</v>
      </c>
      <c r="G62" s="574">
        <f t="shared" si="4"/>
        <v>10.05747644</v>
      </c>
      <c r="H62" s="629">
        <v>43027</v>
      </c>
      <c r="I62" s="660">
        <f>12.9-5</f>
        <v>7.9</v>
      </c>
      <c r="J62" s="471" t="s">
        <v>351</v>
      </c>
      <c r="K62" s="703">
        <f>5.485+0.86+4.711</f>
        <v>11.056000000000001</v>
      </c>
      <c r="L62" s="665">
        <f t="shared" ref="L62:L66" si="10">K62/I62</f>
        <v>1.3994936708860759</v>
      </c>
      <c r="M62" s="709">
        <f t="shared" si="2"/>
        <v>12.18713936</v>
      </c>
    </row>
    <row r="63" spans="1:13" x14ac:dyDescent="0.25">
      <c r="A63" s="671"/>
      <c r="B63" s="9" t="s">
        <v>86</v>
      </c>
      <c r="C63" s="9" t="s">
        <v>220</v>
      </c>
      <c r="D63" s="9" t="s">
        <v>266</v>
      </c>
      <c r="E63" s="576">
        <v>0.21</v>
      </c>
      <c r="F63" s="584">
        <v>0.84399999999999997</v>
      </c>
      <c r="G63" s="574">
        <f t="shared" si="4"/>
        <v>0.93034963999999987</v>
      </c>
      <c r="H63" s="629">
        <v>43027</v>
      </c>
      <c r="I63" s="660">
        <v>1.2</v>
      </c>
      <c r="J63" s="471"/>
      <c r="K63" s="703">
        <v>1.968</v>
      </c>
      <c r="L63" s="665">
        <f t="shared" si="10"/>
        <v>1.6400000000000001</v>
      </c>
      <c r="M63" s="709">
        <f t="shared" si="2"/>
        <v>2.16934608</v>
      </c>
    </row>
    <row r="64" spans="1:13" x14ac:dyDescent="0.25">
      <c r="A64" s="670"/>
      <c r="B64" s="9" t="s">
        <v>86</v>
      </c>
      <c r="C64" s="9" t="s">
        <v>223</v>
      </c>
      <c r="D64" s="9" t="s">
        <v>267</v>
      </c>
      <c r="E64" s="576">
        <v>1.4</v>
      </c>
      <c r="F64" s="584">
        <v>5.6529999999999996</v>
      </c>
      <c r="G64" s="574">
        <f t="shared" si="4"/>
        <v>6.2313584299999993</v>
      </c>
      <c r="H64" s="629">
        <v>43027</v>
      </c>
      <c r="I64" s="660">
        <v>4.0999999999999996</v>
      </c>
      <c r="J64" s="471"/>
      <c r="K64" s="703">
        <f>0.967+3.663</f>
        <v>4.63</v>
      </c>
      <c r="L64" s="665">
        <f t="shared" si="10"/>
        <v>1.1292682926829269</v>
      </c>
      <c r="M64" s="709">
        <f t="shared" si="2"/>
        <v>5.1036952999999992</v>
      </c>
    </row>
    <row r="65" spans="1:15" x14ac:dyDescent="0.25">
      <c r="A65" s="671"/>
      <c r="B65" s="9" t="s">
        <v>86</v>
      </c>
      <c r="C65" s="9" t="s">
        <v>225</v>
      </c>
      <c r="D65" s="9" t="s">
        <v>269</v>
      </c>
      <c r="E65" s="576">
        <v>1.1299999999999999</v>
      </c>
      <c r="F65" s="630">
        <v>4.4630000000000001</v>
      </c>
      <c r="G65" s="574">
        <f t="shared" si="4"/>
        <v>4.9196095299999998</v>
      </c>
      <c r="H65" s="631">
        <v>43024</v>
      </c>
      <c r="I65" s="660">
        <v>4.4000000000000004</v>
      </c>
      <c r="J65" s="471"/>
      <c r="K65" s="703">
        <v>4.51</v>
      </c>
      <c r="L65" s="665">
        <f t="shared" si="10"/>
        <v>1.0249999999999999</v>
      </c>
      <c r="M65" s="709">
        <f t="shared" si="2"/>
        <v>4.9714180999999993</v>
      </c>
      <c r="O65" s="693">
        <f>SUM(M62:M65)</f>
        <v>24.431598839999999</v>
      </c>
    </row>
    <row r="66" spans="1:15" x14ac:dyDescent="0.25">
      <c r="A66" s="671"/>
      <c r="B66" s="9" t="s">
        <v>89</v>
      </c>
      <c r="C66" s="9" t="s">
        <v>55</v>
      </c>
      <c r="D66" s="9" t="s">
        <v>270</v>
      </c>
      <c r="E66" s="576">
        <v>6.15</v>
      </c>
      <c r="F66" s="642">
        <v>11.9</v>
      </c>
      <c r="G66" s="574">
        <f t="shared" si="4"/>
        <v>13.117488999999999</v>
      </c>
      <c r="H66" s="631">
        <v>43025</v>
      </c>
      <c r="I66" s="660">
        <f>23.7+10</f>
        <v>33.700000000000003</v>
      </c>
      <c r="J66" s="471" t="s">
        <v>357</v>
      </c>
      <c r="K66" s="703">
        <f>7.014+4.166+10.455+9.868</f>
        <v>31.503</v>
      </c>
      <c r="L66" s="665">
        <f t="shared" si="10"/>
        <v>0.93480712166172097</v>
      </c>
      <c r="M66" s="709">
        <f t="shared" si="2"/>
        <v>34.726071929999996</v>
      </c>
    </row>
    <row r="67" spans="1:15" ht="15.75" thickBot="1" x14ac:dyDescent="0.3">
      <c r="A67" s="671"/>
      <c r="B67" s="72" t="s">
        <v>139</v>
      </c>
      <c r="C67" s="72" t="s">
        <v>5</v>
      </c>
      <c r="D67" s="9" t="s">
        <v>271</v>
      </c>
      <c r="E67" s="613">
        <v>0</v>
      </c>
      <c r="F67" s="590">
        <v>10</v>
      </c>
      <c r="G67" s="596">
        <f t="shared" si="4"/>
        <v>11.023099999999999</v>
      </c>
      <c r="H67" s="643"/>
      <c r="I67" s="661">
        <v>0</v>
      </c>
      <c r="J67" s="471"/>
      <c r="K67" s="575"/>
      <c r="L67" s="665"/>
      <c r="M67" s="709"/>
    </row>
    <row r="68" spans="1:15" ht="15.75" thickTop="1" x14ac:dyDescent="0.25">
      <c r="A68" s="671"/>
      <c r="B68" s="8"/>
      <c r="C68" s="79" t="s">
        <v>118</v>
      </c>
      <c r="D68" s="9"/>
      <c r="E68" s="609">
        <f>SUM(E61:E67)</f>
        <v>16.759999999999998</v>
      </c>
      <c r="F68" s="587">
        <f>SUM(F61:F67)</f>
        <v>63.865000000000002</v>
      </c>
      <c r="G68" s="599">
        <f t="shared" si="4"/>
        <v>70.399028149999992</v>
      </c>
      <c r="H68" s="549"/>
      <c r="I68" s="519">
        <f>SUM(I61:I67)</f>
        <v>65.2</v>
      </c>
      <c r="J68" s="519">
        <f t="shared" ref="J68" si="11">SUM(J61:J67)</f>
        <v>0</v>
      </c>
      <c r="K68" s="547">
        <f>SUM(K61:K67)</f>
        <v>69.537999999999997</v>
      </c>
      <c r="L68" s="691">
        <f>K68/I68</f>
        <v>1.0665337423312882</v>
      </c>
      <c r="M68" s="711">
        <f t="shared" si="2"/>
        <v>76.652432779999984</v>
      </c>
    </row>
    <row r="69" spans="1:15" x14ac:dyDescent="0.25">
      <c r="A69" s="669" t="s">
        <v>25</v>
      </c>
      <c r="B69" s="15"/>
      <c r="C69" s="3"/>
      <c r="D69" s="3"/>
      <c r="E69" s="3"/>
      <c r="F69" s="588"/>
      <c r="G69" s="577"/>
      <c r="H69" s="628"/>
      <c r="I69" s="683"/>
      <c r="J69" s="471"/>
      <c r="K69" s="575"/>
      <c r="L69" s="665"/>
      <c r="M69" s="709">
        <f t="shared" ref="M69:M132" si="12">K69*1.10231</f>
        <v>0</v>
      </c>
    </row>
    <row r="70" spans="1:15" x14ac:dyDescent="0.25">
      <c r="A70" s="672"/>
      <c r="B70" s="123" t="s">
        <v>3</v>
      </c>
      <c r="C70" s="123" t="s">
        <v>56</v>
      </c>
      <c r="D70" s="123" t="s">
        <v>272</v>
      </c>
      <c r="E70" s="614">
        <v>1.49</v>
      </c>
      <c r="F70" s="586">
        <v>6.641</v>
      </c>
      <c r="G70" s="598">
        <f t="shared" si="4"/>
        <v>7.3204407099999997</v>
      </c>
      <c r="H70" s="685">
        <v>42989</v>
      </c>
      <c r="I70" s="519">
        <f>F70*0.9</f>
        <v>5.9769000000000005</v>
      </c>
      <c r="J70" s="687"/>
      <c r="K70" s="547">
        <v>5.931</v>
      </c>
      <c r="L70" s="691">
        <f>K70/I70</f>
        <v>0.99232043366962797</v>
      </c>
      <c r="M70" s="711">
        <f t="shared" si="12"/>
        <v>6.5378006099999997</v>
      </c>
    </row>
    <row r="71" spans="1:15" x14ac:dyDescent="0.25">
      <c r="A71" s="671" t="s">
        <v>103</v>
      </c>
      <c r="B71" s="8"/>
      <c r="C71" s="79"/>
      <c r="D71" s="79"/>
      <c r="E71" s="64"/>
      <c r="F71" s="584"/>
      <c r="G71" s="574"/>
      <c r="H71" s="640"/>
      <c r="I71" s="584"/>
      <c r="J71" s="471"/>
      <c r="K71" s="575"/>
      <c r="L71" s="665"/>
      <c r="M71" s="709"/>
    </row>
    <row r="72" spans="1:15" x14ac:dyDescent="0.25">
      <c r="A72" s="671"/>
      <c r="B72" s="8" t="s">
        <v>7</v>
      </c>
      <c r="C72" s="124" t="s">
        <v>350</v>
      </c>
      <c r="D72" s="9" t="s">
        <v>273</v>
      </c>
      <c r="E72" s="65">
        <v>1</v>
      </c>
      <c r="F72" s="584">
        <v>2.54</v>
      </c>
      <c r="G72" s="574">
        <f t="shared" si="4"/>
        <v>2.7998673999999997</v>
      </c>
      <c r="H72" s="629">
        <v>43021</v>
      </c>
      <c r="I72" s="662">
        <v>5</v>
      </c>
      <c r="J72" s="471"/>
      <c r="K72" s="703">
        <v>5.9729999999999999</v>
      </c>
      <c r="L72" s="665">
        <f t="shared" ref="L72:L130" si="13">K72/I72</f>
        <v>1.1945999999999999</v>
      </c>
      <c r="M72" s="709">
        <f t="shared" si="12"/>
        <v>6.5840976299999996</v>
      </c>
    </row>
    <row r="73" spans="1:15" ht="15.75" thickBot="1" x14ac:dyDescent="0.3">
      <c r="A73" s="671"/>
      <c r="B73" s="8" t="s">
        <v>7</v>
      </c>
      <c r="C73" s="124"/>
      <c r="D73" s="9" t="s">
        <v>274</v>
      </c>
      <c r="E73" s="582">
        <v>1</v>
      </c>
      <c r="F73" s="585">
        <v>5.36</v>
      </c>
      <c r="G73" s="596">
        <f t="shared" si="4"/>
        <v>5.9083816000000002</v>
      </c>
      <c r="H73" s="632">
        <v>43031</v>
      </c>
      <c r="I73" s="662">
        <v>0</v>
      </c>
      <c r="J73" s="471"/>
      <c r="K73" s="575"/>
      <c r="L73" s="665"/>
      <c r="M73" s="709"/>
    </row>
    <row r="74" spans="1:15" ht="15.75" thickTop="1" x14ac:dyDescent="0.25">
      <c r="A74" s="671"/>
      <c r="B74" s="130"/>
      <c r="C74" s="252" t="s">
        <v>9</v>
      </c>
      <c r="D74" s="9"/>
      <c r="E74" s="615">
        <f>SUM(E72:E73)</f>
        <v>2</v>
      </c>
      <c r="F74" s="587">
        <f>SUM(F72:F73)</f>
        <v>7.9</v>
      </c>
      <c r="G74" s="599">
        <f t="shared" si="4"/>
        <v>8.7082490000000004</v>
      </c>
      <c r="H74" s="549"/>
      <c r="I74" s="519">
        <f>SUM(I72:I73)</f>
        <v>5</v>
      </c>
      <c r="J74" s="519">
        <f t="shared" ref="J74:K74" si="14">SUM(J72:J73)</f>
        <v>0</v>
      </c>
      <c r="K74" s="519">
        <f t="shared" si="14"/>
        <v>5.9729999999999999</v>
      </c>
      <c r="L74" s="691">
        <f>K74/I74</f>
        <v>1.1945999999999999</v>
      </c>
      <c r="M74" s="711">
        <f t="shared" si="12"/>
        <v>6.5840976299999996</v>
      </c>
    </row>
    <row r="75" spans="1:15" x14ac:dyDescent="0.25">
      <c r="A75" s="673" t="s">
        <v>196</v>
      </c>
      <c r="B75" s="245"/>
      <c r="C75" s="245"/>
      <c r="D75" s="245"/>
      <c r="E75" s="616"/>
      <c r="F75" s="588"/>
      <c r="G75" s="577"/>
      <c r="H75" s="628"/>
      <c r="I75" s="683"/>
      <c r="J75" s="471"/>
      <c r="K75" s="575"/>
      <c r="L75" s="665"/>
      <c r="M75" s="709"/>
    </row>
    <row r="76" spans="1:15" x14ac:dyDescent="0.25">
      <c r="A76" s="672"/>
      <c r="B76" s="309" t="s">
        <v>197</v>
      </c>
      <c r="C76" s="309"/>
      <c r="D76" s="123" t="s">
        <v>275</v>
      </c>
      <c r="E76" s="617">
        <v>6</v>
      </c>
      <c r="F76" s="586">
        <v>11.5</v>
      </c>
      <c r="G76" s="598">
        <f t="shared" si="4"/>
        <v>12.676564999999998</v>
      </c>
      <c r="H76" s="490"/>
      <c r="I76" s="519">
        <f>16.7</f>
        <v>16.7</v>
      </c>
      <c r="J76" s="687" t="s">
        <v>344</v>
      </c>
      <c r="K76" s="547">
        <f>10.1+5.032+3.99+2.611</f>
        <v>21.733000000000001</v>
      </c>
      <c r="L76" s="691">
        <f>K76/I76</f>
        <v>1.301377245508982</v>
      </c>
      <c r="M76" s="711">
        <f t="shared" si="12"/>
        <v>23.956503229999999</v>
      </c>
    </row>
    <row r="77" spans="1:15" x14ac:dyDescent="0.25">
      <c r="A77" s="671" t="s">
        <v>159</v>
      </c>
      <c r="B77" s="130"/>
      <c r="C77" s="130"/>
      <c r="D77" s="130"/>
      <c r="E77" s="131"/>
      <c r="F77" s="584"/>
      <c r="G77" s="574"/>
      <c r="H77" s="640"/>
      <c r="I77" s="584"/>
      <c r="J77" s="471"/>
      <c r="K77" s="575"/>
      <c r="L77" s="665"/>
      <c r="M77" s="709"/>
    </row>
    <row r="78" spans="1:15" x14ac:dyDescent="0.25">
      <c r="A78" s="671"/>
      <c r="B78" s="130" t="s">
        <v>160</v>
      </c>
      <c r="C78" s="130" t="s">
        <v>206</v>
      </c>
      <c r="D78" s="9" t="s">
        <v>276</v>
      </c>
      <c r="E78" s="618">
        <v>2</v>
      </c>
      <c r="F78" s="587">
        <v>8.0359999999999996</v>
      </c>
      <c r="G78" s="599">
        <f t="shared" si="4"/>
        <v>8.8581631599999984</v>
      </c>
      <c r="H78" s="644">
        <v>43034</v>
      </c>
      <c r="I78" s="663">
        <v>5</v>
      </c>
      <c r="J78" s="687"/>
      <c r="K78" s="547">
        <v>5.093</v>
      </c>
      <c r="L78" s="691">
        <f>K78/I78</f>
        <v>1.0185999999999999</v>
      </c>
      <c r="M78" s="711">
        <f t="shared" si="12"/>
        <v>5.6140648299999993</v>
      </c>
    </row>
    <row r="79" spans="1:15" x14ac:dyDescent="0.25">
      <c r="A79" s="673" t="s">
        <v>27</v>
      </c>
      <c r="B79" s="15"/>
      <c r="C79" s="3"/>
      <c r="D79" s="3"/>
      <c r="E79" s="3"/>
      <c r="F79" s="588"/>
      <c r="G79" s="577"/>
      <c r="H79" s="628"/>
      <c r="I79" s="656"/>
      <c r="J79" s="471"/>
      <c r="K79" s="575"/>
      <c r="L79" s="665"/>
      <c r="M79" s="709"/>
    </row>
    <row r="80" spans="1:15" x14ac:dyDescent="0.25">
      <c r="A80" s="671"/>
      <c r="B80" s="9" t="s">
        <v>3</v>
      </c>
      <c r="C80" s="9" t="s">
        <v>57</v>
      </c>
      <c r="D80" s="9" t="s">
        <v>277</v>
      </c>
      <c r="E80" s="576">
        <v>0.19</v>
      </c>
      <c r="F80" s="584">
        <v>0.315</v>
      </c>
      <c r="G80" s="574">
        <f t="shared" si="4"/>
        <v>0.34722765</v>
      </c>
      <c r="H80" s="629">
        <v>43027</v>
      </c>
      <c r="I80" s="657">
        <v>0.4</v>
      </c>
      <c r="J80" s="471"/>
      <c r="K80" s="703">
        <v>0.35899999999999999</v>
      </c>
      <c r="L80" s="665">
        <f>K80/I80</f>
        <v>0.89749999999999996</v>
      </c>
      <c r="M80" s="709">
        <f t="shared" si="12"/>
        <v>0.39572928999999996</v>
      </c>
      <c r="O80" s="693">
        <f>M80</f>
        <v>0.39572928999999996</v>
      </c>
    </row>
    <row r="81" spans="1:15" x14ac:dyDescent="0.25">
      <c r="A81" s="670"/>
      <c r="B81" s="9"/>
      <c r="C81" s="9" t="s">
        <v>58</v>
      </c>
      <c r="D81" s="9" t="s">
        <v>278</v>
      </c>
      <c r="E81" s="576">
        <v>2.36</v>
      </c>
      <c r="F81" s="584">
        <v>5.8479999999999999</v>
      </c>
      <c r="G81" s="574">
        <f t="shared" si="4"/>
        <v>6.4463088799999992</v>
      </c>
      <c r="H81" s="629">
        <v>43027</v>
      </c>
      <c r="I81" s="657">
        <v>8.5</v>
      </c>
      <c r="J81" s="471"/>
      <c r="K81" s="703">
        <v>8.3759999999999994</v>
      </c>
      <c r="L81" s="665">
        <f>K81/I81</f>
        <v>0.98541176470588232</v>
      </c>
      <c r="M81" s="709">
        <f t="shared" si="12"/>
        <v>9.2329485599999987</v>
      </c>
    </row>
    <row r="82" spans="1:15" x14ac:dyDescent="0.25">
      <c r="A82" s="671"/>
      <c r="B82" s="9"/>
      <c r="C82" s="9" t="s">
        <v>59</v>
      </c>
      <c r="D82" s="9" t="s">
        <v>279</v>
      </c>
      <c r="E82" s="576">
        <v>1.17</v>
      </c>
      <c r="F82" s="584">
        <v>3.2360000000000002</v>
      </c>
      <c r="G82" s="574">
        <f t="shared" si="4"/>
        <v>3.5670751599999999</v>
      </c>
      <c r="H82" s="629">
        <v>43027</v>
      </c>
      <c r="I82" s="657">
        <v>4.3</v>
      </c>
      <c r="J82" s="471"/>
      <c r="K82" s="703">
        <v>4.3959999999999999</v>
      </c>
      <c r="L82" s="665">
        <f t="shared" ref="L82:L84" si="15">K82/I82</f>
        <v>1.0223255813953489</v>
      </c>
      <c r="M82" s="709">
        <f t="shared" si="12"/>
        <v>4.8457547599999993</v>
      </c>
    </row>
    <row r="83" spans="1:15" x14ac:dyDescent="0.25">
      <c r="A83" s="671"/>
      <c r="B83" s="9"/>
      <c r="C83" s="9" t="s">
        <v>60</v>
      </c>
      <c r="D83" s="9" t="s">
        <v>280</v>
      </c>
      <c r="E83" s="576">
        <v>1.08</v>
      </c>
      <c r="F83" s="584">
        <v>2.6040000000000001</v>
      </c>
      <c r="G83" s="574">
        <f t="shared" si="4"/>
        <v>2.8704152399999998</v>
      </c>
      <c r="H83" s="629">
        <v>43027</v>
      </c>
      <c r="I83" s="657">
        <v>3.2</v>
      </c>
      <c r="J83" s="471"/>
      <c r="K83" s="703">
        <v>3.2789999999999999</v>
      </c>
      <c r="L83" s="665">
        <f t="shared" si="15"/>
        <v>1.0246875</v>
      </c>
      <c r="M83" s="709">
        <f t="shared" si="12"/>
        <v>3.6144744899999997</v>
      </c>
      <c r="O83" s="694">
        <f>SUM(M81:M83)</f>
        <v>17.693177809999998</v>
      </c>
    </row>
    <row r="84" spans="1:15" ht="15.75" thickBot="1" x14ac:dyDescent="0.3">
      <c r="A84" s="671"/>
      <c r="B84" s="124" t="s">
        <v>7</v>
      </c>
      <c r="C84" s="208" t="s">
        <v>206</v>
      </c>
      <c r="D84" s="9" t="s">
        <v>282</v>
      </c>
      <c r="E84" s="183">
        <v>2.78</v>
      </c>
      <c r="F84" s="584">
        <v>3.484</v>
      </c>
      <c r="G84" s="574">
        <f t="shared" si="4"/>
        <v>3.8404480399999996</v>
      </c>
      <c r="H84" s="629">
        <v>43020</v>
      </c>
      <c r="I84" s="658">
        <v>3</v>
      </c>
      <c r="J84" s="471"/>
      <c r="K84" s="703">
        <v>3.2349999999999999</v>
      </c>
      <c r="L84" s="665">
        <f t="shared" si="15"/>
        <v>1.0783333333333334</v>
      </c>
      <c r="M84" s="709">
        <f t="shared" si="12"/>
        <v>3.5659728499999996</v>
      </c>
    </row>
    <row r="85" spans="1:15" ht="15.75" thickTop="1" x14ac:dyDescent="0.25">
      <c r="A85" s="672"/>
      <c r="B85" s="25"/>
      <c r="C85" s="591" t="s">
        <v>118</v>
      </c>
      <c r="D85" s="123"/>
      <c r="E85" s="605">
        <f>SUM(E80:E84)</f>
        <v>7.58</v>
      </c>
      <c r="F85" s="586">
        <f>SUM(F80:F84)</f>
        <v>15.487</v>
      </c>
      <c r="G85" s="598">
        <f t="shared" si="4"/>
        <v>17.071474969999997</v>
      </c>
      <c r="H85" s="490"/>
      <c r="I85" s="519">
        <f>SUM(I80:I84)</f>
        <v>19.399999999999999</v>
      </c>
      <c r="J85" s="519">
        <f t="shared" ref="J85" si="16">SUM(J80:J84)</f>
        <v>0</v>
      </c>
      <c r="K85" s="547">
        <f>SUM(K80:K84)</f>
        <v>19.645</v>
      </c>
      <c r="L85" s="691">
        <f>K85/I85</f>
        <v>1.0126288659793814</v>
      </c>
      <c r="M85" s="711">
        <f t="shared" si="12"/>
        <v>21.654879949999998</v>
      </c>
    </row>
    <row r="86" spans="1:15" x14ac:dyDescent="0.25">
      <c r="A86" s="669" t="s">
        <v>28</v>
      </c>
      <c r="B86" s="15"/>
      <c r="C86" s="3"/>
      <c r="D86" s="3"/>
      <c r="E86" s="3"/>
      <c r="F86" s="588"/>
      <c r="G86" s="577"/>
      <c r="H86" s="628"/>
      <c r="I86" s="683"/>
      <c r="J86" s="471"/>
      <c r="K86" s="575"/>
      <c r="L86" s="665"/>
      <c r="M86" s="709"/>
    </row>
    <row r="87" spans="1:15" x14ac:dyDescent="0.25">
      <c r="A87" s="671"/>
      <c r="B87" s="9" t="s">
        <v>3</v>
      </c>
      <c r="C87" s="9" t="s">
        <v>53</v>
      </c>
      <c r="D87" s="9" t="s">
        <v>283</v>
      </c>
      <c r="E87" s="576">
        <v>1.0900000000000001</v>
      </c>
      <c r="F87" s="584">
        <v>2.766</v>
      </c>
      <c r="G87" s="574">
        <f t="shared" ref="G87:G132" si="17">F87*1.10231</f>
        <v>3.0489894599999996</v>
      </c>
      <c r="H87" s="629">
        <v>42990</v>
      </c>
      <c r="I87" s="657">
        <v>4.2</v>
      </c>
      <c r="J87" s="471"/>
      <c r="K87" s="703">
        <v>3.4169999999999998</v>
      </c>
      <c r="L87" s="665">
        <f t="shared" si="13"/>
        <v>0.8135714285714285</v>
      </c>
      <c r="M87" s="709">
        <f t="shared" si="12"/>
        <v>3.7665932699999995</v>
      </c>
    </row>
    <row r="88" spans="1:15" x14ac:dyDescent="0.25">
      <c r="A88" s="671"/>
      <c r="B88" s="9" t="s">
        <v>3</v>
      </c>
      <c r="C88" s="9" t="s">
        <v>61</v>
      </c>
      <c r="D88" s="9" t="s">
        <v>284</v>
      </c>
      <c r="E88" s="576">
        <v>0.83</v>
      </c>
      <c r="F88" s="584">
        <v>2.7730000000000001</v>
      </c>
      <c r="G88" s="574">
        <f t="shared" si="17"/>
        <v>3.0567056299999997</v>
      </c>
      <c r="H88" s="640"/>
      <c r="I88" s="657">
        <v>4.9000000000000004</v>
      </c>
      <c r="J88" s="471"/>
      <c r="K88" s="703">
        <v>4.6740000000000004</v>
      </c>
      <c r="L88" s="665">
        <f t="shared" si="13"/>
        <v>0.95387755102040817</v>
      </c>
      <c r="M88" s="709">
        <f t="shared" si="12"/>
        <v>5.1521969399999996</v>
      </c>
      <c r="O88" s="693">
        <f>SUM(M87:M88)</f>
        <v>8.9187902099999992</v>
      </c>
    </row>
    <row r="89" spans="1:15" x14ac:dyDescent="0.25">
      <c r="A89" s="671"/>
      <c r="B89" s="72" t="s">
        <v>86</v>
      </c>
      <c r="C89" s="9"/>
      <c r="D89" s="9" t="s">
        <v>285</v>
      </c>
      <c r="E89" s="135">
        <v>0.05</v>
      </c>
      <c r="F89" s="584"/>
      <c r="G89" s="574">
        <f t="shared" si="17"/>
        <v>0</v>
      </c>
      <c r="H89" s="640"/>
      <c r="I89" s="657">
        <f>F89*0.9</f>
        <v>0</v>
      </c>
      <c r="J89" s="471"/>
      <c r="K89" s="695"/>
      <c r="L89" s="665"/>
      <c r="M89" s="709"/>
    </row>
    <row r="90" spans="1:15" ht="15.75" thickBot="1" x14ac:dyDescent="0.3">
      <c r="A90" s="671"/>
      <c r="B90" s="9" t="s">
        <v>6</v>
      </c>
      <c r="C90" s="9"/>
      <c r="D90" s="9" t="s">
        <v>286</v>
      </c>
      <c r="E90" s="581">
        <v>13.5</v>
      </c>
      <c r="F90" s="585">
        <v>43.442</v>
      </c>
      <c r="G90" s="596">
        <f t="shared" si="17"/>
        <v>47.886551019999999</v>
      </c>
      <c r="H90" s="632">
        <v>43000</v>
      </c>
      <c r="I90" s="657">
        <v>50</v>
      </c>
      <c r="J90" s="471"/>
      <c r="K90" s="703">
        <f>25.822+10.686+0.726</f>
        <v>37.233999999999995</v>
      </c>
      <c r="L90" s="665">
        <f t="shared" si="13"/>
        <v>0.7446799999999999</v>
      </c>
      <c r="M90" s="709">
        <f t="shared" si="12"/>
        <v>41.043410539999989</v>
      </c>
    </row>
    <row r="91" spans="1:15" ht="15.75" thickTop="1" x14ac:dyDescent="0.25">
      <c r="A91" s="672"/>
      <c r="B91" s="25"/>
      <c r="C91" s="591" t="s">
        <v>118</v>
      </c>
      <c r="D91" s="123"/>
      <c r="E91" s="605">
        <f>SUM(E87:E90)</f>
        <v>15.47</v>
      </c>
      <c r="F91" s="586">
        <f>SUM(F87:F90)</f>
        <v>48.981000000000002</v>
      </c>
      <c r="G91" s="598">
        <f t="shared" si="17"/>
        <v>53.992246109999996</v>
      </c>
      <c r="H91" s="490"/>
      <c r="I91" s="519">
        <f>SUM(I87:I90)</f>
        <v>59.1</v>
      </c>
      <c r="J91" s="519">
        <f t="shared" ref="J91" si="18">SUM(J87:J90)</f>
        <v>0</v>
      </c>
      <c r="K91" s="547">
        <f>SUM(K87:K90)</f>
        <v>45.324999999999996</v>
      </c>
      <c r="L91" s="691">
        <f>K91/I91</f>
        <v>0.76692047377326555</v>
      </c>
      <c r="M91" s="711">
        <f t="shared" si="12"/>
        <v>49.962200749999994</v>
      </c>
    </row>
    <row r="92" spans="1:15" x14ac:dyDescent="0.25">
      <c r="A92" s="670" t="s">
        <v>62</v>
      </c>
      <c r="B92" s="8"/>
      <c r="C92" s="1"/>
      <c r="D92" s="1"/>
      <c r="E92" s="1"/>
      <c r="F92" s="584"/>
      <c r="G92" s="574"/>
      <c r="H92" s="640"/>
      <c r="I92" s="584"/>
      <c r="J92" s="471"/>
      <c r="K92" s="575"/>
      <c r="L92" s="665"/>
      <c r="M92" s="709"/>
    </row>
    <row r="93" spans="1:15" x14ac:dyDescent="0.25">
      <c r="A93" s="671"/>
      <c r="B93" s="18" t="s">
        <v>7</v>
      </c>
      <c r="C93" s="18" t="s">
        <v>46</v>
      </c>
      <c r="D93" s="9" t="s">
        <v>287</v>
      </c>
      <c r="E93" s="576">
        <v>11.2</v>
      </c>
      <c r="F93" s="584">
        <v>59.654000000000003</v>
      </c>
      <c r="G93" s="574">
        <f t="shared" si="17"/>
        <v>65.757200740000002</v>
      </c>
      <c r="H93" s="629">
        <v>43018</v>
      </c>
      <c r="I93" s="660">
        <v>64</v>
      </c>
      <c r="J93" s="471"/>
      <c r="K93" s="703">
        <f>40.135</f>
        <v>40.134999999999998</v>
      </c>
      <c r="L93" s="665">
        <f t="shared" si="13"/>
        <v>0.62710937499999997</v>
      </c>
      <c r="M93" s="709">
        <f t="shared" si="12"/>
        <v>44.241211849999992</v>
      </c>
    </row>
    <row r="94" spans="1:15" ht="15.75" thickBot="1" x14ac:dyDescent="0.3">
      <c r="A94" s="671"/>
      <c r="B94" s="18" t="s">
        <v>7</v>
      </c>
      <c r="C94" s="72" t="s">
        <v>99</v>
      </c>
      <c r="D94" s="9" t="s">
        <v>288</v>
      </c>
      <c r="E94" s="581">
        <v>6.5</v>
      </c>
      <c r="F94" s="585">
        <v>19.102</v>
      </c>
      <c r="G94" s="596">
        <f t="shared" si="17"/>
        <v>21.056325619999999</v>
      </c>
      <c r="H94" s="632">
        <v>43025</v>
      </c>
      <c r="I94" s="660">
        <v>25</v>
      </c>
      <c r="J94" s="471"/>
      <c r="K94" s="703">
        <v>13.4</v>
      </c>
      <c r="L94" s="665">
        <f t="shared" si="13"/>
        <v>0.53600000000000003</v>
      </c>
      <c r="M94" s="709">
        <f t="shared" si="12"/>
        <v>14.770954</v>
      </c>
    </row>
    <row r="95" spans="1:15" ht="15.75" thickTop="1" x14ac:dyDescent="0.25">
      <c r="A95" s="671"/>
      <c r="B95" s="8"/>
      <c r="C95" s="79" t="s">
        <v>118</v>
      </c>
      <c r="D95" s="9"/>
      <c r="E95" s="619">
        <f>SUM(E93:E94)</f>
        <v>17.7</v>
      </c>
      <c r="F95" s="587">
        <f>SUM(F93:F94)</f>
        <v>78.756</v>
      </c>
      <c r="G95" s="599">
        <f t="shared" si="17"/>
        <v>86.813526359999997</v>
      </c>
      <c r="H95" s="549"/>
      <c r="I95" s="519">
        <f>SUM(I93:I94)</f>
        <v>89</v>
      </c>
      <c r="J95" s="519">
        <f t="shared" ref="J95" si="19">SUM(J93:J94)</f>
        <v>0</v>
      </c>
      <c r="K95" s="547">
        <f>SUM(K93:K94)</f>
        <v>53.534999999999997</v>
      </c>
      <c r="L95" s="691">
        <f>K95/I95</f>
        <v>0.60151685393258425</v>
      </c>
      <c r="M95" s="711">
        <f t="shared" si="12"/>
        <v>59.012165849999988</v>
      </c>
    </row>
    <row r="96" spans="1:15" x14ac:dyDescent="0.25">
      <c r="A96" s="673" t="s">
        <v>30</v>
      </c>
      <c r="B96" s="15"/>
      <c r="C96" s="3"/>
      <c r="D96" s="3"/>
      <c r="E96" s="3"/>
      <c r="F96" s="588"/>
      <c r="G96" s="577"/>
      <c r="H96" s="628"/>
      <c r="I96" s="683"/>
      <c r="J96" s="471"/>
      <c r="K96" s="575"/>
      <c r="L96" s="665"/>
      <c r="M96" s="709"/>
    </row>
    <row r="97" spans="1:15" x14ac:dyDescent="0.25">
      <c r="A97" s="671"/>
      <c r="B97" s="9" t="s">
        <v>3</v>
      </c>
      <c r="C97" s="9" t="s">
        <v>57</v>
      </c>
      <c r="D97" s="9" t="s">
        <v>291</v>
      </c>
      <c r="E97" s="576">
        <v>0.91</v>
      </c>
      <c r="F97" s="584">
        <v>2.0369999999999999</v>
      </c>
      <c r="G97" s="574">
        <f t="shared" si="17"/>
        <v>2.2454054699999997</v>
      </c>
      <c r="H97" s="629">
        <v>43020</v>
      </c>
      <c r="I97" s="657">
        <v>3.5</v>
      </c>
      <c r="J97" s="471"/>
      <c r="K97" s="703">
        <v>2.677</v>
      </c>
      <c r="L97" s="665">
        <f t="shared" si="13"/>
        <v>0.7648571428571429</v>
      </c>
      <c r="M97" s="709">
        <f t="shared" si="12"/>
        <v>2.9508838699999997</v>
      </c>
    </row>
    <row r="98" spans="1:15" x14ac:dyDescent="0.25">
      <c r="A98" s="670"/>
      <c r="B98" s="9" t="s">
        <v>3</v>
      </c>
      <c r="C98" s="9" t="s">
        <v>51</v>
      </c>
      <c r="D98" s="9" t="s">
        <v>292</v>
      </c>
      <c r="E98" s="576">
        <v>2.79</v>
      </c>
      <c r="F98" s="584">
        <v>7.0750000000000002</v>
      </c>
      <c r="G98" s="574">
        <f t="shared" si="17"/>
        <v>7.7988432499999991</v>
      </c>
      <c r="H98" s="629">
        <v>43020</v>
      </c>
      <c r="I98" s="657">
        <v>9</v>
      </c>
      <c r="J98" s="471"/>
      <c r="K98" s="703">
        <v>10.407</v>
      </c>
      <c r="L98" s="665">
        <f t="shared" si="13"/>
        <v>1.1563333333333334</v>
      </c>
      <c r="M98" s="709">
        <f t="shared" si="12"/>
        <v>11.471740169999999</v>
      </c>
    </row>
    <row r="99" spans="1:15" x14ac:dyDescent="0.25">
      <c r="A99" s="671"/>
      <c r="B99" s="123" t="s">
        <v>3</v>
      </c>
      <c r="C99" s="123" t="s">
        <v>208</v>
      </c>
      <c r="D99" s="123" t="s">
        <v>293</v>
      </c>
      <c r="E99" s="620">
        <v>4.33</v>
      </c>
      <c r="F99" s="584">
        <v>15.206</v>
      </c>
      <c r="G99" s="574">
        <f t="shared" si="17"/>
        <v>16.761725859999999</v>
      </c>
      <c r="H99" s="629">
        <v>43020</v>
      </c>
      <c r="I99" s="657">
        <v>10.7</v>
      </c>
      <c r="J99" s="471"/>
      <c r="K99" s="703">
        <f>7+2.714+1.229</f>
        <v>10.943000000000001</v>
      </c>
      <c r="L99" s="665">
        <f t="shared" si="13"/>
        <v>1.0227102803738319</v>
      </c>
      <c r="M99" s="709">
        <f t="shared" si="12"/>
        <v>12.062578330000001</v>
      </c>
    </row>
    <row r="100" spans="1:15" x14ac:dyDescent="0.25">
      <c r="A100" s="670"/>
      <c r="B100" s="572" t="s">
        <v>3</v>
      </c>
      <c r="C100" s="572" t="s">
        <v>65</v>
      </c>
      <c r="D100" s="572" t="s">
        <v>316</v>
      </c>
      <c r="E100" s="621">
        <v>4.92</v>
      </c>
      <c r="F100" s="584">
        <v>14.496</v>
      </c>
      <c r="G100" s="574">
        <f t="shared" si="17"/>
        <v>15.979085759999998</v>
      </c>
      <c r="H100" s="629">
        <v>43021</v>
      </c>
      <c r="I100" s="657">
        <v>15</v>
      </c>
      <c r="J100" s="471"/>
      <c r="K100" s="703">
        <f>12.781+6.19</f>
        <v>18.971</v>
      </c>
      <c r="L100" s="665">
        <f t="shared" si="13"/>
        <v>1.2647333333333333</v>
      </c>
      <c r="M100" s="709">
        <f t="shared" si="12"/>
        <v>20.911923009999999</v>
      </c>
      <c r="O100" s="693">
        <f>SUM(M97:M100)</f>
        <v>47.397125379999999</v>
      </c>
    </row>
    <row r="101" spans="1:15" ht="15.75" thickBot="1" x14ac:dyDescent="0.3">
      <c r="A101" s="670"/>
      <c r="B101" s="9" t="s">
        <v>7</v>
      </c>
      <c r="C101" s="9" t="s">
        <v>206</v>
      </c>
      <c r="D101" s="9" t="s">
        <v>294</v>
      </c>
      <c r="E101" s="622">
        <v>3</v>
      </c>
      <c r="F101" s="585">
        <v>9.9540000000000006</v>
      </c>
      <c r="G101" s="596">
        <f t="shared" si="17"/>
        <v>10.972393739999999</v>
      </c>
      <c r="H101" s="632">
        <v>43008</v>
      </c>
      <c r="I101" s="658">
        <v>5</v>
      </c>
      <c r="J101" s="471"/>
      <c r="K101" s="703">
        <v>4.085</v>
      </c>
      <c r="L101" s="665">
        <f t="shared" si="13"/>
        <v>0.81699999999999995</v>
      </c>
      <c r="M101" s="709">
        <f t="shared" si="12"/>
        <v>4.5029363499999997</v>
      </c>
    </row>
    <row r="102" spans="1:15" ht="15.75" thickTop="1" x14ac:dyDescent="0.25">
      <c r="A102" s="672"/>
      <c r="B102" s="25"/>
      <c r="C102" s="591" t="s">
        <v>118</v>
      </c>
      <c r="D102" s="123"/>
      <c r="E102" s="605">
        <f>SUM(E97:E101)</f>
        <v>15.950000000000001</v>
      </c>
      <c r="F102" s="586">
        <f>SUM(F97:F101)</f>
        <v>48.768000000000001</v>
      </c>
      <c r="G102" s="598">
        <f t="shared" si="17"/>
        <v>53.757454079999995</v>
      </c>
      <c r="H102" s="490"/>
      <c r="I102" s="519">
        <f>SUM(I97:I101)</f>
        <v>43.2</v>
      </c>
      <c r="J102" s="519">
        <f t="shared" ref="J102" si="20">SUM(J97:J101)</f>
        <v>0</v>
      </c>
      <c r="K102" s="547">
        <f>SUM(K97:K101)</f>
        <v>47.083000000000006</v>
      </c>
      <c r="L102" s="691">
        <f>K102/I102</f>
        <v>1.0898842592592592</v>
      </c>
      <c r="M102" s="711">
        <f t="shared" si="12"/>
        <v>51.900061730000004</v>
      </c>
    </row>
    <row r="103" spans="1:15" x14ac:dyDescent="0.25">
      <c r="A103" s="669" t="s">
        <v>33</v>
      </c>
      <c r="B103" s="15"/>
      <c r="C103" s="15"/>
      <c r="D103" s="15"/>
      <c r="E103" s="580"/>
      <c r="F103" s="588"/>
      <c r="G103" s="577"/>
      <c r="H103" s="628"/>
      <c r="I103" s="683"/>
      <c r="J103" s="471"/>
      <c r="K103" s="575"/>
      <c r="L103" s="665"/>
      <c r="M103" s="709"/>
    </row>
    <row r="104" spans="1:15" x14ac:dyDescent="0.25">
      <c r="A104" s="671"/>
      <c r="B104" s="72" t="s">
        <v>3</v>
      </c>
      <c r="C104" s="72" t="s">
        <v>52</v>
      </c>
      <c r="D104" s="9" t="s">
        <v>295</v>
      </c>
      <c r="E104" s="576">
        <v>1.79</v>
      </c>
      <c r="F104" s="584">
        <v>7.0759999999999996</v>
      </c>
      <c r="G104" s="574">
        <f t="shared" si="17"/>
        <v>7.7999455599999985</v>
      </c>
      <c r="H104" s="629">
        <v>42999</v>
      </c>
      <c r="I104" s="657">
        <v>5.7</v>
      </c>
      <c r="J104" s="471"/>
      <c r="K104" s="703">
        <v>6.1769999999999996</v>
      </c>
      <c r="L104" s="665">
        <f t="shared" si="13"/>
        <v>1.0836842105263156</v>
      </c>
      <c r="M104" s="709">
        <f t="shared" si="12"/>
        <v>6.8089688699999993</v>
      </c>
    </row>
    <row r="105" spans="1:15" x14ac:dyDescent="0.25">
      <c r="A105" s="671"/>
      <c r="B105" s="72" t="s">
        <v>3</v>
      </c>
      <c r="C105" s="72" t="s">
        <v>32</v>
      </c>
      <c r="D105" s="9" t="s">
        <v>296</v>
      </c>
      <c r="E105" s="576">
        <v>2.4700000000000002</v>
      </c>
      <c r="F105" s="584">
        <v>8.8469999999999995</v>
      </c>
      <c r="G105" s="574">
        <f t="shared" si="17"/>
        <v>9.7521365699999993</v>
      </c>
      <c r="H105" s="629">
        <v>42999</v>
      </c>
      <c r="I105" s="657">
        <v>9.4</v>
      </c>
      <c r="J105" s="471"/>
      <c r="K105" s="703">
        <v>6.2469999999999999</v>
      </c>
      <c r="L105" s="665">
        <f t="shared" si="13"/>
        <v>0.66457446808510634</v>
      </c>
      <c r="M105" s="709">
        <f t="shared" si="12"/>
        <v>6.8861305699999988</v>
      </c>
    </row>
    <row r="106" spans="1:15" x14ac:dyDescent="0.25">
      <c r="A106" s="671"/>
      <c r="B106" s="9" t="s">
        <v>3</v>
      </c>
      <c r="C106" s="9" t="s">
        <v>209</v>
      </c>
      <c r="D106" s="9" t="s">
        <v>297</v>
      </c>
      <c r="E106" s="576">
        <v>2.4300000000000002</v>
      </c>
      <c r="F106" s="584">
        <v>10.4</v>
      </c>
      <c r="G106" s="574">
        <f t="shared" si="17"/>
        <v>11.464024</v>
      </c>
      <c r="H106" s="629">
        <v>43008</v>
      </c>
      <c r="I106" s="657">
        <v>11.3</v>
      </c>
      <c r="J106" s="471"/>
      <c r="K106" s="703">
        <f>4.767+1.702+4.351</f>
        <v>10.82</v>
      </c>
      <c r="L106" s="665">
        <f t="shared" si="13"/>
        <v>0.95752212389380531</v>
      </c>
      <c r="M106" s="709">
        <f t="shared" si="12"/>
        <v>11.926994199999999</v>
      </c>
    </row>
    <row r="107" spans="1:15" x14ac:dyDescent="0.25">
      <c r="A107" s="671"/>
      <c r="B107" s="9" t="s">
        <v>3</v>
      </c>
      <c r="C107" s="9" t="s">
        <v>68</v>
      </c>
      <c r="D107" s="9" t="s">
        <v>298</v>
      </c>
      <c r="E107" s="576">
        <v>0.56999999999999995</v>
      </c>
      <c r="F107" s="584">
        <v>2.5670000000000002</v>
      </c>
      <c r="G107" s="574">
        <f t="shared" si="17"/>
        <v>2.8296297699999999</v>
      </c>
      <c r="H107" s="629">
        <v>43008</v>
      </c>
      <c r="I107" s="657">
        <v>2.8</v>
      </c>
      <c r="J107" s="471"/>
      <c r="K107" s="703">
        <v>2.1160000000000001</v>
      </c>
      <c r="L107" s="665">
        <f t="shared" si="13"/>
        <v>0.75571428571428578</v>
      </c>
      <c r="M107" s="709">
        <f t="shared" si="12"/>
        <v>2.3324879599999999</v>
      </c>
    </row>
    <row r="108" spans="1:15" x14ac:dyDescent="0.25">
      <c r="A108" s="671"/>
      <c r="B108" s="9" t="s">
        <v>3</v>
      </c>
      <c r="C108" s="72" t="s">
        <v>69</v>
      </c>
      <c r="D108" s="9" t="s">
        <v>299</v>
      </c>
      <c r="E108" s="576">
        <v>0.9</v>
      </c>
      <c r="F108" s="584">
        <v>3.5329999999999999</v>
      </c>
      <c r="G108" s="574">
        <f t="shared" si="17"/>
        <v>3.8944612299999997</v>
      </c>
      <c r="H108" s="629">
        <v>42992</v>
      </c>
      <c r="I108" s="657">
        <v>3.3</v>
      </c>
      <c r="J108" s="471"/>
      <c r="K108" s="703">
        <v>3.036</v>
      </c>
      <c r="L108" s="665">
        <f t="shared" si="13"/>
        <v>0.92</v>
      </c>
      <c r="M108" s="709">
        <f t="shared" si="12"/>
        <v>3.3466131599999995</v>
      </c>
    </row>
    <row r="109" spans="1:15" x14ac:dyDescent="0.25">
      <c r="A109" s="671"/>
      <c r="B109" s="9" t="s">
        <v>3</v>
      </c>
      <c r="C109" s="9" t="s">
        <v>70</v>
      </c>
      <c r="D109" s="9" t="s">
        <v>300</v>
      </c>
      <c r="E109" s="576">
        <v>2.68</v>
      </c>
      <c r="F109" s="584">
        <v>11.69</v>
      </c>
      <c r="G109" s="574">
        <f t="shared" si="17"/>
        <v>12.886003899999999</v>
      </c>
      <c r="H109" s="629">
        <v>42997</v>
      </c>
      <c r="I109" s="657">
        <v>12</v>
      </c>
      <c r="J109" s="471"/>
      <c r="K109" s="703">
        <v>11.135</v>
      </c>
      <c r="L109" s="665">
        <f t="shared" si="13"/>
        <v>0.92791666666666661</v>
      </c>
      <c r="M109" s="709">
        <f t="shared" si="12"/>
        <v>12.274221849999998</v>
      </c>
    </row>
    <row r="110" spans="1:15" x14ac:dyDescent="0.25">
      <c r="A110" s="670"/>
      <c r="B110" s="9" t="s">
        <v>3</v>
      </c>
      <c r="C110" s="9" t="s">
        <v>210</v>
      </c>
      <c r="D110" s="9" t="s">
        <v>326</v>
      </c>
      <c r="E110" s="576">
        <v>3.41</v>
      </c>
      <c r="F110" s="584">
        <v>3.1120000000000001</v>
      </c>
      <c r="G110" s="574">
        <f t="shared" si="17"/>
        <v>3.4303887199999998</v>
      </c>
      <c r="H110" s="629">
        <v>42997</v>
      </c>
      <c r="I110" s="657">
        <v>3.3</v>
      </c>
      <c r="J110" s="471"/>
      <c r="K110" s="703">
        <v>3.008</v>
      </c>
      <c r="L110" s="665">
        <f t="shared" si="13"/>
        <v>0.91151515151515161</v>
      </c>
      <c r="M110" s="709">
        <f t="shared" si="12"/>
        <v>3.3157484799999999</v>
      </c>
    </row>
    <row r="111" spans="1:15" x14ac:dyDescent="0.25">
      <c r="A111" s="670"/>
      <c r="B111" s="9"/>
      <c r="C111" s="9"/>
      <c r="D111" s="9" t="s">
        <v>328</v>
      </c>
      <c r="E111" s="576"/>
      <c r="F111" s="584">
        <v>4.0190000000000001</v>
      </c>
      <c r="G111" s="574">
        <f t="shared" si="17"/>
        <v>4.4301838899999995</v>
      </c>
      <c r="H111" s="629">
        <v>42997</v>
      </c>
      <c r="I111" s="657">
        <v>4.4000000000000004</v>
      </c>
      <c r="J111" s="471"/>
      <c r="K111" s="703">
        <v>3.1459999999999999</v>
      </c>
      <c r="L111" s="665">
        <f t="shared" si="13"/>
        <v>0.71499999999999997</v>
      </c>
      <c r="M111" s="709">
        <f t="shared" si="12"/>
        <v>3.4678672599999998</v>
      </c>
    </row>
    <row r="112" spans="1:15" x14ac:dyDescent="0.25">
      <c r="A112" s="670"/>
      <c r="B112" s="9"/>
      <c r="C112" s="9"/>
      <c r="D112" s="9" t="s">
        <v>327</v>
      </c>
      <c r="E112" s="576"/>
      <c r="F112" s="584">
        <v>4.97</v>
      </c>
      <c r="G112" s="574">
        <f t="shared" si="17"/>
        <v>5.4784806999999995</v>
      </c>
      <c r="H112" s="629">
        <v>42996</v>
      </c>
      <c r="I112" s="657">
        <v>5.5</v>
      </c>
      <c r="J112" s="471"/>
      <c r="K112" s="703">
        <v>5.2759999999999998</v>
      </c>
      <c r="L112" s="665">
        <f t="shared" si="13"/>
        <v>0.95927272727272728</v>
      </c>
      <c r="M112" s="709">
        <f t="shared" si="12"/>
        <v>5.8157875599999995</v>
      </c>
    </row>
    <row r="113" spans="1:15" x14ac:dyDescent="0.25">
      <c r="A113" s="671"/>
      <c r="B113" s="9" t="s">
        <v>3</v>
      </c>
      <c r="C113" s="9" t="s">
        <v>74</v>
      </c>
      <c r="D113" s="9" t="s">
        <v>301</v>
      </c>
      <c r="E113" s="576">
        <v>1.72</v>
      </c>
      <c r="F113" s="584">
        <v>7.1520000000000001</v>
      </c>
      <c r="G113" s="574">
        <f t="shared" si="17"/>
        <v>7.8837211199999997</v>
      </c>
      <c r="H113" s="629">
        <v>43018</v>
      </c>
      <c r="I113" s="657">
        <v>6.8</v>
      </c>
      <c r="J113" s="471"/>
      <c r="K113" s="703">
        <v>6.9589999999999996</v>
      </c>
      <c r="L113" s="665">
        <f t="shared" si="13"/>
        <v>1.0233823529411765</v>
      </c>
      <c r="M113" s="709">
        <f t="shared" si="12"/>
        <v>7.6709752899999986</v>
      </c>
    </row>
    <row r="114" spans="1:15" x14ac:dyDescent="0.25">
      <c r="A114" s="670"/>
      <c r="B114" s="9" t="s">
        <v>3</v>
      </c>
      <c r="C114" s="9" t="s">
        <v>75</v>
      </c>
      <c r="D114" s="9" t="s">
        <v>302</v>
      </c>
      <c r="E114" s="576">
        <v>1.57</v>
      </c>
      <c r="F114" s="584">
        <v>4.548</v>
      </c>
      <c r="G114" s="574">
        <f t="shared" si="17"/>
        <v>5.0133058799999999</v>
      </c>
      <c r="H114" s="629">
        <v>42997</v>
      </c>
      <c r="I114" s="657">
        <v>5</v>
      </c>
      <c r="J114" s="471"/>
      <c r="K114" s="703">
        <v>4.3929999999999998</v>
      </c>
      <c r="L114" s="665">
        <f t="shared" si="13"/>
        <v>0.87859999999999994</v>
      </c>
      <c r="M114" s="709">
        <f t="shared" si="12"/>
        <v>4.8424478299999993</v>
      </c>
    </row>
    <row r="115" spans="1:15" x14ac:dyDescent="0.25">
      <c r="A115" s="671"/>
      <c r="B115" s="9" t="s">
        <v>3</v>
      </c>
      <c r="C115" s="9" t="s">
        <v>211</v>
      </c>
      <c r="D115" s="9" t="s">
        <v>335</v>
      </c>
      <c r="E115" s="576">
        <v>2.5099999999999998</v>
      </c>
      <c r="F115" s="584">
        <v>5.92</v>
      </c>
      <c r="G115" s="574">
        <f t="shared" si="17"/>
        <v>6.5256751999999993</v>
      </c>
      <c r="H115" s="629">
        <v>43008</v>
      </c>
      <c r="I115" s="657">
        <v>6</v>
      </c>
      <c r="J115" s="471"/>
      <c r="K115" s="703">
        <f>1.874+2.911+0.097</f>
        <v>4.8820000000000006</v>
      </c>
      <c r="L115" s="665">
        <f t="shared" si="13"/>
        <v>0.81366666666666676</v>
      </c>
      <c r="M115" s="709">
        <f t="shared" si="12"/>
        <v>5.3814774200000004</v>
      </c>
    </row>
    <row r="116" spans="1:15" x14ac:dyDescent="0.25">
      <c r="A116" s="671"/>
      <c r="B116" s="9"/>
      <c r="C116" s="9"/>
      <c r="D116" s="9" t="s">
        <v>334</v>
      </c>
      <c r="E116" s="576"/>
      <c r="F116" s="584">
        <v>6.2869999999999999</v>
      </c>
      <c r="G116" s="574">
        <f t="shared" si="17"/>
        <v>6.9302229699999991</v>
      </c>
      <c r="H116" s="629">
        <v>43018</v>
      </c>
      <c r="I116" s="657">
        <v>6</v>
      </c>
      <c r="J116" s="471"/>
      <c r="K116" s="703">
        <f>2.337+1.465</f>
        <v>3.8020000000000005</v>
      </c>
      <c r="L116" s="665">
        <f t="shared" si="13"/>
        <v>0.63366666666666671</v>
      </c>
      <c r="M116" s="709">
        <f t="shared" si="12"/>
        <v>4.1909826199999998</v>
      </c>
      <c r="O116" s="693">
        <f>SUM(M104:M116)</f>
        <v>78.260703069999991</v>
      </c>
    </row>
    <row r="117" spans="1:15" x14ac:dyDescent="0.25">
      <c r="A117" s="671"/>
      <c r="B117" s="9" t="s">
        <v>86</v>
      </c>
      <c r="C117" s="9" t="s">
        <v>213</v>
      </c>
      <c r="D117" s="9" t="s">
        <v>303</v>
      </c>
      <c r="E117" s="576">
        <v>2.71</v>
      </c>
      <c r="F117" s="584">
        <v>7.04</v>
      </c>
      <c r="G117" s="574">
        <f t="shared" si="17"/>
        <v>7.7602623999999993</v>
      </c>
      <c r="H117" s="629">
        <v>43018</v>
      </c>
      <c r="I117" s="657">
        <v>9.6999999999999993</v>
      </c>
      <c r="J117" s="471"/>
      <c r="K117" s="703">
        <v>8.4</v>
      </c>
      <c r="L117" s="665">
        <f t="shared" si="13"/>
        <v>0.86597938144329911</v>
      </c>
      <c r="M117" s="709">
        <f t="shared" si="12"/>
        <v>9.259404</v>
      </c>
    </row>
    <row r="118" spans="1:15" x14ac:dyDescent="0.25">
      <c r="A118" s="670"/>
      <c r="B118" s="9" t="s">
        <v>86</v>
      </c>
      <c r="C118" s="9" t="s">
        <v>214</v>
      </c>
      <c r="D118" s="9" t="s">
        <v>332</v>
      </c>
      <c r="E118" s="576">
        <v>1.04</v>
      </c>
      <c r="F118" s="584">
        <v>3.996</v>
      </c>
      <c r="G118" s="574">
        <f t="shared" si="17"/>
        <v>4.4048307599999994</v>
      </c>
      <c r="H118" s="629">
        <v>42992</v>
      </c>
      <c r="I118" s="657">
        <v>4.0999999999999996</v>
      </c>
      <c r="J118" s="471"/>
      <c r="K118" s="703">
        <v>3.8959999999999999</v>
      </c>
      <c r="L118" s="665">
        <f t="shared" si="13"/>
        <v>0.95024390243902446</v>
      </c>
      <c r="M118" s="709">
        <f t="shared" si="12"/>
        <v>4.2945997599999997</v>
      </c>
    </row>
    <row r="119" spans="1:15" x14ac:dyDescent="0.25">
      <c r="A119" s="671"/>
      <c r="B119" s="9" t="s">
        <v>86</v>
      </c>
      <c r="C119" s="9" t="s">
        <v>221</v>
      </c>
      <c r="D119" s="9" t="s">
        <v>304</v>
      </c>
      <c r="E119" s="576">
        <v>1.31</v>
      </c>
      <c r="F119" s="584">
        <v>5.4210000000000003</v>
      </c>
      <c r="G119" s="574">
        <f t="shared" si="17"/>
        <v>5.97562251</v>
      </c>
      <c r="H119" s="629">
        <v>43004</v>
      </c>
      <c r="I119" s="657">
        <v>5.5</v>
      </c>
      <c r="J119" s="471"/>
      <c r="K119" s="703">
        <v>4.3</v>
      </c>
      <c r="L119" s="665">
        <f t="shared" si="13"/>
        <v>0.78181818181818175</v>
      </c>
      <c r="M119" s="709">
        <f t="shared" si="12"/>
        <v>4.7399329999999997</v>
      </c>
    </row>
    <row r="120" spans="1:15" x14ac:dyDescent="0.25">
      <c r="A120" s="671"/>
      <c r="B120" s="9" t="s">
        <v>86</v>
      </c>
      <c r="C120" s="9" t="s">
        <v>222</v>
      </c>
      <c r="D120" s="9" t="s">
        <v>325</v>
      </c>
      <c r="E120" s="576">
        <v>1.7</v>
      </c>
      <c r="F120" s="584">
        <v>3.0609999999999999</v>
      </c>
      <c r="G120" s="574">
        <f t="shared" si="17"/>
        <v>3.3741709099999997</v>
      </c>
      <c r="H120" s="629">
        <v>42996</v>
      </c>
      <c r="I120" s="657">
        <v>7.3</v>
      </c>
      <c r="J120" s="471"/>
      <c r="K120" s="703">
        <v>3.4169999999999998</v>
      </c>
      <c r="L120" s="665">
        <f t="shared" si="13"/>
        <v>0.46808219178082189</v>
      </c>
      <c r="M120" s="709">
        <f t="shared" si="12"/>
        <v>3.7665932699999995</v>
      </c>
    </row>
    <row r="121" spans="1:15" x14ac:dyDescent="0.25">
      <c r="A121" s="671"/>
      <c r="B121" s="9"/>
      <c r="C121" s="9"/>
      <c r="D121" s="9" t="s">
        <v>324</v>
      </c>
      <c r="E121" s="576"/>
      <c r="F121" s="584">
        <v>1.9410000000000001</v>
      </c>
      <c r="G121" s="574">
        <f t="shared" si="17"/>
        <v>2.1395837099999997</v>
      </c>
      <c r="H121" s="629">
        <v>43004</v>
      </c>
      <c r="I121" s="657">
        <v>1.4</v>
      </c>
      <c r="J121" s="471"/>
      <c r="K121" s="703">
        <f>0.846+0.493</f>
        <v>1.339</v>
      </c>
      <c r="L121" s="665">
        <f t="shared" si="13"/>
        <v>0.95642857142857152</v>
      </c>
      <c r="M121" s="709">
        <f t="shared" si="12"/>
        <v>1.4759930899999998</v>
      </c>
      <c r="O121" s="693">
        <f>SUM(M117:M121)</f>
        <v>23.536523120000002</v>
      </c>
    </row>
    <row r="122" spans="1:15" x14ac:dyDescent="0.25">
      <c r="A122" s="670"/>
      <c r="B122" s="9"/>
      <c r="C122" s="9" t="s">
        <v>195</v>
      </c>
      <c r="D122" s="9" t="s">
        <v>305</v>
      </c>
      <c r="E122" s="576">
        <v>5.5</v>
      </c>
      <c r="F122" s="630">
        <v>4.0819999999999999</v>
      </c>
      <c r="G122" s="574">
        <f t="shared" si="17"/>
        <v>4.4996294199999998</v>
      </c>
      <c r="H122" s="631">
        <v>42998</v>
      </c>
      <c r="I122" s="657">
        <v>7.9</v>
      </c>
      <c r="J122" s="471"/>
      <c r="K122" s="703">
        <v>7.1609999999999996</v>
      </c>
      <c r="L122" s="665">
        <f t="shared" si="13"/>
        <v>0.90645569620253152</v>
      </c>
      <c r="M122" s="709">
        <f t="shared" si="12"/>
        <v>7.8936419099999986</v>
      </c>
    </row>
    <row r="123" spans="1:15" x14ac:dyDescent="0.25">
      <c r="A123" s="670"/>
      <c r="B123" s="9"/>
      <c r="C123" s="9" t="s">
        <v>194</v>
      </c>
      <c r="D123" s="9" t="s">
        <v>306</v>
      </c>
      <c r="E123" s="576">
        <v>5.5</v>
      </c>
      <c r="F123" s="584">
        <v>11.278</v>
      </c>
      <c r="G123" s="574">
        <f t="shared" si="17"/>
        <v>12.43185218</v>
      </c>
      <c r="H123" s="629">
        <v>42998</v>
      </c>
      <c r="I123" s="657">
        <v>10.1</v>
      </c>
      <c r="J123" s="471"/>
      <c r="K123" s="703">
        <v>9.4309999999999992</v>
      </c>
      <c r="L123" s="665">
        <f t="shared" si="13"/>
        <v>0.9337623762376237</v>
      </c>
      <c r="M123" s="709">
        <f t="shared" si="12"/>
        <v>10.395885609999999</v>
      </c>
    </row>
    <row r="124" spans="1:15" x14ac:dyDescent="0.25">
      <c r="A124" s="671"/>
      <c r="B124" s="18" t="s">
        <v>7</v>
      </c>
      <c r="C124" s="18" t="s">
        <v>46</v>
      </c>
      <c r="D124" s="9" t="s">
        <v>307</v>
      </c>
      <c r="E124" s="576">
        <v>5.0999999999999996</v>
      </c>
      <c r="F124" s="584">
        <v>26.939</v>
      </c>
      <c r="G124" s="574">
        <f t="shared" si="17"/>
        <v>29.695129089999998</v>
      </c>
      <c r="H124" s="629">
        <v>43014</v>
      </c>
      <c r="I124" s="657">
        <v>20</v>
      </c>
      <c r="J124" s="471"/>
      <c r="K124" s="703">
        <v>11.047000000000001</v>
      </c>
      <c r="L124" s="665">
        <f t="shared" si="13"/>
        <v>0.55235000000000001</v>
      </c>
      <c r="M124" s="709">
        <f t="shared" si="12"/>
        <v>12.177218569999999</v>
      </c>
    </row>
    <row r="125" spans="1:15" x14ac:dyDescent="0.25">
      <c r="A125" s="671"/>
      <c r="B125" s="18" t="s">
        <v>7</v>
      </c>
      <c r="C125" s="18" t="s">
        <v>42</v>
      </c>
      <c r="D125" s="9" t="s">
        <v>308</v>
      </c>
      <c r="E125" s="576">
        <v>4</v>
      </c>
      <c r="F125" s="584">
        <v>17.166</v>
      </c>
      <c r="G125" s="574">
        <f t="shared" si="17"/>
        <v>18.92225346</v>
      </c>
      <c r="H125" s="629">
        <v>43015</v>
      </c>
      <c r="I125" s="657">
        <v>20</v>
      </c>
      <c r="J125" s="471"/>
      <c r="K125" s="703">
        <v>14.403</v>
      </c>
      <c r="L125" s="665">
        <f t="shared" si="13"/>
        <v>0.72015000000000007</v>
      </c>
      <c r="M125" s="709">
        <f t="shared" si="12"/>
        <v>15.87657093</v>
      </c>
    </row>
    <row r="126" spans="1:15" ht="15.75" thickBot="1" x14ac:dyDescent="0.3">
      <c r="A126" s="671"/>
      <c r="B126" s="18" t="s">
        <v>7</v>
      </c>
      <c r="C126" s="18" t="s">
        <v>47</v>
      </c>
      <c r="D126" s="9" t="s">
        <v>309</v>
      </c>
      <c r="E126" s="581">
        <v>4.5</v>
      </c>
      <c r="F126" s="585">
        <v>24.36</v>
      </c>
      <c r="G126" s="596">
        <f t="shared" si="17"/>
        <v>26.852271599999998</v>
      </c>
      <c r="H126" s="632">
        <v>43015</v>
      </c>
      <c r="I126" s="657">
        <v>16.600000000000001</v>
      </c>
      <c r="J126" s="471"/>
      <c r="K126" s="703">
        <v>23.257000000000001</v>
      </c>
      <c r="L126" s="665">
        <f t="shared" si="13"/>
        <v>1.401024096385542</v>
      </c>
      <c r="M126" s="709">
        <f t="shared" si="12"/>
        <v>25.636423669999999</v>
      </c>
    </row>
    <row r="127" spans="1:15" ht="15.75" thickTop="1" x14ac:dyDescent="0.25">
      <c r="A127" s="672"/>
      <c r="B127" s="25"/>
      <c r="C127" s="591" t="s">
        <v>118</v>
      </c>
      <c r="D127" s="123"/>
      <c r="E127" s="605">
        <f>SUM(E104:E126)</f>
        <v>51.41</v>
      </c>
      <c r="F127" s="586">
        <f>SUM(F104:F126)</f>
        <v>185.40500000000003</v>
      </c>
      <c r="G127" s="598">
        <f t="shared" si="17"/>
        <v>204.37378555000001</v>
      </c>
      <c r="H127" s="490"/>
      <c r="I127" s="519">
        <f>SUM(I104:I126)</f>
        <v>184.1</v>
      </c>
      <c r="J127" s="519">
        <f t="shared" ref="J127" si="21">SUM(J104:J126)</f>
        <v>0</v>
      </c>
      <c r="K127" s="547">
        <f>SUM(K104:K126)</f>
        <v>157.64800000000002</v>
      </c>
      <c r="L127" s="691">
        <f>K127/I127</f>
        <v>0.85631721890277035</v>
      </c>
      <c r="M127" s="711">
        <f t="shared" si="12"/>
        <v>173.77696688</v>
      </c>
    </row>
    <row r="128" spans="1:15" x14ac:dyDescent="0.25">
      <c r="A128" s="669" t="s">
        <v>34</v>
      </c>
      <c r="B128" s="15"/>
      <c r="C128" s="3"/>
      <c r="D128" s="3"/>
      <c r="E128" s="3"/>
      <c r="F128" s="588"/>
      <c r="G128" s="577"/>
      <c r="H128" s="628"/>
      <c r="I128" s="683"/>
      <c r="J128" s="471"/>
      <c r="K128" s="575"/>
      <c r="L128" s="665"/>
      <c r="M128" s="709"/>
    </row>
    <row r="129" spans="1:13" x14ac:dyDescent="0.25">
      <c r="A129" s="671"/>
      <c r="B129" s="9" t="s">
        <v>3</v>
      </c>
      <c r="C129" s="9" t="s">
        <v>50</v>
      </c>
      <c r="D129" s="9" t="s">
        <v>310</v>
      </c>
      <c r="E129" s="576">
        <v>2.69</v>
      </c>
      <c r="F129" s="584">
        <v>6.1829999999999998</v>
      </c>
      <c r="G129" s="574">
        <f t="shared" si="17"/>
        <v>6.8155827299999991</v>
      </c>
      <c r="H129" s="629">
        <v>43004</v>
      </c>
      <c r="I129" s="657">
        <v>7.9</v>
      </c>
      <c r="J129" s="471"/>
      <c r="K129" s="703">
        <v>8.0269999999999992</v>
      </c>
      <c r="L129" s="665">
        <f t="shared" si="13"/>
        <v>1.0160759493670886</v>
      </c>
      <c r="M129" s="709">
        <f t="shared" si="12"/>
        <v>8.8482423699999977</v>
      </c>
    </row>
    <row r="130" spans="1:13" x14ac:dyDescent="0.25">
      <c r="A130" s="671"/>
      <c r="B130" s="9" t="s">
        <v>6</v>
      </c>
      <c r="C130" s="9" t="s">
        <v>38</v>
      </c>
      <c r="D130" s="9" t="s">
        <v>311</v>
      </c>
      <c r="E130" s="576">
        <v>0.8</v>
      </c>
      <c r="F130" s="584">
        <v>0.80500000000000005</v>
      </c>
      <c r="G130" s="574">
        <f t="shared" si="17"/>
        <v>0.88735955</v>
      </c>
      <c r="H130" s="629">
        <v>43020</v>
      </c>
      <c r="I130" s="657">
        <v>3</v>
      </c>
      <c r="J130" s="471"/>
      <c r="K130" s="703">
        <v>3.4460000000000002</v>
      </c>
      <c r="L130" s="665">
        <f t="shared" si="13"/>
        <v>1.1486666666666667</v>
      </c>
      <c r="M130" s="709">
        <f t="shared" si="12"/>
        <v>3.7985602599999999</v>
      </c>
    </row>
    <row r="131" spans="1:13" ht="15.75" thickBot="1" x14ac:dyDescent="0.3">
      <c r="A131" s="671"/>
      <c r="B131" s="18" t="s">
        <v>7</v>
      </c>
      <c r="C131" s="18" t="s">
        <v>205</v>
      </c>
      <c r="D131" s="9" t="s">
        <v>312</v>
      </c>
      <c r="E131" s="583">
        <v>1.5</v>
      </c>
      <c r="F131" s="585">
        <v>8.5749999999999993</v>
      </c>
      <c r="G131" s="596">
        <f t="shared" si="17"/>
        <v>9.452308249999998</v>
      </c>
      <c r="H131" s="632">
        <v>43032</v>
      </c>
      <c r="I131" s="686">
        <v>0</v>
      </c>
      <c r="J131" s="471"/>
      <c r="K131" s="575"/>
      <c r="L131" s="665"/>
      <c r="M131" s="709"/>
    </row>
    <row r="132" spans="1:13" ht="15.75" thickTop="1" x14ac:dyDescent="0.25">
      <c r="A132" s="671"/>
      <c r="B132" s="8"/>
      <c r="C132" s="79" t="s">
        <v>9</v>
      </c>
      <c r="D132" s="9"/>
      <c r="E132" s="619">
        <f>SUM(E129:E131)</f>
        <v>4.99</v>
      </c>
      <c r="F132" s="587">
        <f>SUM(F129:F131)</f>
        <v>15.562999999999999</v>
      </c>
      <c r="G132" s="599">
        <f t="shared" si="17"/>
        <v>17.155250529999996</v>
      </c>
      <c r="H132" s="549"/>
      <c r="I132" s="519">
        <f>SUM(I129:I131)</f>
        <v>10.9</v>
      </c>
      <c r="J132" s="519">
        <f t="shared" ref="J132" si="22">SUM(J129:J131)</f>
        <v>0</v>
      </c>
      <c r="K132" s="547">
        <f>SUM(K129:K131)</f>
        <v>11.472999999999999</v>
      </c>
      <c r="L132" s="691">
        <f>K132/I132</f>
        <v>1.0525688073394495</v>
      </c>
      <c r="M132" s="711">
        <f t="shared" si="12"/>
        <v>12.646802629999998</v>
      </c>
    </row>
    <row r="133" spans="1:13" ht="15.75" thickBot="1" x14ac:dyDescent="0.3">
      <c r="A133" s="674"/>
      <c r="B133" s="255"/>
      <c r="C133" s="255"/>
      <c r="D133" s="255"/>
      <c r="E133" s="255"/>
      <c r="F133" s="645"/>
      <c r="G133" s="2"/>
      <c r="H133" s="646"/>
      <c r="I133" s="683"/>
      <c r="J133" s="471"/>
      <c r="K133" s="575"/>
      <c r="L133" s="665"/>
      <c r="M133" s="712"/>
    </row>
    <row r="134" spans="1:13" x14ac:dyDescent="0.25">
      <c r="A134" s="675"/>
      <c r="B134" s="471"/>
      <c r="C134" s="471"/>
      <c r="D134" s="471"/>
      <c r="E134" s="471"/>
      <c r="F134" s="647"/>
      <c r="G134" s="471"/>
      <c r="H134" s="648"/>
      <c r="I134" s="589"/>
      <c r="J134" s="697"/>
      <c r="K134" s="589"/>
      <c r="L134" s="699">
        <f>AVERAGE(L4:L18,L21:L24,L27:L29,L32:L39,L41:L42,L45:L48,L51:L58,L61:L67,L70,L72:L73,L76,L78,L80:L84,L87:L90,L93:L94)</f>
        <v>1.0058853093041085</v>
      </c>
      <c r="M134" s="712"/>
    </row>
    <row r="135" spans="1:13" x14ac:dyDescent="0.25">
      <c r="A135" s="675"/>
      <c r="B135" s="471"/>
      <c r="C135" s="471"/>
      <c r="D135" s="471"/>
      <c r="E135" s="43" t="s">
        <v>345</v>
      </c>
      <c r="F135" s="649">
        <f>SUM(F19,F25,F30,F40,F43,F49,F59,F68,F70,F74,F76,F78,F85,F91,F95,F102,F127,F132)</f>
        <v>1104.56</v>
      </c>
      <c r="G135" s="73"/>
      <c r="H135" s="650" t="s">
        <v>345</v>
      </c>
      <c r="I135" s="707">
        <f>SUM(I19,I25,I30,I40,I43,I49,I59,I68,I70,I74,I76,I78,I85,I91,I95,I102,I127,I132)</f>
        <v>1087.2948000000001</v>
      </c>
      <c r="J135" s="648"/>
      <c r="K135" s="707">
        <f>SUM(K19,K25,K30,K40,K43,K49,K59,K68,K70,K74,K76,K78,K85,K91,K95,K102,K127,K132)</f>
        <v>1041.4690000000001</v>
      </c>
      <c r="L135" s="666">
        <f>K135/I135</f>
        <v>0.95785338070227133</v>
      </c>
      <c r="M135" s="712"/>
    </row>
    <row r="136" spans="1:13" ht="15.75" thickBot="1" x14ac:dyDescent="0.3">
      <c r="A136" s="676"/>
      <c r="B136" s="664"/>
      <c r="C136" s="664"/>
      <c r="D136" s="664"/>
      <c r="E136" s="696" t="s">
        <v>346</v>
      </c>
      <c r="F136" s="651">
        <f t="shared" ref="F136" si="23">F135*1.10231</f>
        <v>1217.5675335999999</v>
      </c>
      <c r="G136" s="652"/>
      <c r="H136" s="653" t="s">
        <v>346</v>
      </c>
      <c r="I136" s="708">
        <f>I135*1.10231</f>
        <v>1198.535930988</v>
      </c>
      <c r="J136" s="698"/>
      <c r="K136" s="708">
        <f>K135*1.10231</f>
        <v>1148.0216933899999</v>
      </c>
      <c r="L136" s="700">
        <f>K136/I136</f>
        <v>0.95785338070227122</v>
      </c>
      <c r="M136" s="713">
        <f>SUM(M19,M25,M30,M40,M43,M49,M59,M68,M70,M74,M76,M78,M85,M91,M95,M102,M127,M132)</f>
        <v>1148.0216933899994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6"/>
  <sheetViews>
    <sheetView workbookViewId="0">
      <pane xSplit="4" ySplit="3" topLeftCell="E70" activePane="bottomRight" state="frozen"/>
      <selection pane="topRight" activeCell="E1" sqref="E1"/>
      <selection pane="bottomLeft" activeCell="A4" sqref="A4"/>
      <selection pane="bottomRight" activeCell="I106" sqref="I106"/>
    </sheetView>
  </sheetViews>
  <sheetFormatPr defaultRowHeight="15" x14ac:dyDescent="0.25"/>
  <cols>
    <col min="1" max="1" width="10" style="70" customWidth="1"/>
    <col min="2" max="2" width="16.5703125" style="70" bestFit="1" customWidth="1"/>
    <col min="3" max="3" width="27.7109375" style="70" bestFit="1" customWidth="1"/>
    <col min="4" max="4" width="16" style="70" customWidth="1"/>
    <col min="5" max="5" width="9.140625" style="70" customWidth="1"/>
    <col min="6" max="6" width="20.42578125" style="285" hidden="1" customWidth="1"/>
    <col min="7" max="7" width="17.140625" style="70" hidden="1" customWidth="1"/>
    <col min="8" max="8" width="16" style="70" hidden="1" customWidth="1"/>
    <col min="9" max="9" width="31" style="518" customWidth="1"/>
    <col min="10" max="10" width="25" style="70" customWidth="1"/>
    <col min="11" max="11" width="27.7109375" style="279" customWidth="1"/>
    <col min="12" max="12" width="10.5703125" style="74" customWidth="1"/>
    <col min="13" max="13" width="27.28515625" style="70" customWidth="1"/>
    <col min="14" max="14" width="2.42578125" style="70" customWidth="1"/>
    <col min="15" max="15" width="19.42578125" style="70" customWidth="1"/>
    <col min="16" max="16384" width="9.140625" style="70"/>
  </cols>
  <sheetData>
    <row r="1" spans="1:15" ht="19.5" thickBot="1" x14ac:dyDescent="0.35">
      <c r="A1" s="688"/>
      <c r="B1" s="689"/>
      <c r="C1" s="689"/>
      <c r="D1" s="689"/>
      <c r="E1" s="690"/>
      <c r="F1" s="623">
        <v>2017</v>
      </c>
      <c r="G1" s="624"/>
      <c r="H1" s="625"/>
      <c r="I1" s="623">
        <v>2018</v>
      </c>
      <c r="J1" s="654"/>
      <c r="K1" s="655">
        <v>2018</v>
      </c>
      <c r="L1" s="727"/>
      <c r="M1" s="655">
        <v>2018</v>
      </c>
      <c r="O1" s="701" t="s">
        <v>356</v>
      </c>
    </row>
    <row r="2" spans="1:15" ht="18.75" x14ac:dyDescent="0.3">
      <c r="A2" s="593" t="s">
        <v>0</v>
      </c>
      <c r="B2" s="766" t="s">
        <v>1</v>
      </c>
      <c r="C2" s="766"/>
      <c r="D2" s="702" t="s">
        <v>230</v>
      </c>
      <c r="E2" s="702" t="s">
        <v>82</v>
      </c>
      <c r="F2" s="626" t="s">
        <v>339</v>
      </c>
      <c r="G2" s="702" t="s">
        <v>338</v>
      </c>
      <c r="H2" s="627" t="s">
        <v>320</v>
      </c>
      <c r="I2" s="626" t="s">
        <v>227</v>
      </c>
      <c r="J2" s="667" t="s">
        <v>343</v>
      </c>
      <c r="K2" s="594" t="s">
        <v>352</v>
      </c>
      <c r="L2" s="728" t="s">
        <v>353</v>
      </c>
      <c r="M2" s="594" t="s">
        <v>355</v>
      </c>
    </row>
    <row r="3" spans="1:15" x14ac:dyDescent="0.25">
      <c r="A3" s="669" t="s">
        <v>2</v>
      </c>
      <c r="B3" s="4"/>
      <c r="C3" s="4"/>
      <c r="D3" s="4"/>
      <c r="E3" s="601"/>
      <c r="F3" s="588"/>
      <c r="G3" s="551"/>
      <c r="H3" s="628"/>
      <c r="I3" s="656"/>
      <c r="J3" s="471"/>
      <c r="K3" s="467"/>
      <c r="L3" s="729"/>
    </row>
    <row r="4" spans="1:15" x14ac:dyDescent="0.25">
      <c r="A4" s="670"/>
      <c r="B4" s="9" t="s">
        <v>358</v>
      </c>
      <c r="C4" s="9" t="s">
        <v>10</v>
      </c>
      <c r="D4" s="9" t="s">
        <v>231</v>
      </c>
      <c r="E4" s="602">
        <v>1.82</v>
      </c>
      <c r="F4" s="584">
        <v>1.9790000000000001</v>
      </c>
      <c r="G4" s="575">
        <f t="shared" ref="G4:G14" si="0">F4*1.10231</f>
        <v>2.1814714899999998</v>
      </c>
      <c r="H4" s="629">
        <v>42996</v>
      </c>
      <c r="I4" s="657">
        <v>2.8</v>
      </c>
      <c r="J4" s="471"/>
      <c r="K4" s="703">
        <v>2.8540000000000001</v>
      </c>
      <c r="L4" s="729">
        <f t="shared" ref="L4:L44" si="1">K4/I4</f>
        <v>1.0192857142857144</v>
      </c>
      <c r="M4" s="280">
        <f>K4*1.10231</f>
        <v>3.1459927399999996</v>
      </c>
    </row>
    <row r="5" spans="1:15" x14ac:dyDescent="0.25">
      <c r="A5" s="670"/>
      <c r="B5" s="9" t="s">
        <v>358</v>
      </c>
      <c r="C5" s="9" t="s">
        <v>207</v>
      </c>
      <c r="D5" s="9" t="s">
        <v>232</v>
      </c>
      <c r="E5" s="603">
        <v>2.12</v>
      </c>
      <c r="F5" s="584">
        <v>10.138</v>
      </c>
      <c r="G5" s="575">
        <f t="shared" si="0"/>
        <v>11.175218779999998</v>
      </c>
      <c r="H5" s="629">
        <v>43005</v>
      </c>
      <c r="I5" s="657">
        <v>11</v>
      </c>
      <c r="J5" s="471"/>
      <c r="K5" s="703">
        <f>5.638+3.55</f>
        <v>9.1879999999999988</v>
      </c>
      <c r="L5" s="729">
        <f t="shared" si="1"/>
        <v>0.83527272727272717</v>
      </c>
      <c r="M5" s="709">
        <f t="shared" ref="M5:M54" si="2">K5*1.10231</f>
        <v>10.128024279999998</v>
      </c>
      <c r="O5" s="693">
        <f>SUM(M4:M5)</f>
        <v>13.274017019999999</v>
      </c>
    </row>
    <row r="6" spans="1:15" x14ac:dyDescent="0.25">
      <c r="A6" s="671"/>
      <c r="B6" s="9" t="s">
        <v>3</v>
      </c>
      <c r="C6" s="9" t="s">
        <v>14</v>
      </c>
      <c r="D6" s="9" t="s">
        <v>233</v>
      </c>
      <c r="E6" s="603">
        <v>2.57</v>
      </c>
      <c r="F6" s="584">
        <v>10.42</v>
      </c>
      <c r="G6" s="575">
        <f t="shared" si="0"/>
        <v>11.486070199999999</v>
      </c>
      <c r="H6" s="629">
        <v>42996</v>
      </c>
      <c r="I6" s="657">
        <v>11</v>
      </c>
      <c r="J6" s="471"/>
      <c r="K6" s="703">
        <v>14.666</v>
      </c>
      <c r="L6" s="729">
        <f t="shared" si="1"/>
        <v>1.3332727272727274</v>
      </c>
      <c r="M6" s="709">
        <f t="shared" si="2"/>
        <v>16.16647846</v>
      </c>
    </row>
    <row r="7" spans="1:15" x14ac:dyDescent="0.25">
      <c r="A7" s="671"/>
      <c r="B7" s="9" t="s">
        <v>3</v>
      </c>
      <c r="C7" s="9" t="s">
        <v>16</v>
      </c>
      <c r="D7" s="9" t="s">
        <v>234</v>
      </c>
      <c r="E7" s="603">
        <v>2.35</v>
      </c>
      <c r="F7" s="584">
        <v>10.532999999999999</v>
      </c>
      <c r="G7" s="575">
        <f t="shared" si="0"/>
        <v>11.610631229999999</v>
      </c>
      <c r="H7" s="629">
        <v>42996</v>
      </c>
      <c r="I7" s="677">
        <v>11</v>
      </c>
      <c r="J7" s="471"/>
      <c r="K7" s="704">
        <v>11.055400000000001</v>
      </c>
      <c r="L7" s="753">
        <f t="shared" si="1"/>
        <v>1.0050363636363637</v>
      </c>
      <c r="M7" s="709">
        <f t="shared" si="2"/>
        <v>12.186477973999999</v>
      </c>
    </row>
    <row r="8" spans="1:15" x14ac:dyDescent="0.25">
      <c r="A8" s="671"/>
      <c r="B8" s="9" t="s">
        <v>3</v>
      </c>
      <c r="C8" s="72" t="s">
        <v>212</v>
      </c>
      <c r="D8" s="9" t="s">
        <v>321</v>
      </c>
      <c r="E8" s="603">
        <v>6.18</v>
      </c>
      <c r="F8" s="584">
        <v>11.238</v>
      </c>
      <c r="G8" s="575">
        <f t="shared" si="0"/>
        <v>12.387759779999998</v>
      </c>
      <c r="H8" s="629">
        <v>42997</v>
      </c>
      <c r="I8" s="679">
        <f>F8</f>
        <v>11.238</v>
      </c>
      <c r="J8" s="471"/>
      <c r="K8" s="705">
        <f>5.416+1.882</f>
        <v>7.298</v>
      </c>
      <c r="L8" s="729"/>
      <c r="M8" s="710">
        <f t="shared" si="2"/>
        <v>8.0446583799999996</v>
      </c>
    </row>
    <row r="9" spans="1:15" x14ac:dyDescent="0.25">
      <c r="A9" s="671"/>
      <c r="B9" s="9"/>
      <c r="C9" s="72"/>
      <c r="D9" s="9" t="s">
        <v>322</v>
      </c>
      <c r="E9" s="603"/>
      <c r="F9" s="584">
        <v>12.927</v>
      </c>
      <c r="G9" s="575">
        <f t="shared" si="0"/>
        <v>14.249561369999999</v>
      </c>
      <c r="H9" s="629">
        <v>42999</v>
      </c>
      <c r="I9" s="679">
        <f>F9</f>
        <v>12.927</v>
      </c>
      <c r="J9" s="471"/>
      <c r="K9" s="705">
        <f>5.611+4.523</f>
        <v>10.134</v>
      </c>
      <c r="L9" s="729"/>
      <c r="M9" s="710">
        <f t="shared" si="2"/>
        <v>11.170809539999999</v>
      </c>
    </row>
    <row r="10" spans="1:15" x14ac:dyDescent="0.25">
      <c r="A10" s="671"/>
      <c r="B10" s="9"/>
      <c r="C10" s="72" t="s">
        <v>354</v>
      </c>
      <c r="D10" s="9" t="s">
        <v>323</v>
      </c>
      <c r="E10" s="603"/>
      <c r="F10" s="584">
        <v>10.638999999999999</v>
      </c>
      <c r="G10" s="575">
        <f t="shared" si="0"/>
        <v>11.727476089999998</v>
      </c>
      <c r="H10" s="629">
        <v>43005</v>
      </c>
      <c r="I10" s="680">
        <f>F10</f>
        <v>10.638999999999999</v>
      </c>
      <c r="J10" s="471"/>
      <c r="K10" s="706">
        <f>6.3+5.923+5.283+3.1863</f>
        <v>20.692299999999999</v>
      </c>
      <c r="L10" s="753"/>
      <c r="M10" s="710">
        <f t="shared" si="2"/>
        <v>22.809329212999998</v>
      </c>
    </row>
    <row r="11" spans="1:15" x14ac:dyDescent="0.25">
      <c r="A11" s="671"/>
      <c r="B11" s="9"/>
      <c r="C11" s="72"/>
      <c r="D11" s="9"/>
      <c r="E11" s="603"/>
      <c r="F11" s="584"/>
      <c r="G11" s="575"/>
      <c r="H11" s="629"/>
      <c r="I11" s="657">
        <f>SUM(I8:I10)</f>
        <v>34.804000000000002</v>
      </c>
      <c r="J11" s="471"/>
      <c r="K11" s="703">
        <f>SUM(K8:K10)</f>
        <v>38.124300000000005</v>
      </c>
      <c r="L11" s="729">
        <f t="shared" si="1"/>
        <v>1.0953999540282726</v>
      </c>
      <c r="M11" s="709">
        <f t="shared" si="2"/>
        <v>42.024797133</v>
      </c>
      <c r="O11" s="693">
        <f>SUM(M6:M7,M11)</f>
        <v>70.377753566999999</v>
      </c>
    </row>
    <row r="12" spans="1:15" x14ac:dyDescent="0.25">
      <c r="A12" s="671"/>
      <c r="B12" s="35" t="s">
        <v>84</v>
      </c>
      <c r="C12" s="9" t="s">
        <v>85</v>
      </c>
      <c r="D12" s="9" t="s">
        <v>313</v>
      </c>
      <c r="E12" s="603">
        <v>1.2</v>
      </c>
      <c r="F12" s="584">
        <v>6.1680000000000001</v>
      </c>
      <c r="G12" s="575">
        <f t="shared" si="0"/>
        <v>6.7990480799999995</v>
      </c>
      <c r="H12" s="629">
        <v>43014</v>
      </c>
      <c r="I12" s="657">
        <v>8.4</v>
      </c>
      <c r="J12" s="471"/>
      <c r="K12" s="703">
        <f>1.207+2.513</f>
        <v>3.7199999999999998</v>
      </c>
      <c r="L12" s="729">
        <f t="shared" si="1"/>
        <v>0.44285714285714278</v>
      </c>
      <c r="M12" s="709">
        <f t="shared" si="2"/>
        <v>4.1005931999999996</v>
      </c>
    </row>
    <row r="13" spans="1:15" x14ac:dyDescent="0.25">
      <c r="A13" s="671"/>
      <c r="B13" s="35" t="s">
        <v>86</v>
      </c>
      <c r="C13" s="9" t="s">
        <v>218</v>
      </c>
      <c r="D13" s="9" t="s">
        <v>235</v>
      </c>
      <c r="E13" s="603">
        <v>1.1100000000000001</v>
      </c>
      <c r="F13" s="584">
        <v>4.1619999999999999</v>
      </c>
      <c r="G13" s="575">
        <f t="shared" si="0"/>
        <v>4.5878142199999994</v>
      </c>
      <c r="H13" s="629">
        <v>43015</v>
      </c>
      <c r="I13" s="657">
        <v>4.8</v>
      </c>
      <c r="J13" s="471"/>
      <c r="K13" s="703">
        <v>4.37</v>
      </c>
      <c r="L13" s="729">
        <f t="shared" si="1"/>
        <v>0.91041666666666676</v>
      </c>
      <c r="M13" s="709">
        <f t="shared" si="2"/>
        <v>4.8170946999999993</v>
      </c>
    </row>
    <row r="14" spans="1:15" x14ac:dyDescent="0.25">
      <c r="A14" s="671"/>
      <c r="B14" s="35" t="s">
        <v>201</v>
      </c>
      <c r="C14" s="9" t="s">
        <v>190</v>
      </c>
      <c r="D14" s="9" t="s">
        <v>236</v>
      </c>
      <c r="E14" s="603">
        <v>10</v>
      </c>
      <c r="F14" s="630">
        <v>15.672000000000001</v>
      </c>
      <c r="G14" s="575">
        <f t="shared" si="0"/>
        <v>17.275402319999998</v>
      </c>
      <c r="H14" s="631">
        <v>43007</v>
      </c>
      <c r="I14" s="657">
        <v>22.5</v>
      </c>
      <c r="J14" s="471"/>
      <c r="K14" s="703">
        <f>1.019+3.281+8.981+7.879</f>
        <v>21.159999999999997</v>
      </c>
      <c r="L14" s="729">
        <f t="shared" si="1"/>
        <v>0.94044444444444431</v>
      </c>
      <c r="M14" s="709">
        <f t="shared" si="2"/>
        <v>23.324879599999996</v>
      </c>
    </row>
    <row r="15" spans="1:15" x14ac:dyDescent="0.25">
      <c r="A15" s="671"/>
      <c r="B15" s="35" t="s">
        <v>347</v>
      </c>
      <c r="C15" s="9" t="s">
        <v>348</v>
      </c>
      <c r="D15" s="9"/>
      <c r="E15" s="603">
        <v>3.3</v>
      </c>
      <c r="F15" s="630"/>
      <c r="G15" s="575"/>
      <c r="H15" s="631"/>
      <c r="I15" s="658">
        <v>2.5</v>
      </c>
      <c r="J15" s="471"/>
      <c r="K15" s="703">
        <v>1.9119999999999999</v>
      </c>
      <c r="L15" s="729">
        <f t="shared" si="1"/>
        <v>0.76479999999999992</v>
      </c>
      <c r="M15" s="709">
        <f t="shared" si="2"/>
        <v>2.1076167199999998</v>
      </c>
    </row>
    <row r="16" spans="1:15" x14ac:dyDescent="0.25">
      <c r="A16" s="672"/>
      <c r="B16" s="25"/>
      <c r="C16" s="473" t="s">
        <v>118</v>
      </c>
      <c r="D16" s="123"/>
      <c r="E16" s="605">
        <f>SUM(E4:E15)</f>
        <v>30.65</v>
      </c>
      <c r="F16" s="633">
        <f>SUM(F4:F15)</f>
        <v>93.876000000000005</v>
      </c>
      <c r="G16" s="592">
        <f>SUM(G4:G15)</f>
        <v>103.48045355999999</v>
      </c>
      <c r="H16" s="634"/>
      <c r="I16" s="682">
        <f>SUM(I4:I10:I12:I15)</f>
        <v>143.608</v>
      </c>
      <c r="J16" s="546"/>
      <c r="K16" s="547">
        <f>SUM(K4:K10:K12:K15)</f>
        <v>145.17400000000001</v>
      </c>
      <c r="L16" s="714">
        <f>K16/I16</f>
        <v>1.0109046849757675</v>
      </c>
      <c r="M16" s="711">
        <f t="shared" si="2"/>
        <v>160.02675194</v>
      </c>
    </row>
    <row r="17" spans="1:15" x14ac:dyDescent="0.25">
      <c r="A17" s="669" t="s">
        <v>13</v>
      </c>
      <c r="B17" s="15"/>
      <c r="C17" s="15"/>
      <c r="D17" s="15"/>
      <c r="E17" s="3"/>
      <c r="F17" s="635"/>
      <c r="G17" s="595"/>
      <c r="H17" s="636"/>
      <c r="I17" s="683"/>
      <c r="J17" s="471"/>
      <c r="K17" s="575"/>
      <c r="L17" s="729"/>
      <c r="M17" s="709"/>
    </row>
    <row r="18" spans="1:15" x14ac:dyDescent="0.25">
      <c r="A18" s="671"/>
      <c r="B18" s="9" t="s">
        <v>3</v>
      </c>
      <c r="C18" s="9" t="s">
        <v>29</v>
      </c>
      <c r="D18" s="9" t="s">
        <v>237</v>
      </c>
      <c r="E18" s="606">
        <v>4.32</v>
      </c>
      <c r="F18" s="637">
        <v>28.526</v>
      </c>
      <c r="G18" s="574">
        <f>F18*1.10231</f>
        <v>31.444495059999998</v>
      </c>
      <c r="H18" s="638">
        <v>43012</v>
      </c>
      <c r="I18" s="657">
        <v>19</v>
      </c>
      <c r="J18" s="471"/>
      <c r="K18" s="703">
        <v>33.631</v>
      </c>
      <c r="L18" s="729">
        <f>K18/I18</f>
        <v>1.7700526315789473</v>
      </c>
      <c r="M18" s="709">
        <f t="shared" si="2"/>
        <v>37.071787609999994</v>
      </c>
    </row>
    <row r="19" spans="1:15" x14ac:dyDescent="0.25">
      <c r="A19" s="671"/>
      <c r="B19" s="9" t="s">
        <v>3</v>
      </c>
      <c r="C19" s="9" t="s">
        <v>31</v>
      </c>
      <c r="D19" s="9" t="s">
        <v>238</v>
      </c>
      <c r="E19" s="606">
        <v>1.92</v>
      </c>
      <c r="F19" s="584">
        <v>11.212</v>
      </c>
      <c r="G19" s="574">
        <f t="shared" ref="G19:G64" si="3">F19*1.10231</f>
        <v>12.359099719999998</v>
      </c>
      <c r="H19" s="629">
        <v>43012</v>
      </c>
      <c r="I19" s="657">
        <f>F19*0.9</f>
        <v>10.0908</v>
      </c>
      <c r="J19" s="471"/>
      <c r="K19" s="703">
        <v>10.741</v>
      </c>
      <c r="L19" s="729">
        <f>K19/I19</f>
        <v>1.0644349308280809</v>
      </c>
      <c r="M19" s="709">
        <f t="shared" si="2"/>
        <v>11.839911709999999</v>
      </c>
      <c r="O19" s="693">
        <f>SUM(M18:M19)</f>
        <v>48.911699319999997</v>
      </c>
    </row>
    <row r="20" spans="1:15" x14ac:dyDescent="0.25">
      <c r="A20" s="671"/>
      <c r="B20" s="9" t="s">
        <v>86</v>
      </c>
      <c r="C20" s="9" t="s">
        <v>224</v>
      </c>
      <c r="D20" s="9" t="s">
        <v>239</v>
      </c>
      <c r="E20" s="576">
        <v>3.29</v>
      </c>
      <c r="F20" s="584">
        <v>21.777999999999999</v>
      </c>
      <c r="G20" s="574">
        <f t="shared" si="3"/>
        <v>24.006107179999997</v>
      </c>
      <c r="H20" s="629">
        <v>43013</v>
      </c>
      <c r="I20" s="657">
        <v>23</v>
      </c>
      <c r="J20" s="471"/>
      <c r="K20" s="703">
        <v>29.629000000000001</v>
      </c>
      <c r="L20" s="729">
        <f>K20/I20</f>
        <v>1.288217391304348</v>
      </c>
      <c r="M20" s="709">
        <f t="shared" si="2"/>
        <v>32.660342989999997</v>
      </c>
    </row>
    <row r="21" spans="1:15" ht="15.75" thickBot="1" x14ac:dyDescent="0.3">
      <c r="A21" s="671"/>
      <c r="B21" s="9" t="s">
        <v>84</v>
      </c>
      <c r="C21" s="9" t="s">
        <v>88</v>
      </c>
      <c r="D21" s="9" t="s">
        <v>315</v>
      </c>
      <c r="E21" s="576">
        <v>7.5</v>
      </c>
      <c r="F21" s="584">
        <v>64.703000000000003</v>
      </c>
      <c r="G21" s="574">
        <f t="shared" si="3"/>
        <v>71.322763929999994</v>
      </c>
      <c r="H21" s="629">
        <v>43013</v>
      </c>
      <c r="I21" s="657">
        <v>48.5</v>
      </c>
      <c r="J21" s="471"/>
      <c r="K21" s="703">
        <v>53.234000000000002</v>
      </c>
      <c r="L21" s="729">
        <f>K21/I21</f>
        <v>1.0976082474226805</v>
      </c>
      <c r="M21" s="709">
        <f t="shared" si="2"/>
        <v>58.680370539999998</v>
      </c>
    </row>
    <row r="22" spans="1:15" ht="15.75" thickTop="1" x14ac:dyDescent="0.25">
      <c r="A22" s="672"/>
      <c r="B22" s="25"/>
      <c r="C22" s="591" t="s">
        <v>118</v>
      </c>
      <c r="D22" s="123"/>
      <c r="E22" s="607">
        <f>SUM(E18:E21)</f>
        <v>17.03</v>
      </c>
      <c r="F22" s="586">
        <f>SUM(F18:F21)</f>
        <v>126.21899999999999</v>
      </c>
      <c r="G22" s="598">
        <f t="shared" si="3"/>
        <v>139.13246588999999</v>
      </c>
      <c r="H22" s="639"/>
      <c r="I22" s="586">
        <f>SUM(I18:I21)</f>
        <v>100.5908</v>
      </c>
      <c r="J22" s="519">
        <f t="shared" ref="J22" si="4">SUM(J18:J21)</f>
        <v>0</v>
      </c>
      <c r="K22" s="547">
        <f>SUM(K18:K21)</f>
        <v>127.23500000000001</v>
      </c>
      <c r="L22" s="714">
        <f>K22/I22</f>
        <v>1.2648771060574129</v>
      </c>
      <c r="M22" s="711">
        <f t="shared" si="2"/>
        <v>140.25241285000001</v>
      </c>
    </row>
    <row r="23" spans="1:15" x14ac:dyDescent="0.25">
      <c r="A23" s="669" t="s">
        <v>15</v>
      </c>
      <c r="B23" s="15"/>
      <c r="C23" s="3"/>
      <c r="D23" s="3"/>
      <c r="E23" s="3"/>
      <c r="F23" s="588"/>
      <c r="G23" s="577"/>
      <c r="H23" s="628"/>
      <c r="I23" s="683"/>
      <c r="J23" s="471"/>
      <c r="K23" s="575"/>
      <c r="L23" s="729"/>
      <c r="M23" s="709"/>
    </row>
    <row r="24" spans="1:15" x14ac:dyDescent="0.25">
      <c r="A24" s="671"/>
      <c r="B24" s="9" t="s">
        <v>3</v>
      </c>
      <c r="C24" s="9" t="s">
        <v>36</v>
      </c>
      <c r="D24" s="9" t="s">
        <v>240</v>
      </c>
      <c r="E24" s="576">
        <v>4.04</v>
      </c>
      <c r="F24" s="584">
        <v>22.309000000000001</v>
      </c>
      <c r="G24" s="574">
        <f t="shared" si="3"/>
        <v>24.59143379</v>
      </c>
      <c r="H24" s="629">
        <v>43022</v>
      </c>
      <c r="I24" s="657">
        <v>18.100000000000001</v>
      </c>
      <c r="J24" s="471"/>
      <c r="K24" s="703">
        <v>17.55</v>
      </c>
      <c r="L24" s="729">
        <f t="shared" si="1"/>
        <v>0.9696132596685082</v>
      </c>
      <c r="M24" s="709">
        <f t="shared" si="2"/>
        <v>19.345540499999998</v>
      </c>
    </row>
    <row r="25" spans="1:15" x14ac:dyDescent="0.25">
      <c r="A25" s="671"/>
      <c r="B25" s="9" t="s">
        <v>86</v>
      </c>
      <c r="C25" s="9" t="s">
        <v>215</v>
      </c>
      <c r="D25" s="9" t="s">
        <v>241</v>
      </c>
      <c r="E25" s="576">
        <v>5.04</v>
      </c>
      <c r="F25" s="584">
        <v>25.841000000000001</v>
      </c>
      <c r="G25" s="574">
        <f t="shared" si="3"/>
        <v>28.484792709999997</v>
      </c>
      <c r="H25" s="629">
        <v>43024</v>
      </c>
      <c r="I25" s="657">
        <v>21.9</v>
      </c>
      <c r="J25" s="471"/>
      <c r="K25" s="703">
        <v>31.919</v>
      </c>
      <c r="L25" s="729">
        <f t="shared" si="1"/>
        <v>1.4574885844748859</v>
      </c>
      <c r="M25" s="709">
        <f t="shared" si="2"/>
        <v>35.184632889999996</v>
      </c>
    </row>
    <row r="26" spans="1:15" ht="15.75" thickBot="1" x14ac:dyDescent="0.3">
      <c r="A26" s="671"/>
      <c r="B26" s="9" t="s">
        <v>6</v>
      </c>
      <c r="C26" s="9" t="s">
        <v>38</v>
      </c>
      <c r="D26" s="9" t="s">
        <v>242</v>
      </c>
      <c r="E26" s="581">
        <v>2.5</v>
      </c>
      <c r="F26" s="585">
        <v>6.032</v>
      </c>
      <c r="G26" s="596">
        <f t="shared" si="3"/>
        <v>6.6491339199999997</v>
      </c>
      <c r="H26" s="632">
        <v>43020</v>
      </c>
      <c r="I26" s="657">
        <v>10</v>
      </c>
      <c r="J26" s="471"/>
      <c r="K26" s="703">
        <v>11.993</v>
      </c>
      <c r="L26" s="729">
        <f t="shared" si="1"/>
        <v>1.1993</v>
      </c>
      <c r="M26" s="709">
        <f t="shared" si="2"/>
        <v>13.22000383</v>
      </c>
    </row>
    <row r="27" spans="1:15" ht="15.75" thickTop="1" x14ac:dyDescent="0.25">
      <c r="A27" s="672"/>
      <c r="B27" s="25"/>
      <c r="C27" s="591" t="s">
        <v>118</v>
      </c>
      <c r="D27" s="123"/>
      <c r="E27" s="608">
        <f>SUM(E24:E26)</f>
        <v>11.58</v>
      </c>
      <c r="F27" s="586">
        <f>SUM(F24:F26)</f>
        <v>54.182000000000002</v>
      </c>
      <c r="G27" s="597">
        <f t="shared" si="3"/>
        <v>59.725360419999994</v>
      </c>
      <c r="H27" s="490"/>
      <c r="I27" s="684">
        <f>SUM(I24:I26)</f>
        <v>50</v>
      </c>
      <c r="J27" s="684"/>
      <c r="K27" s="547">
        <f>SUM(K24:K26)</f>
        <v>61.462000000000003</v>
      </c>
      <c r="L27" s="714">
        <f>K27/I27</f>
        <v>1.2292400000000001</v>
      </c>
      <c r="M27" s="711">
        <f t="shared" si="2"/>
        <v>67.750177219999998</v>
      </c>
    </row>
    <row r="28" spans="1:15" x14ac:dyDescent="0.25">
      <c r="A28" s="670" t="s">
        <v>17</v>
      </c>
      <c r="B28" s="8"/>
      <c r="C28" s="1"/>
      <c r="D28" s="1"/>
      <c r="E28" s="1"/>
      <c r="F28" s="584"/>
      <c r="G28" s="574"/>
      <c r="H28" s="640"/>
      <c r="I28" s="584"/>
      <c r="J28" s="471"/>
      <c r="K28" s="575"/>
      <c r="L28" s="729"/>
      <c r="M28" s="709"/>
    </row>
    <row r="29" spans="1:15" x14ac:dyDescent="0.25">
      <c r="A29" s="671"/>
      <c r="B29" s="9" t="s">
        <v>3</v>
      </c>
      <c r="C29" s="9" t="s">
        <v>39</v>
      </c>
      <c r="D29" s="9" t="s">
        <v>243</v>
      </c>
      <c r="E29" s="603">
        <v>1.89</v>
      </c>
      <c r="F29" s="584">
        <v>6.62</v>
      </c>
      <c r="G29" s="574">
        <f t="shared" si="3"/>
        <v>7.2972921999999993</v>
      </c>
      <c r="H29" s="629">
        <v>43004</v>
      </c>
      <c r="I29" s="660">
        <v>6.6</v>
      </c>
      <c r="J29" s="471"/>
      <c r="K29" s="703">
        <f>2.873+5.323</f>
        <v>8.1960000000000015</v>
      </c>
      <c r="L29" s="729">
        <f t="shared" si="1"/>
        <v>1.2418181818181822</v>
      </c>
      <c r="M29" s="709">
        <f t="shared" si="2"/>
        <v>9.0345327600000012</v>
      </c>
    </row>
    <row r="30" spans="1:15" x14ac:dyDescent="0.25">
      <c r="A30" s="671"/>
      <c r="B30" s="9" t="s">
        <v>86</v>
      </c>
      <c r="C30" s="9" t="s">
        <v>219</v>
      </c>
      <c r="D30" s="9" t="s">
        <v>244</v>
      </c>
      <c r="E30" s="603">
        <v>0.57999999999999996</v>
      </c>
      <c r="F30" s="584">
        <v>1.9770000000000001</v>
      </c>
      <c r="G30" s="574">
        <f t="shared" si="3"/>
        <v>2.1792668699999997</v>
      </c>
      <c r="H30" s="629">
        <v>43004</v>
      </c>
      <c r="I30" s="660">
        <v>2.2000000000000002</v>
      </c>
      <c r="J30" s="471"/>
      <c r="K30" s="703">
        <v>2.8820000000000001</v>
      </c>
      <c r="L30" s="729">
        <f t="shared" si="1"/>
        <v>1.31</v>
      </c>
      <c r="M30" s="709">
        <f t="shared" si="2"/>
        <v>3.1768574199999997</v>
      </c>
    </row>
    <row r="31" spans="1:15" x14ac:dyDescent="0.25">
      <c r="A31" s="671"/>
      <c r="B31" s="72" t="s">
        <v>4</v>
      </c>
      <c r="C31" s="9" t="s">
        <v>40</v>
      </c>
      <c r="D31" s="9" t="s">
        <v>245</v>
      </c>
      <c r="E31" s="603">
        <v>9.11</v>
      </c>
      <c r="F31" s="584">
        <v>18.782</v>
      </c>
      <c r="G31" s="574">
        <f t="shared" si="3"/>
        <v>20.703586419999997</v>
      </c>
      <c r="H31" s="629">
        <v>43010</v>
      </c>
      <c r="I31" s="660">
        <v>18</v>
      </c>
      <c r="J31" s="471"/>
      <c r="K31" s="703">
        <v>20.106999999999999</v>
      </c>
      <c r="L31" s="729">
        <f t="shared" si="1"/>
        <v>1.1170555555555555</v>
      </c>
      <c r="M31" s="709">
        <f t="shared" si="2"/>
        <v>22.164147169999996</v>
      </c>
    </row>
    <row r="32" spans="1:15" x14ac:dyDescent="0.25">
      <c r="A32" s="671"/>
      <c r="B32" s="9" t="s">
        <v>89</v>
      </c>
      <c r="C32" s="9" t="s">
        <v>90</v>
      </c>
      <c r="D32" s="9" t="s">
        <v>246</v>
      </c>
      <c r="E32" s="603">
        <v>7.34</v>
      </c>
      <c r="F32" s="584">
        <v>38.545000000000002</v>
      </c>
      <c r="G32" s="574">
        <f t="shared" si="3"/>
        <v>42.488538949999999</v>
      </c>
      <c r="H32" s="629">
        <v>43006</v>
      </c>
      <c r="I32" s="660">
        <v>30.6</v>
      </c>
      <c r="J32" s="471"/>
      <c r="K32" s="703">
        <f>29.291+11.863</f>
        <v>41.153999999999996</v>
      </c>
      <c r="L32" s="729">
        <f t="shared" si="1"/>
        <v>1.3449019607843136</v>
      </c>
      <c r="M32" s="709">
        <f t="shared" si="2"/>
        <v>45.364465739999993</v>
      </c>
    </row>
    <row r="33" spans="1:13" x14ac:dyDescent="0.25">
      <c r="A33" s="671"/>
      <c r="B33" s="8"/>
      <c r="C33" s="146" t="s">
        <v>9</v>
      </c>
      <c r="D33" s="9"/>
      <c r="E33" s="609">
        <f>SUM(E29:E32)</f>
        <v>18.919999999999998</v>
      </c>
      <c r="F33" s="587">
        <f>SUM(F29:F32)</f>
        <v>65.924000000000007</v>
      </c>
      <c r="G33" s="599">
        <f t="shared" si="3"/>
        <v>72.668684440000007</v>
      </c>
      <c r="H33" s="549"/>
      <c r="I33" s="519">
        <f>SUM(I29:I32)</f>
        <v>57.400000000000006</v>
      </c>
      <c r="J33" s="519">
        <f>SUM(J29:J32)</f>
        <v>0</v>
      </c>
      <c r="K33" s="547">
        <f>SUM(K29:K32)</f>
        <v>72.338999999999999</v>
      </c>
      <c r="L33" s="714">
        <f>K33/I33</f>
        <v>1.2602613240418117</v>
      </c>
      <c r="M33" s="711">
        <f t="shared" si="2"/>
        <v>79.740003089999988</v>
      </c>
    </row>
    <row r="34" spans="1:13" x14ac:dyDescent="0.25">
      <c r="A34" s="669" t="s">
        <v>19</v>
      </c>
      <c r="B34" s="4" t="s">
        <v>3</v>
      </c>
      <c r="C34" s="4" t="s">
        <v>185</v>
      </c>
      <c r="D34" s="4" t="s">
        <v>250</v>
      </c>
      <c r="E34" s="3"/>
      <c r="F34" s="588">
        <v>4.2409999999999997</v>
      </c>
      <c r="G34" s="577">
        <f t="shared" si="3"/>
        <v>4.6748967099999996</v>
      </c>
      <c r="H34" s="641">
        <v>43019</v>
      </c>
      <c r="I34" s="657">
        <v>5</v>
      </c>
      <c r="J34" s="471"/>
      <c r="K34" s="703">
        <v>3.004</v>
      </c>
      <c r="L34" s="729">
        <f>K34/I34</f>
        <v>0.6008</v>
      </c>
      <c r="M34" s="709">
        <f t="shared" si="2"/>
        <v>3.3113392399999997</v>
      </c>
    </row>
    <row r="35" spans="1:13" ht="15.75" thickBot="1" x14ac:dyDescent="0.3">
      <c r="A35" s="670"/>
      <c r="B35" s="9" t="s">
        <v>3</v>
      </c>
      <c r="C35" s="9" t="s">
        <v>186</v>
      </c>
      <c r="D35" s="9" t="s">
        <v>251</v>
      </c>
      <c r="E35" s="610">
        <v>4.43</v>
      </c>
      <c r="F35" s="585">
        <v>5.5880000000000001</v>
      </c>
      <c r="G35" s="596">
        <f t="shared" si="3"/>
        <v>6.1597082799999994</v>
      </c>
      <c r="H35" s="632">
        <v>43019</v>
      </c>
      <c r="I35" s="657">
        <v>7.7</v>
      </c>
      <c r="J35" s="471"/>
      <c r="K35" s="703">
        <f>4.113+6.267</f>
        <v>10.38</v>
      </c>
      <c r="L35" s="729">
        <f>K35/I35</f>
        <v>1.3480519480519482</v>
      </c>
      <c r="M35" s="709">
        <f t="shared" si="2"/>
        <v>11.4419778</v>
      </c>
    </row>
    <row r="36" spans="1:13" ht="15.75" thickTop="1" x14ac:dyDescent="0.25">
      <c r="A36" s="672"/>
      <c r="B36" s="123"/>
      <c r="C36" s="19" t="s">
        <v>9</v>
      </c>
      <c r="D36" s="123"/>
      <c r="E36" s="608">
        <f>SUM(E34:E35)</f>
        <v>4.43</v>
      </c>
      <c r="F36" s="586">
        <f>SUM(F34:F35)</f>
        <v>9.8290000000000006</v>
      </c>
      <c r="G36" s="598">
        <f t="shared" si="3"/>
        <v>10.834604989999999</v>
      </c>
      <c r="H36" s="490"/>
      <c r="I36" s="519">
        <f>SUM(I34:I35)</f>
        <v>12.7</v>
      </c>
      <c r="J36" s="519">
        <f t="shared" ref="J36" si="5">SUM(J34:J35)</f>
        <v>0</v>
      </c>
      <c r="K36" s="547">
        <f>SUM(K34:K35)</f>
        <v>13.384</v>
      </c>
      <c r="L36" s="714">
        <f>K36/I36</f>
        <v>1.0538582677165356</v>
      </c>
      <c r="M36" s="711">
        <f t="shared" si="2"/>
        <v>14.753317039999999</v>
      </c>
    </row>
    <row r="37" spans="1:13" x14ac:dyDescent="0.25">
      <c r="A37" s="669" t="s">
        <v>21</v>
      </c>
      <c r="B37" s="15"/>
      <c r="C37" s="3"/>
      <c r="D37" s="3"/>
      <c r="E37" s="3"/>
      <c r="F37" s="588"/>
      <c r="G37" s="577"/>
      <c r="H37" s="628"/>
      <c r="I37" s="683"/>
      <c r="J37" s="471"/>
      <c r="K37" s="575"/>
      <c r="L37" s="729"/>
      <c r="M37" s="709"/>
    </row>
    <row r="38" spans="1:13" x14ac:dyDescent="0.25">
      <c r="A38" s="671"/>
      <c r="B38" s="9" t="s">
        <v>3</v>
      </c>
      <c r="C38" s="9" t="s">
        <v>44</v>
      </c>
      <c r="D38" s="9" t="s">
        <v>252</v>
      </c>
      <c r="E38" s="576">
        <v>3.38</v>
      </c>
      <c r="F38" s="584">
        <v>15.499000000000001</v>
      </c>
      <c r="G38" s="574">
        <f t="shared" si="3"/>
        <v>17.08470269</v>
      </c>
      <c r="H38" s="629">
        <v>43005</v>
      </c>
      <c r="I38" s="657">
        <v>11.5</v>
      </c>
      <c r="J38" s="471"/>
      <c r="K38" s="703">
        <v>12.622999999999999</v>
      </c>
      <c r="L38" s="729">
        <f t="shared" si="1"/>
        <v>1.0976521739130434</v>
      </c>
      <c r="M38" s="709">
        <f t="shared" si="2"/>
        <v>13.914459129999997</v>
      </c>
    </row>
    <row r="39" spans="1:13" x14ac:dyDescent="0.25">
      <c r="A39" s="671"/>
      <c r="B39" s="9" t="s">
        <v>86</v>
      </c>
      <c r="C39" s="9" t="s">
        <v>217</v>
      </c>
      <c r="D39" s="9" t="s">
        <v>253</v>
      </c>
      <c r="E39" s="576">
        <v>1.9</v>
      </c>
      <c r="F39" s="584">
        <v>9.5370000000000008</v>
      </c>
      <c r="G39" s="574">
        <f t="shared" si="3"/>
        <v>10.512730469999999</v>
      </c>
      <c r="H39" s="629">
        <v>43018</v>
      </c>
      <c r="I39" s="657">
        <v>8.3000000000000007</v>
      </c>
      <c r="J39" s="471"/>
      <c r="K39" s="703">
        <v>8.5220000000000002</v>
      </c>
      <c r="L39" s="729">
        <f t="shared" si="1"/>
        <v>1.0267469879518072</v>
      </c>
      <c r="M39" s="709">
        <f t="shared" si="2"/>
        <v>9.3938858199999995</v>
      </c>
    </row>
    <row r="40" spans="1:13" x14ac:dyDescent="0.25">
      <c r="A40" s="671"/>
      <c r="B40" s="9" t="s">
        <v>203</v>
      </c>
      <c r="C40" s="9" t="s">
        <v>192</v>
      </c>
      <c r="D40" s="9" t="s">
        <v>254</v>
      </c>
      <c r="E40" s="576">
        <v>5</v>
      </c>
      <c r="F40" s="584">
        <v>12.994</v>
      </c>
      <c r="G40" s="574">
        <f t="shared" si="3"/>
        <v>14.323416139999999</v>
      </c>
      <c r="H40" s="629">
        <v>43018</v>
      </c>
      <c r="I40" s="657">
        <v>15.6</v>
      </c>
      <c r="J40" s="471"/>
      <c r="K40" s="703">
        <v>8.4749999999999996</v>
      </c>
      <c r="L40" s="729">
        <f t="shared" si="1"/>
        <v>0.54326923076923073</v>
      </c>
      <c r="M40" s="709">
        <f t="shared" si="2"/>
        <v>9.3420772499999991</v>
      </c>
    </row>
    <row r="41" spans="1:13" x14ac:dyDescent="0.25">
      <c r="A41" s="672"/>
      <c r="B41" s="123"/>
      <c r="C41" s="591" t="s">
        <v>118</v>
      </c>
      <c r="D41" s="123"/>
      <c r="E41" s="605">
        <f>SUM(E38:E40)</f>
        <v>10.28</v>
      </c>
      <c r="F41" s="586">
        <f>SUM(F38:F40)</f>
        <v>38.03</v>
      </c>
      <c r="G41" s="598">
        <f t="shared" si="3"/>
        <v>41.9208493</v>
      </c>
      <c r="H41" s="490"/>
      <c r="I41" s="519">
        <f>SUM(I38:I40)</f>
        <v>35.4</v>
      </c>
      <c r="J41" s="519">
        <f>SUM(J38:J40)</f>
        <v>0</v>
      </c>
      <c r="K41" s="547">
        <f>SUM(K38:K40)</f>
        <v>29.619999999999997</v>
      </c>
      <c r="L41" s="714">
        <f>K41/I41</f>
        <v>0.83672316384180789</v>
      </c>
      <c r="M41" s="711">
        <f t="shared" si="2"/>
        <v>32.650422199999994</v>
      </c>
    </row>
    <row r="42" spans="1:13" x14ac:dyDescent="0.25">
      <c r="A42" s="669" t="s">
        <v>23</v>
      </c>
      <c r="B42" s="15"/>
      <c r="C42" s="15"/>
      <c r="D42" s="15"/>
      <c r="E42" s="580"/>
      <c r="F42" s="588"/>
      <c r="G42" s="577"/>
      <c r="H42" s="628"/>
      <c r="I42" s="683"/>
      <c r="J42" s="471"/>
      <c r="K42" s="575"/>
      <c r="L42" s="729"/>
      <c r="M42" s="709"/>
    </row>
    <row r="43" spans="1:13" x14ac:dyDescent="0.25">
      <c r="A43" s="670"/>
      <c r="B43" s="8" t="s">
        <v>203</v>
      </c>
      <c r="C43" s="8" t="s">
        <v>193</v>
      </c>
      <c r="D43" s="9" t="s">
        <v>256</v>
      </c>
      <c r="E43" s="612">
        <v>0.5</v>
      </c>
      <c r="F43" s="584">
        <v>2.0619999999999998</v>
      </c>
      <c r="G43" s="574">
        <f t="shared" si="3"/>
        <v>2.2729632199999994</v>
      </c>
      <c r="H43" s="629">
        <v>43018</v>
      </c>
      <c r="I43" s="657">
        <v>0.7</v>
      </c>
      <c r="J43" s="471"/>
      <c r="K43" s="703">
        <v>0.67200000000000004</v>
      </c>
      <c r="L43" s="729">
        <f t="shared" si="1"/>
        <v>0.96000000000000008</v>
      </c>
      <c r="M43" s="709">
        <f t="shared" si="2"/>
        <v>0.74075232000000002</v>
      </c>
    </row>
    <row r="44" spans="1:13" x14ac:dyDescent="0.25">
      <c r="A44" s="670"/>
      <c r="B44" s="8" t="s">
        <v>201</v>
      </c>
      <c r="C44" s="8" t="s">
        <v>258</v>
      </c>
      <c r="D44" s="9" t="s">
        <v>257</v>
      </c>
      <c r="E44" s="612">
        <v>2</v>
      </c>
      <c r="F44" s="584">
        <v>1.762</v>
      </c>
      <c r="G44" s="574">
        <f t="shared" si="3"/>
        <v>1.9422702199999999</v>
      </c>
      <c r="H44" s="629">
        <v>42998</v>
      </c>
      <c r="I44" s="657">
        <v>2.2000000000000002</v>
      </c>
      <c r="J44" s="471"/>
      <c r="K44" s="703">
        <v>1.44</v>
      </c>
      <c r="L44" s="729">
        <f t="shared" si="1"/>
        <v>0.65454545454545443</v>
      </c>
      <c r="M44" s="709">
        <f t="shared" si="2"/>
        <v>1.5873263999999998</v>
      </c>
    </row>
    <row r="45" spans="1:13" x14ac:dyDescent="0.25">
      <c r="A45" s="672"/>
      <c r="B45" s="25"/>
      <c r="C45" s="600" t="s">
        <v>118</v>
      </c>
      <c r="D45" s="123"/>
      <c r="E45" s="605">
        <f>SUM(E43:E44)</f>
        <v>2.5</v>
      </c>
      <c r="F45" s="586">
        <f>SUM(F43:F44)</f>
        <v>3.8239999999999998</v>
      </c>
      <c r="G45" s="598">
        <f t="shared" si="3"/>
        <v>4.2152334399999996</v>
      </c>
      <c r="H45" s="490"/>
      <c r="I45" s="519">
        <f>SUM(I43:I44)</f>
        <v>2.9000000000000004</v>
      </c>
      <c r="J45" s="519">
        <f>SUM(J43:J44)</f>
        <v>0</v>
      </c>
      <c r="K45" s="547">
        <f>SUM(K43:K44)</f>
        <v>2.1120000000000001</v>
      </c>
      <c r="L45" s="714">
        <f>K45/I45</f>
        <v>0.72827586206896544</v>
      </c>
      <c r="M45" s="711">
        <f t="shared" si="2"/>
        <v>2.3280787199999997</v>
      </c>
    </row>
    <row r="46" spans="1:13" x14ac:dyDescent="0.25">
      <c r="A46" s="670" t="s">
        <v>48</v>
      </c>
      <c r="B46" s="8"/>
      <c r="C46" s="1"/>
      <c r="D46" s="1"/>
      <c r="E46" s="1"/>
      <c r="F46" s="584"/>
      <c r="G46" s="574"/>
      <c r="H46" s="640"/>
      <c r="I46" s="584"/>
      <c r="J46" s="471"/>
      <c r="K46" s="575"/>
      <c r="L46" s="729"/>
      <c r="M46" s="709"/>
    </row>
    <row r="47" spans="1:13" x14ac:dyDescent="0.25">
      <c r="A47" s="671"/>
      <c r="B47" s="9" t="s">
        <v>3</v>
      </c>
      <c r="C47" s="9" t="s">
        <v>49</v>
      </c>
      <c r="D47" s="9" t="s">
        <v>265</v>
      </c>
      <c r="E47" s="576">
        <v>5.07</v>
      </c>
      <c r="F47" s="584">
        <v>21.881</v>
      </c>
      <c r="G47" s="574">
        <f t="shared" si="3"/>
        <v>24.119645109999997</v>
      </c>
      <c r="H47" s="629">
        <v>43011</v>
      </c>
      <c r="I47" s="660">
        <v>13.9</v>
      </c>
      <c r="J47" s="471"/>
      <c r="K47" s="703">
        <v>15.871</v>
      </c>
      <c r="L47" s="729">
        <f>K47/I47</f>
        <v>1.1417985611510792</v>
      </c>
      <c r="M47" s="709">
        <f t="shared" si="2"/>
        <v>17.494762009999999</v>
      </c>
    </row>
    <row r="48" spans="1:13" x14ac:dyDescent="0.25">
      <c r="A48" s="671"/>
      <c r="B48" s="9" t="s">
        <v>86</v>
      </c>
      <c r="C48" s="9" t="s">
        <v>216</v>
      </c>
      <c r="D48" s="9" t="s">
        <v>268</v>
      </c>
      <c r="E48" s="576">
        <v>2.8</v>
      </c>
      <c r="F48" s="584">
        <v>9.1240000000000006</v>
      </c>
      <c r="G48" s="574">
        <f t="shared" si="3"/>
        <v>10.05747644</v>
      </c>
      <c r="H48" s="629">
        <v>43027</v>
      </c>
      <c r="I48" s="660">
        <f>12.9-5</f>
        <v>7.9</v>
      </c>
      <c r="J48" s="471" t="s">
        <v>351</v>
      </c>
      <c r="K48" s="703">
        <f>5.485+0.86+4.711</f>
        <v>11.056000000000001</v>
      </c>
      <c r="L48" s="729">
        <f t="shared" ref="L48:L52" si="6">K48/I48</f>
        <v>1.3994936708860759</v>
      </c>
      <c r="M48" s="709">
        <f t="shared" si="2"/>
        <v>12.18713936</v>
      </c>
    </row>
    <row r="49" spans="1:15" x14ac:dyDescent="0.25">
      <c r="A49" s="671"/>
      <c r="B49" s="9" t="s">
        <v>86</v>
      </c>
      <c r="C49" s="9" t="s">
        <v>220</v>
      </c>
      <c r="D49" s="9" t="s">
        <v>266</v>
      </c>
      <c r="E49" s="576">
        <v>0.21</v>
      </c>
      <c r="F49" s="584">
        <v>0.84399999999999997</v>
      </c>
      <c r="G49" s="574">
        <f t="shared" si="3"/>
        <v>0.93034963999999987</v>
      </c>
      <c r="H49" s="629">
        <v>43027</v>
      </c>
      <c r="I49" s="660">
        <v>1.2</v>
      </c>
      <c r="J49" s="471"/>
      <c r="K49" s="703">
        <v>1.968</v>
      </c>
      <c r="L49" s="729">
        <f t="shared" si="6"/>
        <v>1.6400000000000001</v>
      </c>
      <c r="M49" s="709">
        <f t="shared" si="2"/>
        <v>2.16934608</v>
      </c>
    </row>
    <row r="50" spans="1:15" x14ac:dyDescent="0.25">
      <c r="A50" s="670"/>
      <c r="B50" s="9" t="s">
        <v>86</v>
      </c>
      <c r="C50" s="9" t="s">
        <v>223</v>
      </c>
      <c r="D50" s="9" t="s">
        <v>267</v>
      </c>
      <c r="E50" s="576">
        <v>1.4</v>
      </c>
      <c r="F50" s="584">
        <v>5.6529999999999996</v>
      </c>
      <c r="G50" s="574">
        <f t="shared" si="3"/>
        <v>6.2313584299999993</v>
      </c>
      <c r="H50" s="629">
        <v>43027</v>
      </c>
      <c r="I50" s="660">
        <v>4.0999999999999996</v>
      </c>
      <c r="J50" s="471"/>
      <c r="K50" s="703">
        <f>0.967+3.663</f>
        <v>4.63</v>
      </c>
      <c r="L50" s="729">
        <f t="shared" si="6"/>
        <v>1.1292682926829269</v>
      </c>
      <c r="M50" s="709">
        <f t="shared" si="2"/>
        <v>5.1036952999999992</v>
      </c>
    </row>
    <row r="51" spans="1:15" x14ac:dyDescent="0.25">
      <c r="A51" s="671"/>
      <c r="B51" s="9" t="s">
        <v>86</v>
      </c>
      <c r="C51" s="9" t="s">
        <v>225</v>
      </c>
      <c r="D51" s="9" t="s">
        <v>269</v>
      </c>
      <c r="E51" s="576">
        <v>1.1299999999999999</v>
      </c>
      <c r="F51" s="630">
        <v>4.4630000000000001</v>
      </c>
      <c r="G51" s="574">
        <f t="shared" si="3"/>
        <v>4.9196095299999998</v>
      </c>
      <c r="H51" s="631">
        <v>43024</v>
      </c>
      <c r="I51" s="660">
        <v>4.4000000000000004</v>
      </c>
      <c r="J51" s="471"/>
      <c r="K51" s="703">
        <v>4.51</v>
      </c>
      <c r="L51" s="729">
        <f t="shared" si="6"/>
        <v>1.0249999999999999</v>
      </c>
      <c r="M51" s="709">
        <f t="shared" si="2"/>
        <v>4.9714180999999993</v>
      </c>
      <c r="O51" s="693">
        <f>SUM(M48:M51)</f>
        <v>24.431598839999999</v>
      </c>
    </row>
    <row r="52" spans="1:15" x14ac:dyDescent="0.25">
      <c r="A52" s="671"/>
      <c r="B52" s="9" t="s">
        <v>89</v>
      </c>
      <c r="C52" s="9" t="s">
        <v>55</v>
      </c>
      <c r="D52" s="9" t="s">
        <v>270</v>
      </c>
      <c r="E52" s="576">
        <v>6.15</v>
      </c>
      <c r="F52" s="642">
        <v>11.9</v>
      </c>
      <c r="G52" s="574">
        <f t="shared" si="3"/>
        <v>13.117488999999999</v>
      </c>
      <c r="H52" s="631">
        <v>43025</v>
      </c>
      <c r="I52" s="660">
        <f>23.7+10</f>
        <v>33.700000000000003</v>
      </c>
      <c r="J52" s="471" t="s">
        <v>357</v>
      </c>
      <c r="K52" s="703">
        <f>7.014+4.166+10.455+9.868</f>
        <v>31.503</v>
      </c>
      <c r="L52" s="729">
        <f t="shared" si="6"/>
        <v>0.93480712166172097</v>
      </c>
      <c r="M52" s="709">
        <f t="shared" si="2"/>
        <v>34.726071929999996</v>
      </c>
    </row>
    <row r="53" spans="1:15" ht="15.75" thickBot="1" x14ac:dyDescent="0.3">
      <c r="A53" s="671"/>
      <c r="B53" s="72" t="s">
        <v>139</v>
      </c>
      <c r="C53" s="72" t="s">
        <v>5</v>
      </c>
      <c r="D53" s="9" t="s">
        <v>271</v>
      </c>
      <c r="E53" s="613">
        <v>0</v>
      </c>
      <c r="F53" s="590">
        <v>10</v>
      </c>
      <c r="G53" s="596">
        <f t="shared" si="3"/>
        <v>11.023099999999999</v>
      </c>
      <c r="H53" s="643"/>
      <c r="I53" s="661">
        <v>0</v>
      </c>
      <c r="J53" s="471"/>
      <c r="K53" s="575"/>
      <c r="L53" s="729"/>
      <c r="M53" s="709"/>
    </row>
    <row r="54" spans="1:15" ht="15.75" thickTop="1" x14ac:dyDescent="0.25">
      <c r="A54" s="671"/>
      <c r="B54" s="8"/>
      <c r="C54" s="79" t="s">
        <v>118</v>
      </c>
      <c r="D54" s="9"/>
      <c r="E54" s="609">
        <f>SUM(E47:E53)</f>
        <v>16.759999999999998</v>
      </c>
      <c r="F54" s="587">
        <f>SUM(F47:F53)</f>
        <v>63.865000000000002</v>
      </c>
      <c r="G54" s="599">
        <f t="shared" si="3"/>
        <v>70.399028149999992</v>
      </c>
      <c r="H54" s="549"/>
      <c r="I54" s="519">
        <f>SUM(I47:I53)</f>
        <v>65.2</v>
      </c>
      <c r="J54" s="519">
        <f t="shared" ref="J54" si="7">SUM(J47:J53)</f>
        <v>0</v>
      </c>
      <c r="K54" s="547">
        <f>SUM(K47:K53)</f>
        <v>69.537999999999997</v>
      </c>
      <c r="L54" s="714">
        <f>K54/I54</f>
        <v>1.0665337423312882</v>
      </c>
      <c r="M54" s="711">
        <f t="shared" si="2"/>
        <v>76.652432779999984</v>
      </c>
    </row>
    <row r="55" spans="1:15" x14ac:dyDescent="0.25">
      <c r="A55" s="669" t="s">
        <v>25</v>
      </c>
      <c r="B55" s="15"/>
      <c r="C55" s="3"/>
      <c r="D55" s="3"/>
      <c r="E55" s="3"/>
      <c r="F55" s="588"/>
      <c r="G55" s="577"/>
      <c r="H55" s="628"/>
      <c r="I55" s="683"/>
      <c r="J55" s="471"/>
      <c r="K55" s="575"/>
      <c r="L55" s="729"/>
      <c r="M55" s="709">
        <f t="shared" ref="M55:M102" si="8">K55*1.10231</f>
        <v>0</v>
      </c>
    </row>
    <row r="56" spans="1:15" x14ac:dyDescent="0.25">
      <c r="A56" s="672"/>
      <c r="B56" s="123" t="s">
        <v>3</v>
      </c>
      <c r="C56" s="123" t="s">
        <v>56</v>
      </c>
      <c r="D56" s="123" t="s">
        <v>272</v>
      </c>
      <c r="E56" s="614">
        <v>1.49</v>
      </c>
      <c r="F56" s="586">
        <v>6.641</v>
      </c>
      <c r="G56" s="598">
        <f t="shared" si="3"/>
        <v>7.3204407099999997</v>
      </c>
      <c r="H56" s="685">
        <v>42989</v>
      </c>
      <c r="I56" s="519">
        <f>F56*0.9</f>
        <v>5.9769000000000005</v>
      </c>
      <c r="J56" s="687"/>
      <c r="K56" s="547">
        <v>5.931</v>
      </c>
      <c r="L56" s="714">
        <f>K56/I56</f>
        <v>0.99232043366962797</v>
      </c>
      <c r="M56" s="711">
        <f t="shared" si="8"/>
        <v>6.5378006099999997</v>
      </c>
    </row>
    <row r="57" spans="1:15" x14ac:dyDescent="0.25">
      <c r="A57" s="673" t="s">
        <v>196</v>
      </c>
      <c r="B57" s="245"/>
      <c r="C57" s="245"/>
      <c r="D57" s="245"/>
      <c r="E57" s="616"/>
      <c r="F57" s="588"/>
      <c r="G57" s="577"/>
      <c r="H57" s="628"/>
      <c r="I57" s="683"/>
      <c r="J57" s="471"/>
      <c r="K57" s="575"/>
      <c r="L57" s="729"/>
      <c r="M57" s="709"/>
    </row>
    <row r="58" spans="1:15" x14ac:dyDescent="0.25">
      <c r="A58" s="672"/>
      <c r="B58" s="309" t="s">
        <v>197</v>
      </c>
      <c r="C58" s="309"/>
      <c r="D58" s="123" t="s">
        <v>275</v>
      </c>
      <c r="E58" s="617">
        <v>6</v>
      </c>
      <c r="F58" s="586">
        <v>11.5</v>
      </c>
      <c r="G58" s="598">
        <f t="shared" si="3"/>
        <v>12.676564999999998</v>
      </c>
      <c r="H58" s="490"/>
      <c r="I58" s="519">
        <f>16.7</f>
        <v>16.7</v>
      </c>
      <c r="J58" s="687" t="s">
        <v>344</v>
      </c>
      <c r="K58" s="547">
        <f>10.1+5.032+3.99+2.611</f>
        <v>21.733000000000001</v>
      </c>
      <c r="L58" s="714">
        <f>K58/I58</f>
        <v>1.301377245508982</v>
      </c>
      <c r="M58" s="711">
        <f t="shared" si="8"/>
        <v>23.956503229999999</v>
      </c>
    </row>
    <row r="59" spans="1:15" x14ac:dyDescent="0.25">
      <c r="A59" s="673" t="s">
        <v>27</v>
      </c>
      <c r="B59" s="15"/>
      <c r="C59" s="3"/>
      <c r="D59" s="3"/>
      <c r="E59" s="3"/>
      <c r="F59" s="588"/>
      <c r="G59" s="577"/>
      <c r="H59" s="628"/>
      <c r="I59" s="656"/>
      <c r="J59" s="471"/>
      <c r="K59" s="575"/>
      <c r="L59" s="729"/>
      <c r="M59" s="709"/>
    </row>
    <row r="60" spans="1:15" x14ac:dyDescent="0.25">
      <c r="A60" s="671"/>
      <c r="B60" s="9" t="s">
        <v>3</v>
      </c>
      <c r="C60" s="9" t="s">
        <v>57</v>
      </c>
      <c r="D60" s="9" t="s">
        <v>277</v>
      </c>
      <c r="E60" s="576">
        <v>0.19</v>
      </c>
      <c r="F60" s="584">
        <v>0.315</v>
      </c>
      <c r="G60" s="574">
        <f t="shared" si="3"/>
        <v>0.34722765</v>
      </c>
      <c r="H60" s="629">
        <v>43027</v>
      </c>
      <c r="I60" s="657">
        <v>0.4</v>
      </c>
      <c r="J60" s="471"/>
      <c r="K60" s="703">
        <v>0.35899999999999999</v>
      </c>
      <c r="L60" s="729">
        <f>K60/I60</f>
        <v>0.89749999999999996</v>
      </c>
      <c r="M60" s="709">
        <f t="shared" si="8"/>
        <v>0.39572928999999996</v>
      </c>
      <c r="O60" s="693">
        <f>M60</f>
        <v>0.39572928999999996</v>
      </c>
    </row>
    <row r="61" spans="1:15" x14ac:dyDescent="0.25">
      <c r="A61" s="670"/>
      <c r="B61" s="9"/>
      <c r="C61" s="9" t="s">
        <v>58</v>
      </c>
      <c r="D61" s="9" t="s">
        <v>278</v>
      </c>
      <c r="E61" s="576">
        <v>2.36</v>
      </c>
      <c r="F61" s="584">
        <v>5.8479999999999999</v>
      </c>
      <c r="G61" s="574">
        <f t="shared" si="3"/>
        <v>6.4463088799999992</v>
      </c>
      <c r="H61" s="629">
        <v>43027</v>
      </c>
      <c r="I61" s="657">
        <v>8.5</v>
      </c>
      <c r="J61" s="471"/>
      <c r="K61" s="703">
        <v>8.3759999999999994</v>
      </c>
      <c r="L61" s="729">
        <f>K61/I61</f>
        <v>0.98541176470588232</v>
      </c>
      <c r="M61" s="709">
        <f t="shared" si="8"/>
        <v>9.2329485599999987</v>
      </c>
    </row>
    <row r="62" spans="1:15" x14ac:dyDescent="0.25">
      <c r="A62" s="671"/>
      <c r="B62" s="9"/>
      <c r="C62" s="9" t="s">
        <v>59</v>
      </c>
      <c r="D62" s="9" t="s">
        <v>279</v>
      </c>
      <c r="E62" s="576">
        <v>1.17</v>
      </c>
      <c r="F62" s="584">
        <v>3.2360000000000002</v>
      </c>
      <c r="G62" s="574">
        <f t="shared" si="3"/>
        <v>3.5670751599999999</v>
      </c>
      <c r="H62" s="629">
        <v>43027</v>
      </c>
      <c r="I62" s="657">
        <v>4.3</v>
      </c>
      <c r="J62" s="471"/>
      <c r="K62" s="703">
        <v>4.3959999999999999</v>
      </c>
      <c r="L62" s="729">
        <f t="shared" ref="L62:L63" si="9">K62/I62</f>
        <v>1.0223255813953489</v>
      </c>
      <c r="M62" s="709">
        <f t="shared" si="8"/>
        <v>4.8457547599999993</v>
      </c>
    </row>
    <row r="63" spans="1:15" x14ac:dyDescent="0.25">
      <c r="A63" s="671"/>
      <c r="B63" s="9"/>
      <c r="C63" s="9" t="s">
        <v>60</v>
      </c>
      <c r="D63" s="9" t="s">
        <v>280</v>
      </c>
      <c r="E63" s="576">
        <v>1.08</v>
      </c>
      <c r="F63" s="584">
        <v>2.6040000000000001</v>
      </c>
      <c r="G63" s="574">
        <f t="shared" si="3"/>
        <v>2.8704152399999998</v>
      </c>
      <c r="H63" s="629">
        <v>43027</v>
      </c>
      <c r="I63" s="657">
        <v>3.2</v>
      </c>
      <c r="J63" s="471"/>
      <c r="K63" s="703">
        <v>3.2789999999999999</v>
      </c>
      <c r="L63" s="729">
        <f t="shared" si="9"/>
        <v>1.0246875</v>
      </c>
      <c r="M63" s="709">
        <f t="shared" si="8"/>
        <v>3.6144744899999997</v>
      </c>
      <c r="O63" s="694">
        <f>SUM(M61:M63)</f>
        <v>17.693177809999998</v>
      </c>
    </row>
    <row r="64" spans="1:15" x14ac:dyDescent="0.25">
      <c r="A64" s="672"/>
      <c r="B64" s="25"/>
      <c r="C64" s="591" t="s">
        <v>118</v>
      </c>
      <c r="D64" s="123"/>
      <c r="E64" s="605">
        <f>SUM(E60:E63)</f>
        <v>4.8</v>
      </c>
      <c r="F64" s="586">
        <f>SUM(F60:F63)</f>
        <v>12.003</v>
      </c>
      <c r="G64" s="598">
        <f t="shared" si="3"/>
        <v>13.231026929999999</v>
      </c>
      <c r="H64" s="490"/>
      <c r="I64" s="519">
        <f>SUM(I60:I63)</f>
        <v>16.399999999999999</v>
      </c>
      <c r="J64" s="519">
        <f>SUM(J60:J63)</f>
        <v>0</v>
      </c>
      <c r="K64" s="547">
        <f>SUM(K60:K63)</f>
        <v>16.41</v>
      </c>
      <c r="L64" s="714">
        <f>K64/I64</f>
        <v>1.0006097560975611</v>
      </c>
      <c r="M64" s="711">
        <f t="shared" si="8"/>
        <v>18.0889071</v>
      </c>
    </row>
    <row r="65" spans="1:15" x14ac:dyDescent="0.25">
      <c r="A65" s="669" t="s">
        <v>28</v>
      </c>
      <c r="B65" s="15"/>
      <c r="C65" s="3"/>
      <c r="D65" s="3"/>
      <c r="E65" s="3"/>
      <c r="F65" s="588"/>
      <c r="G65" s="577"/>
      <c r="H65" s="628"/>
      <c r="I65" s="683"/>
      <c r="J65" s="471"/>
      <c r="K65" s="575"/>
      <c r="L65" s="729"/>
      <c r="M65" s="709"/>
    </row>
    <row r="66" spans="1:15" x14ac:dyDescent="0.25">
      <c r="A66" s="671"/>
      <c r="B66" s="9" t="s">
        <v>3</v>
      </c>
      <c r="C66" s="9" t="s">
        <v>53</v>
      </c>
      <c r="D66" s="9" t="s">
        <v>283</v>
      </c>
      <c r="E66" s="576">
        <v>1.0900000000000001</v>
      </c>
      <c r="F66" s="584">
        <v>2.766</v>
      </c>
      <c r="G66" s="574">
        <f t="shared" ref="G66:G102" si="10">F66*1.10231</f>
        <v>3.0489894599999996</v>
      </c>
      <c r="H66" s="629">
        <v>42990</v>
      </c>
      <c r="I66" s="657">
        <v>4.2</v>
      </c>
      <c r="J66" s="471"/>
      <c r="K66" s="703">
        <v>3.4169999999999998</v>
      </c>
      <c r="L66" s="729">
        <f t="shared" ref="L66:L101" si="11">K66/I66</f>
        <v>0.8135714285714285</v>
      </c>
      <c r="M66" s="709">
        <f t="shared" si="8"/>
        <v>3.7665932699999995</v>
      </c>
    </row>
    <row r="67" spans="1:15" x14ac:dyDescent="0.25">
      <c r="A67" s="671"/>
      <c r="B67" s="9" t="s">
        <v>3</v>
      </c>
      <c r="C67" s="9" t="s">
        <v>61</v>
      </c>
      <c r="D67" s="9" t="s">
        <v>284</v>
      </c>
      <c r="E67" s="576">
        <v>0.83</v>
      </c>
      <c r="F67" s="584">
        <v>2.7730000000000001</v>
      </c>
      <c r="G67" s="574">
        <f t="shared" si="10"/>
        <v>3.0567056299999997</v>
      </c>
      <c r="H67" s="640"/>
      <c r="I67" s="657">
        <v>4.9000000000000004</v>
      </c>
      <c r="J67" s="471"/>
      <c r="K67" s="703">
        <v>4.6740000000000004</v>
      </c>
      <c r="L67" s="729">
        <f t="shared" si="11"/>
        <v>0.95387755102040817</v>
      </c>
      <c r="M67" s="709">
        <f t="shared" si="8"/>
        <v>5.1521969399999996</v>
      </c>
      <c r="O67" s="693">
        <f>SUM(M66:M67)</f>
        <v>8.9187902099999992</v>
      </c>
    </row>
    <row r="68" spans="1:15" x14ac:dyDescent="0.25">
      <c r="A68" s="671"/>
      <c r="B68" s="72" t="s">
        <v>86</v>
      </c>
      <c r="C68" s="9"/>
      <c r="D68" s="9" t="s">
        <v>285</v>
      </c>
      <c r="E68" s="135">
        <v>0.05</v>
      </c>
      <c r="F68" s="584"/>
      <c r="G68" s="574">
        <f t="shared" si="10"/>
        <v>0</v>
      </c>
      <c r="H68" s="640"/>
      <c r="I68" s="657">
        <f>F68*0.9</f>
        <v>0</v>
      </c>
      <c r="J68" s="471"/>
      <c r="K68" s="695"/>
      <c r="L68" s="729"/>
      <c r="M68" s="709"/>
    </row>
    <row r="69" spans="1:15" ht="15.75" thickBot="1" x14ac:dyDescent="0.3">
      <c r="A69" s="671"/>
      <c r="B69" s="9" t="s">
        <v>6</v>
      </c>
      <c r="C69" s="9"/>
      <c r="D69" s="9" t="s">
        <v>286</v>
      </c>
      <c r="E69" s="581">
        <v>13.5</v>
      </c>
      <c r="F69" s="585">
        <v>43.442</v>
      </c>
      <c r="G69" s="596">
        <f t="shared" si="10"/>
        <v>47.886551019999999</v>
      </c>
      <c r="H69" s="632">
        <v>43000</v>
      </c>
      <c r="I69" s="657">
        <v>50</v>
      </c>
      <c r="J69" s="471"/>
      <c r="K69" s="703">
        <f>25.822+10.686+0.726</f>
        <v>37.233999999999995</v>
      </c>
      <c r="L69" s="729">
        <f t="shared" si="11"/>
        <v>0.7446799999999999</v>
      </c>
      <c r="M69" s="709">
        <f t="shared" si="8"/>
        <v>41.043410539999989</v>
      </c>
    </row>
    <row r="70" spans="1:15" ht="15.75" thickTop="1" x14ac:dyDescent="0.25">
      <c r="A70" s="672"/>
      <c r="B70" s="25"/>
      <c r="C70" s="591" t="s">
        <v>118</v>
      </c>
      <c r="D70" s="123"/>
      <c r="E70" s="605">
        <f>SUM(E66:E69)</f>
        <v>15.47</v>
      </c>
      <c r="F70" s="586">
        <f>SUM(F66:F69)</f>
        <v>48.981000000000002</v>
      </c>
      <c r="G70" s="598">
        <f t="shared" si="10"/>
        <v>53.992246109999996</v>
      </c>
      <c r="H70" s="490"/>
      <c r="I70" s="519">
        <f>SUM(I66:I69)</f>
        <v>59.1</v>
      </c>
      <c r="J70" s="519">
        <f t="shared" ref="J70" si="12">SUM(J66:J69)</f>
        <v>0</v>
      </c>
      <c r="K70" s="547">
        <f>SUM(K66:K69)</f>
        <v>45.324999999999996</v>
      </c>
      <c r="L70" s="714">
        <f>K70/I70</f>
        <v>0.76692047377326555</v>
      </c>
      <c r="M70" s="711">
        <f t="shared" si="8"/>
        <v>49.962200749999994</v>
      </c>
    </row>
    <row r="71" spans="1:15" x14ac:dyDescent="0.25">
      <c r="A71" s="673" t="s">
        <v>30</v>
      </c>
      <c r="B71" s="15"/>
      <c r="C71" s="3"/>
      <c r="D71" s="3"/>
      <c r="E71" s="3"/>
      <c r="F71" s="588"/>
      <c r="G71" s="577"/>
      <c r="H71" s="628"/>
      <c r="I71" s="683"/>
      <c r="J71" s="471"/>
      <c r="K71" s="575"/>
      <c r="L71" s="729"/>
      <c r="M71" s="709"/>
    </row>
    <row r="72" spans="1:15" x14ac:dyDescent="0.25">
      <c r="A72" s="671"/>
      <c r="B72" s="9" t="s">
        <v>3</v>
      </c>
      <c r="C72" s="9" t="s">
        <v>57</v>
      </c>
      <c r="D72" s="9" t="s">
        <v>291</v>
      </c>
      <c r="E72" s="576">
        <v>0.91</v>
      </c>
      <c r="F72" s="584">
        <v>2.0369999999999999</v>
      </c>
      <c r="G72" s="574">
        <f t="shared" si="10"/>
        <v>2.2454054699999997</v>
      </c>
      <c r="H72" s="629">
        <v>43020</v>
      </c>
      <c r="I72" s="657">
        <v>3.5</v>
      </c>
      <c r="J72" s="471"/>
      <c r="K72" s="703">
        <v>2.677</v>
      </c>
      <c r="L72" s="729">
        <f t="shared" si="11"/>
        <v>0.7648571428571429</v>
      </c>
      <c r="M72" s="709">
        <f t="shared" si="8"/>
        <v>2.9508838699999997</v>
      </c>
    </row>
    <row r="73" spans="1:15" x14ac:dyDescent="0.25">
      <c r="A73" s="670"/>
      <c r="B73" s="9" t="s">
        <v>3</v>
      </c>
      <c r="C73" s="9" t="s">
        <v>51</v>
      </c>
      <c r="D73" s="9" t="s">
        <v>292</v>
      </c>
      <c r="E73" s="576">
        <v>2.79</v>
      </c>
      <c r="F73" s="584">
        <v>7.0750000000000002</v>
      </c>
      <c r="G73" s="574">
        <f t="shared" si="10"/>
        <v>7.7988432499999991</v>
      </c>
      <c r="H73" s="629">
        <v>43020</v>
      </c>
      <c r="I73" s="657">
        <v>9</v>
      </c>
      <c r="J73" s="471"/>
      <c r="K73" s="703">
        <v>10.407</v>
      </c>
      <c r="L73" s="729">
        <f t="shared" si="11"/>
        <v>1.1563333333333334</v>
      </c>
      <c r="M73" s="709">
        <f t="shared" si="8"/>
        <v>11.471740169999999</v>
      </c>
    </row>
    <row r="74" spans="1:15" x14ac:dyDescent="0.25">
      <c r="A74" s="671"/>
      <c r="B74" s="123" t="s">
        <v>3</v>
      </c>
      <c r="C74" s="123" t="s">
        <v>208</v>
      </c>
      <c r="D74" s="123" t="s">
        <v>293</v>
      </c>
      <c r="E74" s="620">
        <v>4.33</v>
      </c>
      <c r="F74" s="584">
        <v>15.206</v>
      </c>
      <c r="G74" s="574">
        <f t="shared" si="10"/>
        <v>16.761725859999999</v>
      </c>
      <c r="H74" s="629">
        <v>43020</v>
      </c>
      <c r="I74" s="657">
        <v>10.7</v>
      </c>
      <c r="J74" s="471"/>
      <c r="K74" s="703">
        <f>7+2.714+1.229</f>
        <v>10.943000000000001</v>
      </c>
      <c r="L74" s="729">
        <f t="shared" si="11"/>
        <v>1.0227102803738319</v>
      </c>
      <c r="M74" s="709">
        <f t="shared" si="8"/>
        <v>12.062578330000001</v>
      </c>
    </row>
    <row r="75" spans="1:15" x14ac:dyDescent="0.25">
      <c r="A75" s="670"/>
      <c r="B75" s="572" t="s">
        <v>3</v>
      </c>
      <c r="C75" s="572" t="s">
        <v>65</v>
      </c>
      <c r="D75" s="572" t="s">
        <v>316</v>
      </c>
      <c r="E75" s="621">
        <v>4.92</v>
      </c>
      <c r="F75" s="584">
        <v>14.496</v>
      </c>
      <c r="G75" s="574">
        <f t="shared" si="10"/>
        <v>15.979085759999998</v>
      </c>
      <c r="H75" s="629">
        <v>43021</v>
      </c>
      <c r="I75" s="657">
        <v>15</v>
      </c>
      <c r="J75" s="471"/>
      <c r="K75" s="703">
        <f>12.781+6.19</f>
        <v>18.971</v>
      </c>
      <c r="L75" s="729">
        <f t="shared" si="11"/>
        <v>1.2647333333333333</v>
      </c>
      <c r="M75" s="709">
        <f t="shared" si="8"/>
        <v>20.911923009999999</v>
      </c>
      <c r="O75" s="693">
        <f>SUM(M72:M75)</f>
        <v>47.397125379999999</v>
      </c>
    </row>
    <row r="76" spans="1:15" x14ac:dyDescent="0.25">
      <c r="A76" s="672"/>
      <c r="B76" s="25"/>
      <c r="C76" s="591" t="s">
        <v>118</v>
      </c>
      <c r="D76" s="123"/>
      <c r="E76" s="605">
        <f>SUM(E72:E75)</f>
        <v>12.950000000000001</v>
      </c>
      <c r="F76" s="586">
        <f>SUM(F72:F75)</f>
        <v>38.814</v>
      </c>
      <c r="G76" s="598">
        <f t="shared" si="10"/>
        <v>42.785060339999994</v>
      </c>
      <c r="H76" s="490"/>
      <c r="I76" s="519">
        <f>SUM(I72:I75)</f>
        <v>38.200000000000003</v>
      </c>
      <c r="J76" s="519">
        <f>SUM(J72:J75)</f>
        <v>0</v>
      </c>
      <c r="K76" s="547">
        <f>SUM(K72:K75)</f>
        <v>42.998000000000005</v>
      </c>
      <c r="L76" s="714">
        <f>K76/I76</f>
        <v>1.1256020942408378</v>
      </c>
      <c r="M76" s="711">
        <f t="shared" si="8"/>
        <v>47.397125379999999</v>
      </c>
    </row>
    <row r="77" spans="1:15" x14ac:dyDescent="0.25">
      <c r="A77" s="669" t="s">
        <v>33</v>
      </c>
      <c r="B77" s="15"/>
      <c r="C77" s="15"/>
      <c r="D77" s="15"/>
      <c r="E77" s="580"/>
      <c r="F77" s="588"/>
      <c r="G77" s="577"/>
      <c r="H77" s="628"/>
      <c r="I77" s="683"/>
      <c r="J77" s="471"/>
      <c r="K77" s="575"/>
      <c r="L77" s="729"/>
      <c r="M77" s="709"/>
    </row>
    <row r="78" spans="1:15" x14ac:dyDescent="0.25">
      <c r="A78" s="671"/>
      <c r="B78" s="72" t="s">
        <v>3</v>
      </c>
      <c r="C78" s="72" t="s">
        <v>52</v>
      </c>
      <c r="D78" s="9" t="s">
        <v>295</v>
      </c>
      <c r="E78" s="576">
        <v>1.79</v>
      </c>
      <c r="F78" s="584">
        <v>7.0759999999999996</v>
      </c>
      <c r="G78" s="574">
        <f t="shared" si="10"/>
        <v>7.7999455599999985</v>
      </c>
      <c r="H78" s="629">
        <v>42999</v>
      </c>
      <c r="I78" s="657">
        <v>5.7</v>
      </c>
      <c r="J78" s="471"/>
      <c r="K78" s="703">
        <v>6.1769999999999996</v>
      </c>
      <c r="L78" s="729">
        <f t="shared" si="11"/>
        <v>1.0836842105263156</v>
      </c>
      <c r="M78" s="709">
        <f t="shared" si="8"/>
        <v>6.8089688699999993</v>
      </c>
    </row>
    <row r="79" spans="1:15" x14ac:dyDescent="0.25">
      <c r="A79" s="671"/>
      <c r="B79" s="72" t="s">
        <v>3</v>
      </c>
      <c r="C79" s="72" t="s">
        <v>32</v>
      </c>
      <c r="D79" s="9" t="s">
        <v>296</v>
      </c>
      <c r="E79" s="576">
        <v>2.4700000000000002</v>
      </c>
      <c r="F79" s="584">
        <v>8.8469999999999995</v>
      </c>
      <c r="G79" s="574">
        <f t="shared" si="10"/>
        <v>9.7521365699999993</v>
      </c>
      <c r="H79" s="629">
        <v>42999</v>
      </c>
      <c r="I79" s="657">
        <v>9.4</v>
      </c>
      <c r="J79" s="471"/>
      <c r="K79" s="703">
        <v>6.2469999999999999</v>
      </c>
      <c r="L79" s="729">
        <f t="shared" si="11"/>
        <v>0.66457446808510634</v>
      </c>
      <c r="M79" s="709">
        <f t="shared" si="8"/>
        <v>6.8861305699999988</v>
      </c>
    </row>
    <row r="80" spans="1:15" x14ac:dyDescent="0.25">
      <c r="A80" s="671"/>
      <c r="B80" s="9" t="s">
        <v>3</v>
      </c>
      <c r="C80" s="9" t="s">
        <v>209</v>
      </c>
      <c r="D80" s="9" t="s">
        <v>297</v>
      </c>
      <c r="E80" s="576">
        <v>2.4300000000000002</v>
      </c>
      <c r="F80" s="584">
        <v>10.4</v>
      </c>
      <c r="G80" s="574">
        <f t="shared" si="10"/>
        <v>11.464024</v>
      </c>
      <c r="H80" s="629">
        <v>43008</v>
      </c>
      <c r="I80" s="657">
        <v>11.3</v>
      </c>
      <c r="J80" s="471"/>
      <c r="K80" s="703">
        <f>4.767+1.702+4.351</f>
        <v>10.82</v>
      </c>
      <c r="L80" s="729">
        <f t="shared" si="11"/>
        <v>0.95752212389380531</v>
      </c>
      <c r="M80" s="709">
        <f t="shared" si="8"/>
        <v>11.926994199999999</v>
      </c>
    </row>
    <row r="81" spans="1:15" x14ac:dyDescent="0.25">
      <c r="A81" s="671"/>
      <c r="B81" s="9" t="s">
        <v>3</v>
      </c>
      <c r="C81" s="9" t="s">
        <v>68</v>
      </c>
      <c r="D81" s="9" t="s">
        <v>298</v>
      </c>
      <c r="E81" s="576">
        <v>0.56999999999999995</v>
      </c>
      <c r="F81" s="584">
        <v>2.5670000000000002</v>
      </c>
      <c r="G81" s="574">
        <f t="shared" si="10"/>
        <v>2.8296297699999999</v>
      </c>
      <c r="H81" s="629">
        <v>43008</v>
      </c>
      <c r="I81" s="657">
        <v>2.8</v>
      </c>
      <c r="J81" s="471"/>
      <c r="K81" s="703">
        <v>2.1160000000000001</v>
      </c>
      <c r="L81" s="729">
        <f t="shared" si="11"/>
        <v>0.75571428571428578</v>
      </c>
      <c r="M81" s="709">
        <f t="shared" si="8"/>
        <v>2.3324879599999999</v>
      </c>
    </row>
    <row r="82" spans="1:15" x14ac:dyDescent="0.25">
      <c r="A82" s="671"/>
      <c r="B82" s="9" t="s">
        <v>3</v>
      </c>
      <c r="C82" s="72" t="s">
        <v>69</v>
      </c>
      <c r="D82" s="9" t="s">
        <v>299</v>
      </c>
      <c r="E82" s="576">
        <v>0.9</v>
      </c>
      <c r="F82" s="584">
        <v>3.5329999999999999</v>
      </c>
      <c r="G82" s="574">
        <f t="shared" si="10"/>
        <v>3.8944612299999997</v>
      </c>
      <c r="H82" s="629">
        <v>42992</v>
      </c>
      <c r="I82" s="657">
        <v>3.3</v>
      </c>
      <c r="J82" s="471"/>
      <c r="K82" s="703">
        <v>3.036</v>
      </c>
      <c r="L82" s="729">
        <f t="shared" si="11"/>
        <v>0.92</v>
      </c>
      <c r="M82" s="709">
        <f t="shared" si="8"/>
        <v>3.3466131599999995</v>
      </c>
    </row>
    <row r="83" spans="1:15" x14ac:dyDescent="0.25">
      <c r="A83" s="671"/>
      <c r="B83" s="9" t="s">
        <v>3</v>
      </c>
      <c r="C83" s="9" t="s">
        <v>70</v>
      </c>
      <c r="D83" s="9" t="s">
        <v>300</v>
      </c>
      <c r="E83" s="576">
        <v>2.68</v>
      </c>
      <c r="F83" s="584">
        <v>11.69</v>
      </c>
      <c r="G83" s="574">
        <f t="shared" si="10"/>
        <v>12.886003899999999</v>
      </c>
      <c r="H83" s="629">
        <v>42997</v>
      </c>
      <c r="I83" s="657">
        <v>12</v>
      </c>
      <c r="J83" s="471"/>
      <c r="K83" s="703">
        <v>11.135</v>
      </c>
      <c r="L83" s="729">
        <f t="shared" si="11"/>
        <v>0.92791666666666661</v>
      </c>
      <c r="M83" s="709">
        <f t="shared" si="8"/>
        <v>12.274221849999998</v>
      </c>
    </row>
    <row r="84" spans="1:15" x14ac:dyDescent="0.25">
      <c r="A84" s="670"/>
      <c r="B84" s="9" t="s">
        <v>3</v>
      </c>
      <c r="C84" s="9" t="s">
        <v>210</v>
      </c>
      <c r="D84" s="9" t="s">
        <v>326</v>
      </c>
      <c r="E84" s="576">
        <v>3.41</v>
      </c>
      <c r="F84" s="584">
        <v>3.1120000000000001</v>
      </c>
      <c r="G84" s="574">
        <f t="shared" si="10"/>
        <v>3.4303887199999998</v>
      </c>
      <c r="H84" s="629">
        <v>42997</v>
      </c>
      <c r="I84" s="657">
        <v>3.3</v>
      </c>
      <c r="J84" s="471"/>
      <c r="K84" s="703">
        <v>3.008</v>
      </c>
      <c r="L84" s="729">
        <f t="shared" si="11"/>
        <v>0.91151515151515161</v>
      </c>
      <c r="M84" s="709">
        <f t="shared" si="8"/>
        <v>3.3157484799999999</v>
      </c>
    </row>
    <row r="85" spans="1:15" x14ac:dyDescent="0.25">
      <c r="A85" s="670"/>
      <c r="B85" s="9"/>
      <c r="C85" s="9"/>
      <c r="D85" s="9" t="s">
        <v>328</v>
      </c>
      <c r="E85" s="576"/>
      <c r="F85" s="584">
        <v>4.0190000000000001</v>
      </c>
      <c r="G85" s="574">
        <f t="shared" si="10"/>
        <v>4.4301838899999995</v>
      </c>
      <c r="H85" s="629">
        <v>42997</v>
      </c>
      <c r="I85" s="657">
        <v>4.4000000000000004</v>
      </c>
      <c r="J85" s="471"/>
      <c r="K85" s="703">
        <v>3.1459999999999999</v>
      </c>
      <c r="L85" s="729">
        <f t="shared" si="11"/>
        <v>0.71499999999999997</v>
      </c>
      <c r="M85" s="709">
        <f t="shared" si="8"/>
        <v>3.4678672599999998</v>
      </c>
    </row>
    <row r="86" spans="1:15" x14ac:dyDescent="0.25">
      <c r="A86" s="670"/>
      <c r="B86" s="9"/>
      <c r="C86" s="9"/>
      <c r="D86" s="9" t="s">
        <v>327</v>
      </c>
      <c r="E86" s="576"/>
      <c r="F86" s="584">
        <v>4.97</v>
      </c>
      <c r="G86" s="574">
        <f t="shared" si="10"/>
        <v>5.4784806999999995</v>
      </c>
      <c r="H86" s="629">
        <v>42996</v>
      </c>
      <c r="I86" s="657">
        <v>5.5</v>
      </c>
      <c r="J86" s="471"/>
      <c r="K86" s="703">
        <v>5.2759999999999998</v>
      </c>
      <c r="L86" s="729">
        <f t="shared" si="11"/>
        <v>0.95927272727272728</v>
      </c>
      <c r="M86" s="709">
        <f t="shared" si="8"/>
        <v>5.8157875599999995</v>
      </c>
    </row>
    <row r="87" spans="1:15" x14ac:dyDescent="0.25">
      <c r="A87" s="671"/>
      <c r="B87" s="9" t="s">
        <v>3</v>
      </c>
      <c r="C87" s="9" t="s">
        <v>74</v>
      </c>
      <c r="D87" s="9" t="s">
        <v>301</v>
      </c>
      <c r="E87" s="576">
        <v>1.72</v>
      </c>
      <c r="F87" s="584">
        <v>7.1520000000000001</v>
      </c>
      <c r="G87" s="574">
        <f t="shared" si="10"/>
        <v>7.8837211199999997</v>
      </c>
      <c r="H87" s="629">
        <v>43018</v>
      </c>
      <c r="I87" s="657">
        <v>6.8</v>
      </c>
      <c r="J87" s="471"/>
      <c r="K87" s="703">
        <v>6.9589999999999996</v>
      </c>
      <c r="L87" s="729">
        <f t="shared" si="11"/>
        <v>1.0233823529411765</v>
      </c>
      <c r="M87" s="709">
        <f t="shared" si="8"/>
        <v>7.6709752899999986</v>
      </c>
    </row>
    <row r="88" spans="1:15" x14ac:dyDescent="0.25">
      <c r="A88" s="670"/>
      <c r="B88" s="9" t="s">
        <v>3</v>
      </c>
      <c r="C88" s="9" t="s">
        <v>75</v>
      </c>
      <c r="D88" s="9" t="s">
        <v>302</v>
      </c>
      <c r="E88" s="576">
        <v>1.57</v>
      </c>
      <c r="F88" s="584">
        <v>4.548</v>
      </c>
      <c r="G88" s="574">
        <f t="shared" si="10"/>
        <v>5.0133058799999999</v>
      </c>
      <c r="H88" s="629">
        <v>42997</v>
      </c>
      <c r="I88" s="657">
        <v>5</v>
      </c>
      <c r="J88" s="471"/>
      <c r="K88" s="703">
        <v>4.3929999999999998</v>
      </c>
      <c r="L88" s="729">
        <f t="shared" si="11"/>
        <v>0.87859999999999994</v>
      </c>
      <c r="M88" s="709">
        <f t="shared" si="8"/>
        <v>4.8424478299999993</v>
      </c>
    </row>
    <row r="89" spans="1:15" x14ac:dyDescent="0.25">
      <c r="A89" s="671"/>
      <c r="B89" s="9" t="s">
        <v>3</v>
      </c>
      <c r="C89" s="9" t="s">
        <v>211</v>
      </c>
      <c r="D89" s="9" t="s">
        <v>335</v>
      </c>
      <c r="E89" s="576">
        <v>2.5099999999999998</v>
      </c>
      <c r="F89" s="584">
        <v>5.92</v>
      </c>
      <c r="G89" s="574">
        <f t="shared" si="10"/>
        <v>6.5256751999999993</v>
      </c>
      <c r="H89" s="629">
        <v>43008</v>
      </c>
      <c r="I89" s="657">
        <v>6</v>
      </c>
      <c r="J89" s="471"/>
      <c r="K89" s="703">
        <f>1.874+2.911+0.097</f>
        <v>4.8820000000000006</v>
      </c>
      <c r="L89" s="729">
        <f t="shared" si="11"/>
        <v>0.81366666666666676</v>
      </c>
      <c r="M89" s="709">
        <f t="shared" si="8"/>
        <v>5.3814774200000004</v>
      </c>
    </row>
    <row r="90" spans="1:15" x14ac:dyDescent="0.25">
      <c r="A90" s="671"/>
      <c r="B90" s="9"/>
      <c r="C90" s="9"/>
      <c r="D90" s="9" t="s">
        <v>334</v>
      </c>
      <c r="E90" s="576"/>
      <c r="F90" s="584">
        <v>6.2869999999999999</v>
      </c>
      <c r="G90" s="574">
        <f t="shared" si="10"/>
        <v>6.9302229699999991</v>
      </c>
      <c r="H90" s="629">
        <v>43018</v>
      </c>
      <c r="I90" s="657">
        <v>6</v>
      </c>
      <c r="J90" s="471"/>
      <c r="K90" s="703">
        <f>2.337+1.465</f>
        <v>3.8020000000000005</v>
      </c>
      <c r="L90" s="729">
        <f t="shared" si="11"/>
        <v>0.63366666666666671</v>
      </c>
      <c r="M90" s="709">
        <f t="shared" si="8"/>
        <v>4.1909826199999998</v>
      </c>
      <c r="O90" s="693">
        <f>SUM(M78:M90)</f>
        <v>78.260703069999991</v>
      </c>
    </row>
    <row r="91" spans="1:15" x14ac:dyDescent="0.25">
      <c r="A91" s="671"/>
      <c r="B91" s="9" t="s">
        <v>86</v>
      </c>
      <c r="C91" s="9" t="s">
        <v>213</v>
      </c>
      <c r="D91" s="9" t="s">
        <v>303</v>
      </c>
      <c r="E91" s="576">
        <v>2.71</v>
      </c>
      <c r="F91" s="584">
        <v>7.04</v>
      </c>
      <c r="G91" s="574">
        <f t="shared" si="10"/>
        <v>7.7602623999999993</v>
      </c>
      <c r="H91" s="629">
        <v>43018</v>
      </c>
      <c r="I91" s="657">
        <v>9.6999999999999993</v>
      </c>
      <c r="J91" s="471"/>
      <c r="K91" s="703">
        <v>8.4</v>
      </c>
      <c r="L91" s="729">
        <f t="shared" si="11"/>
        <v>0.86597938144329911</v>
      </c>
      <c r="M91" s="709">
        <f t="shared" si="8"/>
        <v>9.259404</v>
      </c>
    </row>
    <row r="92" spans="1:15" x14ac:dyDescent="0.25">
      <c r="A92" s="670"/>
      <c r="B92" s="9" t="s">
        <v>86</v>
      </c>
      <c r="C92" s="9" t="s">
        <v>214</v>
      </c>
      <c r="D92" s="9" t="s">
        <v>332</v>
      </c>
      <c r="E92" s="576">
        <v>1.04</v>
      </c>
      <c r="F92" s="584">
        <v>3.996</v>
      </c>
      <c r="G92" s="574">
        <f t="shared" si="10"/>
        <v>4.4048307599999994</v>
      </c>
      <c r="H92" s="629">
        <v>42992</v>
      </c>
      <c r="I92" s="657">
        <v>4.0999999999999996</v>
      </c>
      <c r="J92" s="471"/>
      <c r="K92" s="703">
        <v>3.8959999999999999</v>
      </c>
      <c r="L92" s="729">
        <f t="shared" si="11"/>
        <v>0.95024390243902446</v>
      </c>
      <c r="M92" s="709">
        <f t="shared" si="8"/>
        <v>4.2945997599999997</v>
      </c>
    </row>
    <row r="93" spans="1:15" x14ac:dyDescent="0.25">
      <c r="A93" s="671"/>
      <c r="B93" s="9" t="s">
        <v>86</v>
      </c>
      <c r="C93" s="9" t="s">
        <v>221</v>
      </c>
      <c r="D93" s="9" t="s">
        <v>304</v>
      </c>
      <c r="E93" s="576">
        <v>1.31</v>
      </c>
      <c r="F93" s="584">
        <v>5.4210000000000003</v>
      </c>
      <c r="G93" s="574">
        <f t="shared" si="10"/>
        <v>5.97562251</v>
      </c>
      <c r="H93" s="629">
        <v>43004</v>
      </c>
      <c r="I93" s="657">
        <v>5.5</v>
      </c>
      <c r="J93" s="471"/>
      <c r="K93" s="703">
        <v>4.3</v>
      </c>
      <c r="L93" s="729">
        <f t="shared" si="11"/>
        <v>0.78181818181818175</v>
      </c>
      <c r="M93" s="709">
        <f t="shared" si="8"/>
        <v>4.7399329999999997</v>
      </c>
    </row>
    <row r="94" spans="1:15" x14ac:dyDescent="0.25">
      <c r="A94" s="671"/>
      <c r="B94" s="9" t="s">
        <v>86</v>
      </c>
      <c r="C94" s="9" t="s">
        <v>222</v>
      </c>
      <c r="D94" s="9" t="s">
        <v>325</v>
      </c>
      <c r="E94" s="576">
        <v>1.7</v>
      </c>
      <c r="F94" s="584">
        <v>3.0609999999999999</v>
      </c>
      <c r="G94" s="574">
        <f t="shared" si="10"/>
        <v>3.3741709099999997</v>
      </c>
      <c r="H94" s="629">
        <v>42996</v>
      </c>
      <c r="I94" s="657">
        <v>7.3</v>
      </c>
      <c r="J94" s="471"/>
      <c r="K94" s="703">
        <v>3.4169999999999998</v>
      </c>
      <c r="L94" s="729">
        <f t="shared" si="11"/>
        <v>0.46808219178082189</v>
      </c>
      <c r="M94" s="709">
        <f t="shared" si="8"/>
        <v>3.7665932699999995</v>
      </c>
    </row>
    <row r="95" spans="1:15" x14ac:dyDescent="0.25">
      <c r="A95" s="671"/>
      <c r="B95" s="9"/>
      <c r="C95" s="9"/>
      <c r="D95" s="9" t="s">
        <v>324</v>
      </c>
      <c r="E95" s="576"/>
      <c r="F95" s="584">
        <v>1.9410000000000001</v>
      </c>
      <c r="G95" s="574">
        <f t="shared" si="10"/>
        <v>2.1395837099999997</v>
      </c>
      <c r="H95" s="629">
        <v>43004</v>
      </c>
      <c r="I95" s="657">
        <v>1.4</v>
      </c>
      <c r="J95" s="471"/>
      <c r="K95" s="703">
        <f>0.846+0.493</f>
        <v>1.339</v>
      </c>
      <c r="L95" s="729">
        <f t="shared" si="11"/>
        <v>0.95642857142857152</v>
      </c>
      <c r="M95" s="709">
        <f t="shared" si="8"/>
        <v>1.4759930899999998</v>
      </c>
      <c r="O95" s="693">
        <f>SUM(M91:M95)</f>
        <v>23.536523120000002</v>
      </c>
    </row>
    <row r="96" spans="1:15" x14ac:dyDescent="0.25">
      <c r="A96" s="670"/>
      <c r="B96" s="9"/>
      <c r="C96" s="9" t="s">
        <v>195</v>
      </c>
      <c r="D96" s="9" t="s">
        <v>305</v>
      </c>
      <c r="E96" s="576">
        <v>5.5</v>
      </c>
      <c r="F96" s="630">
        <v>4.0819999999999999</v>
      </c>
      <c r="G96" s="574">
        <f t="shared" si="10"/>
        <v>4.4996294199999998</v>
      </c>
      <c r="H96" s="631">
        <v>42998</v>
      </c>
      <c r="I96" s="657">
        <v>7.9</v>
      </c>
      <c r="J96" s="471"/>
      <c r="K96" s="703">
        <v>7.1609999999999996</v>
      </c>
      <c r="L96" s="729">
        <f t="shared" si="11"/>
        <v>0.90645569620253152</v>
      </c>
      <c r="M96" s="709">
        <f t="shared" si="8"/>
        <v>7.8936419099999986</v>
      </c>
    </row>
    <row r="97" spans="1:13" x14ac:dyDescent="0.25">
      <c r="A97" s="670"/>
      <c r="B97" s="9"/>
      <c r="C97" s="9" t="s">
        <v>194</v>
      </c>
      <c r="D97" s="9" t="s">
        <v>306</v>
      </c>
      <c r="E97" s="576">
        <v>5.5</v>
      </c>
      <c r="F97" s="584">
        <v>11.278</v>
      </c>
      <c r="G97" s="574">
        <f t="shared" si="10"/>
        <v>12.43185218</v>
      </c>
      <c r="H97" s="629">
        <v>42998</v>
      </c>
      <c r="I97" s="657">
        <v>10.1</v>
      </c>
      <c r="J97" s="471"/>
      <c r="K97" s="703">
        <v>9.4309999999999992</v>
      </c>
      <c r="L97" s="729">
        <f t="shared" si="11"/>
        <v>0.9337623762376237</v>
      </c>
      <c r="M97" s="709">
        <f t="shared" si="8"/>
        <v>10.395885609999999</v>
      </c>
    </row>
    <row r="98" spans="1:13" x14ac:dyDescent="0.25">
      <c r="A98" s="672"/>
      <c r="B98" s="25"/>
      <c r="C98" s="591" t="s">
        <v>118</v>
      </c>
      <c r="D98" s="123"/>
      <c r="E98" s="605">
        <f>SUM(E78:E97)</f>
        <v>37.809999999999995</v>
      </c>
      <c r="F98" s="586">
        <f>SUM(F78:F97)</f>
        <v>116.94000000000001</v>
      </c>
      <c r="G98" s="598">
        <f t="shared" si="10"/>
        <v>128.90413140000001</v>
      </c>
      <c r="H98" s="490"/>
      <c r="I98" s="519">
        <f>SUM(I78:I97)</f>
        <v>127.5</v>
      </c>
      <c r="J98" s="519">
        <f>SUM(J78:J97)</f>
        <v>0</v>
      </c>
      <c r="K98" s="547">
        <f>SUM(K78:K97)</f>
        <v>108.94100000000002</v>
      </c>
      <c r="L98" s="714">
        <f>K98/I98</f>
        <v>0.85443921568627468</v>
      </c>
      <c r="M98" s="711">
        <f t="shared" si="8"/>
        <v>120.08675371000001</v>
      </c>
    </row>
    <row r="99" spans="1:13" x14ac:dyDescent="0.25">
      <c r="A99" s="669" t="s">
        <v>34</v>
      </c>
      <c r="B99" s="15"/>
      <c r="C99" s="3"/>
      <c r="D99" s="3"/>
      <c r="E99" s="3"/>
      <c r="F99" s="588"/>
      <c r="G99" s="577"/>
      <c r="H99" s="628"/>
      <c r="I99" s="683"/>
      <c r="J99" s="471"/>
      <c r="K99" s="575"/>
      <c r="L99" s="729"/>
      <c r="M99" s="709"/>
    </row>
    <row r="100" spans="1:13" x14ac:dyDescent="0.25">
      <c r="A100" s="671"/>
      <c r="B100" s="9" t="s">
        <v>3</v>
      </c>
      <c r="C100" s="9" t="s">
        <v>50</v>
      </c>
      <c r="D100" s="9" t="s">
        <v>310</v>
      </c>
      <c r="E100" s="576">
        <v>2.69</v>
      </c>
      <c r="F100" s="584">
        <v>6.1829999999999998</v>
      </c>
      <c r="G100" s="574">
        <f t="shared" si="10"/>
        <v>6.8155827299999991</v>
      </c>
      <c r="H100" s="629">
        <v>43004</v>
      </c>
      <c r="I100" s="657">
        <v>7.9</v>
      </c>
      <c r="J100" s="471"/>
      <c r="K100" s="703">
        <v>8.0269999999999992</v>
      </c>
      <c r="L100" s="729">
        <f t="shared" si="11"/>
        <v>1.0160759493670886</v>
      </c>
      <c r="M100" s="709">
        <f t="shared" si="8"/>
        <v>8.8482423699999977</v>
      </c>
    </row>
    <row r="101" spans="1:13" x14ac:dyDescent="0.25">
      <c r="A101" s="671"/>
      <c r="B101" s="9" t="s">
        <v>6</v>
      </c>
      <c r="C101" s="9" t="s">
        <v>38</v>
      </c>
      <c r="D101" s="9" t="s">
        <v>311</v>
      </c>
      <c r="E101" s="576">
        <v>0.8</v>
      </c>
      <c r="F101" s="584">
        <v>0.80500000000000005</v>
      </c>
      <c r="G101" s="574">
        <f t="shared" si="10"/>
        <v>0.88735955</v>
      </c>
      <c r="H101" s="629">
        <v>43020</v>
      </c>
      <c r="I101" s="657">
        <v>3</v>
      </c>
      <c r="J101" s="471"/>
      <c r="K101" s="703">
        <v>3.4460000000000002</v>
      </c>
      <c r="L101" s="729">
        <f t="shared" si="11"/>
        <v>1.1486666666666667</v>
      </c>
      <c r="M101" s="709">
        <f t="shared" si="8"/>
        <v>3.7985602599999999</v>
      </c>
    </row>
    <row r="102" spans="1:13" x14ac:dyDescent="0.25">
      <c r="A102" s="671"/>
      <c r="B102" s="8"/>
      <c r="C102" s="79" t="s">
        <v>9</v>
      </c>
      <c r="D102" s="9"/>
      <c r="E102" s="619">
        <f>SUM(E100:E101)</f>
        <v>3.49</v>
      </c>
      <c r="F102" s="587">
        <f>SUM(F100:F101)</f>
        <v>6.9879999999999995</v>
      </c>
      <c r="G102" s="599">
        <f t="shared" si="10"/>
        <v>7.7029422799999985</v>
      </c>
      <c r="H102" s="549"/>
      <c r="I102" s="519">
        <f>SUM(I100:I101)</f>
        <v>10.9</v>
      </c>
      <c r="J102" s="519">
        <f>SUM(J100:J101)</f>
        <v>0</v>
      </c>
      <c r="K102" s="547">
        <f>SUM(K100:K101)</f>
        <v>11.472999999999999</v>
      </c>
      <c r="L102" s="714">
        <f>K102/I102</f>
        <v>1.0525688073394495</v>
      </c>
      <c r="M102" s="711">
        <f t="shared" si="8"/>
        <v>12.646802629999998</v>
      </c>
    </row>
    <row r="103" spans="1:13" ht="15.75" thickBot="1" x14ac:dyDescent="0.3">
      <c r="A103" s="674"/>
      <c r="B103" s="255"/>
      <c r="C103" s="255"/>
      <c r="D103" s="255"/>
      <c r="E103" s="255"/>
      <c r="F103" s="645"/>
      <c r="G103" s="2"/>
      <c r="H103" s="646"/>
      <c r="I103" s="683"/>
      <c r="J103" s="471"/>
      <c r="K103" s="575"/>
      <c r="L103" s="729"/>
      <c r="M103" s="712"/>
    </row>
    <row r="104" spans="1:13" x14ac:dyDescent="0.25">
      <c r="A104" s="675"/>
      <c r="B104" s="471"/>
      <c r="C104" s="471"/>
      <c r="D104" s="471"/>
      <c r="E104" s="471"/>
      <c r="F104" s="647"/>
      <c r="G104" s="471"/>
      <c r="H104" s="648"/>
      <c r="I104" s="589"/>
      <c r="J104" s="697"/>
      <c r="K104" s="589"/>
      <c r="L104" s="727">
        <f>AVERAGE(L4:L15,L18:L21,L24:L26,L29:L32,L34:L35,L38:L40,L43:L44,L47:L53,L56,L58,L60:L63,L66:L69)</f>
        <v>1.0582014626282028</v>
      </c>
      <c r="M104" s="712"/>
    </row>
    <row r="105" spans="1:13" x14ac:dyDescent="0.25">
      <c r="A105" s="675"/>
      <c r="B105" s="471"/>
      <c r="C105" s="471"/>
      <c r="D105" s="471"/>
      <c r="E105" s="43" t="s">
        <v>345</v>
      </c>
      <c r="F105" s="649" t="e">
        <f>SUM(F16,F22,F27,F33,F36,F41,F45,F54,F56,#REF!,F58,#REF!,F64,F70,#REF!,F76,F98,F102)</f>
        <v>#REF!</v>
      </c>
      <c r="G105" s="73"/>
      <c r="H105" s="650" t="s">
        <v>345</v>
      </c>
      <c r="I105" s="707">
        <f>SUM(I16,I22,I27,I33,I36,I41,I45,I54,I56,I58,I64,I70,I76,I98,I102)</f>
        <v>742.57569999999987</v>
      </c>
      <c r="J105" s="648"/>
      <c r="K105" s="707">
        <f>SUM(K16,K22,K27,K33,K36,K41,K45,K54,K56,K58,K64,K70,K76,K98,K102)</f>
        <v>773.67500000000007</v>
      </c>
      <c r="L105" s="739">
        <f>K105/I105</f>
        <v>1.041880309307186</v>
      </c>
      <c r="M105" s="712"/>
    </row>
    <row r="106" spans="1:13" ht="15.75" thickBot="1" x14ac:dyDescent="0.3">
      <c r="A106" s="676"/>
      <c r="B106" s="664"/>
      <c r="C106" s="664"/>
      <c r="D106" s="664"/>
      <c r="E106" s="696" t="s">
        <v>346</v>
      </c>
      <c r="F106" s="651" t="e">
        <f t="shared" ref="F106" si="13">F105*1.10231</f>
        <v>#REF!</v>
      </c>
      <c r="G106" s="652"/>
      <c r="H106" s="653" t="s">
        <v>346</v>
      </c>
      <c r="I106" s="708">
        <f>I105*1.10231</f>
        <v>818.54861986699973</v>
      </c>
      <c r="J106" s="698"/>
      <c r="K106" s="708">
        <f>K105*1.10231</f>
        <v>852.82968925</v>
      </c>
      <c r="L106" s="754">
        <f>K106/I106</f>
        <v>1.0418803093071862</v>
      </c>
      <c r="M106" s="713">
        <f>SUM(M16,M22,M27,M33,M36,M41,M45,M54,M56,M58,M64,M70,M76,M98,M102)</f>
        <v>852.82968925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13-14-15 Tons</vt:lpstr>
      <vt:lpstr>2014 T per Acre</vt:lpstr>
      <vt:lpstr>2016 Harvest</vt:lpstr>
      <vt:lpstr>Printable Format</vt:lpstr>
      <vt:lpstr>2017 estimate</vt:lpstr>
      <vt:lpstr>2017 Actual</vt:lpstr>
      <vt:lpstr>Growers_2017</vt:lpstr>
      <vt:lpstr>2018_ACTUAL_All</vt:lpstr>
      <vt:lpstr>2018_QG</vt:lpstr>
      <vt:lpstr>2018_Growers</vt:lpstr>
      <vt:lpstr>'2016 Harvest'!Print_Area</vt:lpstr>
      <vt:lpstr>'2017 Actual'!Print_Area</vt:lpstr>
      <vt:lpstr>'2017 estimate'!Print_Area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Kailee Frasch</cp:lastModifiedBy>
  <cp:lastPrinted>2018-09-22T16:28:19Z</cp:lastPrinted>
  <dcterms:created xsi:type="dcterms:W3CDTF">2012-10-29T21:39:35Z</dcterms:created>
  <dcterms:modified xsi:type="dcterms:W3CDTF">2019-05-21T18:31:53Z</dcterms:modified>
</cp:coreProperties>
</file>