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0" yWindow="-120" windowWidth="20730" windowHeight="11160"/>
  </bookViews>
  <sheets>
    <sheet name="Instructions" sheetId="7" r:id="rId1"/>
    <sheet name="Prison" sheetId="15" r:id="rId2"/>
    <sheet name="Community" sheetId="16" r:id="rId3"/>
    <sheet name="Background sheet -please keep" sheetId="12" state="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9" i="15" l="1"/>
  <c r="H111" i="16"/>
  <c r="H102" i="16"/>
  <c r="H110" i="16"/>
  <c r="H101" i="16"/>
  <c r="H108" i="16"/>
  <c r="H99" i="16"/>
  <c r="G111" i="16"/>
  <c r="G110" i="16"/>
  <c r="G109" i="16"/>
  <c r="G108" i="16"/>
  <c r="G107" i="16"/>
  <c r="G99" i="16"/>
  <c r="G100" i="16"/>
  <c r="G101" i="16"/>
  <c r="G102" i="16"/>
  <c r="G98" i="16"/>
  <c r="F88" i="16"/>
  <c r="E88" i="16"/>
  <c r="E65" i="16"/>
  <c r="F65" i="16"/>
  <c r="F52" i="16"/>
  <c r="E52" i="16"/>
  <c r="B52" i="16"/>
  <c r="F50" i="16"/>
  <c r="E50" i="16"/>
  <c r="K28" i="16"/>
  <c r="K27" i="16"/>
  <c r="K26" i="16"/>
  <c r="H27" i="16"/>
  <c r="C27" i="16"/>
  <c r="F27" i="16" s="1"/>
  <c r="F28" i="16"/>
  <c r="H26" i="16"/>
  <c r="B50" i="16"/>
  <c r="B48" i="16"/>
  <c r="B65" i="16" s="1"/>
  <c r="B88" i="16" l="1"/>
  <c r="E66" i="16"/>
  <c r="F66" i="16"/>
  <c r="H35" i="16"/>
  <c r="J38" i="16"/>
  <c r="J37" i="16"/>
  <c r="J36" i="16"/>
  <c r="J35" i="16"/>
  <c r="H28" i="16"/>
  <c r="C28" i="16"/>
  <c r="J26" i="16"/>
  <c r="C26" i="16"/>
  <c r="F26" i="16" s="1"/>
  <c r="G18" i="16"/>
  <c r="F48" i="16" s="1"/>
  <c r="G17" i="16"/>
  <c r="E48" i="16" s="1"/>
  <c r="F15" i="16"/>
  <c r="G15" i="16" s="1"/>
  <c r="F14" i="16"/>
  <c r="G14" i="16" s="1"/>
  <c r="F12" i="16"/>
  <c r="G12" i="16" s="1"/>
  <c r="H101" i="15"/>
  <c r="H92" i="15"/>
  <c r="H100" i="15"/>
  <c r="H91" i="15"/>
  <c r="H98" i="15"/>
  <c r="G89" i="15"/>
  <c r="G90" i="15"/>
  <c r="G91" i="15"/>
  <c r="G92" i="15"/>
  <c r="G88" i="15"/>
  <c r="G98" i="15"/>
  <c r="G99" i="15"/>
  <c r="G100" i="15"/>
  <c r="G101" i="15"/>
  <c r="G97" i="15"/>
  <c r="F79" i="15"/>
  <c r="E79" i="15"/>
  <c r="E30" i="15"/>
  <c r="B42" i="15"/>
  <c r="C30" i="15"/>
  <c r="E28" i="15"/>
  <c r="C28" i="15"/>
  <c r="G18" i="15"/>
  <c r="F42" i="15" s="1"/>
  <c r="G17" i="15"/>
  <c r="E42" i="15" s="1"/>
  <c r="F15" i="15"/>
  <c r="G15" i="15" s="1"/>
  <c r="H90" i="15" s="1"/>
  <c r="F14" i="15"/>
  <c r="G14" i="15" s="1"/>
  <c r="F12" i="15"/>
  <c r="G12" i="15" s="1"/>
  <c r="H98" i="16" l="1"/>
  <c r="H107" i="16"/>
  <c r="H97" i="15"/>
  <c r="H88" i="15"/>
  <c r="H109" i="16"/>
  <c r="H100" i="16"/>
  <c r="H103" i="16" s="1"/>
  <c r="H99" i="15"/>
  <c r="H102" i="15" s="1"/>
  <c r="F89" i="16"/>
  <c r="E89" i="16"/>
  <c r="H93" i="15"/>
  <c r="J30" i="15"/>
  <c r="F44" i="15" s="1"/>
  <c r="F57" i="15" s="1"/>
  <c r="J28" i="15"/>
  <c r="B44" i="15" s="1"/>
  <c r="B57" i="15" s="1"/>
  <c r="B79" i="15" s="1"/>
  <c r="E44" i="15"/>
  <c r="H112" i="16" l="1"/>
  <c r="H114" i="16" s="1"/>
  <c r="E80" i="15"/>
  <c r="F80" i="15"/>
  <c r="H104" i="15"/>
  <c r="F58" i="15"/>
  <c r="E57" i="15"/>
  <c r="E58" i="15" l="1"/>
</calcChain>
</file>

<file path=xl/sharedStrings.xml><?xml version="1.0" encoding="utf-8"?>
<sst xmlns="http://schemas.openxmlformats.org/spreadsheetml/2006/main" count="396" uniqueCount="158">
  <si>
    <t>Strength</t>
  </si>
  <si>
    <t>Drug</t>
  </si>
  <si>
    <t>8mg</t>
  </si>
  <si>
    <t>Buprenorphine sublingual tablets sugar free</t>
  </si>
  <si>
    <t>Pack size</t>
  </si>
  <si>
    <t>2mg</t>
  </si>
  <si>
    <t>Assumptions</t>
  </si>
  <si>
    <t>Methadone oral solution</t>
  </si>
  <si>
    <t>Item</t>
  </si>
  <si>
    <t>Instructions</t>
  </si>
  <si>
    <t>Disclaimer</t>
  </si>
  <si>
    <t>Liver function tests</t>
  </si>
  <si>
    <t>Current model</t>
  </si>
  <si>
    <t>References</t>
  </si>
  <si>
    <t>Current calculations uses a staff of the same staff grade to witness adminstration. In reality, the witness can be of a lower staff grade, provided they are suitably trained to witness drug administration</t>
  </si>
  <si>
    <t>Any figures inputted in this calculator will need to be validated locally as the variables will vary from service to service. Please consult your local service lead for further advice</t>
  </si>
  <si>
    <t>Service users initiated on Buvidal are already on buprenorphine sublingual therefore will not require initial lower loading doses</t>
  </si>
  <si>
    <t>4. Joint Formulary Committee. British national formulary (online) London: BMJ Group and Pharmaceutical Press. Accessed on 19/03/2020 via http://www.medicinescomplete.com</t>
  </si>
  <si>
    <t>Buprenorphine prolonged-release injection (Buvidal®) cost comparison calculator</t>
  </si>
  <si>
    <t>For cost comparison reasons, methadone oral dose used in this calculator will be 60ml. This is based on "average" usage from the stakeholder group</t>
  </si>
  <si>
    <t>Some providers will have local pricing agreements in place for Espranor, but for this guidance the Drug Tariff price is used</t>
  </si>
  <si>
    <t>5. Personal communication with health and justice stakeholders</t>
  </si>
  <si>
    <t>3. NHS Employers. NHS terms and conditions (AfC) pay scales- hourly. April 2020. Accessed on 15/06/2020 via https://www.nhsemployers.org/pay-pensions-and-reward/agenda-for-change/pay-scales/hourly</t>
  </si>
  <si>
    <t>Future model</t>
  </si>
  <si>
    <t>Drug costings</t>
  </si>
  <si>
    <t>Cost per pack, £</t>
  </si>
  <si>
    <t>Cost per day</t>
  </si>
  <si>
    <t>Cost per year</t>
  </si>
  <si>
    <t>Buprenorphine oral lyophilisates sugar free (Espranor®)</t>
  </si>
  <si>
    <t xml:space="preserve">Buprenorphine depot injection (Buvidal®) </t>
  </si>
  <si>
    <t>24mg (weekly)</t>
  </si>
  <si>
    <t>96mg (monthly)</t>
  </si>
  <si>
    <t>Administration/ supervision costings</t>
  </si>
  <si>
    <t>N/A</t>
  </si>
  <si>
    <t>Buvidal® weekly</t>
  </si>
  <si>
    <t>Buvidal® monthly</t>
  </si>
  <si>
    <t>Select drug</t>
  </si>
  <si>
    <t>1mg/1ml</t>
  </si>
  <si>
    <t>No of tabs/ml per day</t>
  </si>
  <si>
    <t>Oral OST (including SL buprenorphine and methadone)</t>
  </si>
  <si>
    <t>Local training for administration if not already trained</t>
  </si>
  <si>
    <t>Urine tests</t>
  </si>
  <si>
    <r>
      <t xml:space="preserve">Hourly salary of prison security officer </t>
    </r>
    <r>
      <rPr>
        <sz val="8"/>
        <color theme="1"/>
        <rFont val="Calibri"/>
        <family val="2"/>
        <scheme val="minor"/>
      </rPr>
      <t>(based on £36900 average salary without on costs and additional allowances, annual leave of 25 days and 40 hours/week) reference 5</t>
    </r>
    <r>
      <rPr>
        <b/>
        <sz val="11"/>
        <color theme="1"/>
        <rFont val="Calibri"/>
        <family val="2"/>
        <scheme val="minor"/>
      </rPr>
      <t xml:space="preserve"> </t>
    </r>
  </si>
  <si>
    <t>Number of prison security officers</t>
  </si>
  <si>
    <t>Total cost per visit</t>
  </si>
  <si>
    <t>MDT testing</t>
  </si>
  <si>
    <t>Local prescriber training</t>
  </si>
  <si>
    <t>Drug storage facilities</t>
  </si>
  <si>
    <t>Modification to estates for clinic rooms</t>
  </si>
  <si>
    <t>Per visit (mins)</t>
  </si>
  <si>
    <t>Per visit (hours)</t>
  </si>
  <si>
    <t>Healthcare personnel</t>
  </si>
  <si>
    <t>Prison security personnel</t>
  </si>
  <si>
    <t>Input if required</t>
  </si>
  <si>
    <t>input if required</t>
  </si>
  <si>
    <t>Other ancillary costs (i.e. PPE)</t>
  </si>
  <si>
    <t>Counselling/ clinics</t>
  </si>
  <si>
    <r>
      <t xml:space="preserve">2 x band 5 staff supervise and dispense oral OST daily in a medicines administration queue (multiple prisoners), overseen by 1 prison officer in pharmacy in healthcare wing
</t>
    </r>
    <r>
      <rPr>
        <i/>
        <sz val="10"/>
        <color theme="1"/>
        <rFont val="Calibri"/>
        <family val="2"/>
        <scheme val="minor"/>
      </rPr>
      <t>Methadone dose = 60ml daily
Buprenorphine SL dose = 12mg daily</t>
    </r>
  </si>
  <si>
    <r>
      <t>1 x band 5 staff injects Buvidal®</t>
    </r>
    <r>
      <rPr>
        <b/>
        <sz val="11"/>
        <color theme="1"/>
        <rFont val="Calibri"/>
        <family val="2"/>
        <scheme val="minor"/>
      </rPr>
      <t>,</t>
    </r>
    <r>
      <rPr>
        <sz val="11"/>
        <color theme="1"/>
        <rFont val="Calibri"/>
        <family val="2"/>
        <scheme val="minor"/>
      </rPr>
      <t xml:space="preserve"> witnessed by 1 x band 5 staff, single prisoner accompanied by 1 prison officer to treatment room in healthcare wing. Prison officer wait for injection administration to complete outside the room before escorting prisoner back </t>
    </r>
  </si>
  <si>
    <r>
      <t xml:space="preserve">Hourly salary of healthcare personnel 2 </t>
    </r>
    <r>
      <rPr>
        <sz val="9"/>
        <color theme="1"/>
        <rFont val="Calibri"/>
        <family val="2"/>
        <scheme val="minor"/>
      </rPr>
      <t>(based on band 5 NHS AfC salary with 4-6 year experience)</t>
    </r>
  </si>
  <si>
    <r>
      <t xml:space="preserve">Hourly salary of healthcare personnel 1 </t>
    </r>
    <r>
      <rPr>
        <sz val="9"/>
        <color theme="1"/>
        <rFont val="Calibri"/>
        <family val="2"/>
        <scheme val="minor"/>
      </rPr>
      <t>(based on band 5 NHS AfC salary with 4-6 year experience)</t>
    </r>
  </si>
  <si>
    <t>1. Medication</t>
  </si>
  <si>
    <t>2. Administration/ supervision cost
- healthcare personnel
- prison officer</t>
  </si>
  <si>
    <t>3. Direct clinical intervention</t>
  </si>
  <si>
    <t>4. Other costs</t>
  </si>
  <si>
    <t>Home office licence 
(renewed annually)</t>
  </si>
  <si>
    <t>Registered pharmacy licence (renewed annually)</t>
  </si>
  <si>
    <t>Supervision time</t>
  </si>
  <si>
    <t>per visit (mins)</t>
  </si>
  <si>
    <t>per visit (hours)</t>
  </si>
  <si>
    <t xml:space="preserve">Hourly salary of healthcare personnel 1 </t>
  </si>
  <si>
    <t xml:space="preserve">Hourly salary of healthcare personnel 2 </t>
  </si>
  <si>
    <t>Cost of healthcare personnel per visit</t>
  </si>
  <si>
    <t>Cost of locally agreed tarrif per visit</t>
  </si>
  <si>
    <t>Supervision frequency (days)</t>
  </si>
  <si>
    <t>Supervision cost per annum</t>
  </si>
  <si>
    <t>Methadone oral dose = 60ml daily
Buprenorphine SL dose = 12mg daily
Assume service user picks up OST unsupervised from pharmacy once weekly</t>
  </si>
  <si>
    <t>Administration of oral OST in community pharmacy supervised by 1 pharmacist and 1 pharmacy technician</t>
  </si>
  <si>
    <t>2. Supervision cost
- healthcare personnel cost
- locally agreed supervised consumption fee (if applicable)</t>
  </si>
  <si>
    <t>Dispensing fee</t>
  </si>
  <si>
    <t>Methadone oral liquid</t>
  </si>
  <si>
    <t>Number of encounters per annum</t>
  </si>
  <si>
    <t>Buprenorphine sublingual tablets (any preparation)</t>
  </si>
  <si>
    <t>Unit cost</t>
  </si>
  <si>
    <t>Frequency per year</t>
  </si>
  <si>
    <t>Buprenorphine depot injection (Buvidal®) weekly</t>
  </si>
  <si>
    <t>Buprenorphine depot injection (Buvidal®) monthly</t>
  </si>
  <si>
    <r>
      <t xml:space="preserve">Methadone prescription fee 
</t>
    </r>
    <r>
      <rPr>
        <sz val="11"/>
        <color theme="1"/>
        <rFont val="Calibri"/>
        <family val="2"/>
        <scheme val="minor"/>
      </rPr>
      <t>(assume 14 days prescription issued each time)</t>
    </r>
  </si>
  <si>
    <r>
      <t xml:space="preserve">Dispensing activity fee
</t>
    </r>
    <r>
      <rPr>
        <sz val="10"/>
        <color theme="1"/>
        <rFont val="Calibri"/>
        <family val="2"/>
        <scheme val="minor"/>
      </rPr>
      <t>(assume 14 days prescription issued each time, except 28 days for monthly Buvidal® injection)</t>
    </r>
    <r>
      <rPr>
        <b/>
        <sz val="11"/>
        <color theme="1"/>
        <rFont val="Calibri"/>
        <family val="2"/>
        <scheme val="minor"/>
      </rPr>
      <t xml:space="preserve">
</t>
    </r>
    <r>
      <rPr>
        <sz val="11"/>
        <color theme="1"/>
        <rFont val="Calibri"/>
        <family val="2"/>
        <scheme val="minor"/>
      </rPr>
      <t xml:space="preserve">Number of interactions will be dependent on dispensing schedule </t>
    </r>
  </si>
  <si>
    <r>
      <t xml:space="preserve">Controlled drug fee
</t>
    </r>
    <r>
      <rPr>
        <sz val="10"/>
        <color theme="1"/>
        <rFont val="Calibri"/>
        <family val="2"/>
        <scheme val="minor"/>
      </rPr>
      <t>(assume 14 days prescription issued each time, except 28 days for monthly Buvidal® injection)</t>
    </r>
    <r>
      <rPr>
        <sz val="11"/>
        <color theme="1"/>
        <rFont val="Calibri"/>
        <family val="2"/>
        <scheme val="minor"/>
      </rPr>
      <t xml:space="preserve">
Number of interactions will be dependent on dispensing schedule </t>
    </r>
  </si>
  <si>
    <t>Unit cost per week</t>
  </si>
  <si>
    <t>Total cost per annum</t>
  </si>
  <si>
    <r>
      <t xml:space="preserve">Methadone packaging fee
</t>
    </r>
    <r>
      <rPr>
        <sz val="11"/>
        <color theme="1"/>
        <rFont val="Calibri"/>
        <family val="2"/>
        <scheme val="minor"/>
      </rPr>
      <t>(assume 7 doses supplied with every encounter)</t>
    </r>
    <r>
      <rPr>
        <b/>
        <sz val="11"/>
        <color theme="1"/>
        <rFont val="Calibri"/>
        <family val="2"/>
        <scheme val="minor"/>
      </rPr>
      <t xml:space="preserve"> </t>
    </r>
    <r>
      <rPr>
        <sz val="11"/>
        <color theme="1"/>
        <rFont val="Calibri"/>
        <family val="2"/>
        <scheme val="minor"/>
      </rPr>
      <t>refer to Drug Tariff for full details</t>
    </r>
  </si>
  <si>
    <t>Personal protective equipment</t>
  </si>
  <si>
    <t>It is not intended to be used as a standalone document to decide whether Buvidal® should be commissioned in their organisation. Readers are advised to read the main document and use this calculator as a guide.</t>
  </si>
  <si>
    <t>This calculator is a supporting document to provide guidance to organisations/ commissioners on the potential financial impact involved in Buvidal® implementation based on the population and assumptions made.</t>
  </si>
  <si>
    <t>This calculator has been created to the best ability on what can be accounted for based on current practices, expert opinions from stakeholder group and drug prices at the time of writing. There may be elements in the calculator which may only be applicable to relevant services (e.g. home office licence) or missing variables which may be relevant geographically.</t>
  </si>
  <si>
    <t>Click on either "prison" tab or "community" tab for estimated costings. Follow the instructions in the relevant tabs</t>
  </si>
  <si>
    <t>Sample calculation of costings for Buvidal® implementation in Health and Justice</t>
  </si>
  <si>
    <t>Proposed models for comparison</t>
  </si>
  <si>
    <t>Assumptions: as below. Assume same time taken for travel to treatment in healthcare wing</t>
  </si>
  <si>
    <t>Supervision time*</t>
  </si>
  <si>
    <r>
      <t xml:space="preserve">Subtotal cost </t>
    </r>
    <r>
      <rPr>
        <sz val="11"/>
        <color theme="1"/>
        <rFont val="Calibri"/>
        <family val="2"/>
        <scheme val="minor"/>
      </rPr>
      <t>(</t>
    </r>
    <r>
      <rPr>
        <i/>
        <sz val="11"/>
        <color theme="1"/>
        <rFont val="Calibri"/>
        <family val="2"/>
        <scheme val="minor"/>
      </rPr>
      <t xml:space="preserve">direct service user care) </t>
    </r>
    <r>
      <rPr>
        <b/>
        <sz val="11"/>
        <color theme="1"/>
        <rFont val="Calibri"/>
        <family val="2"/>
        <scheme val="minor"/>
      </rPr>
      <t>per service user per year</t>
    </r>
  </si>
  <si>
    <t>Current practice</t>
  </si>
  <si>
    <r>
      <t xml:space="preserve">Cost difference </t>
    </r>
    <r>
      <rPr>
        <i/>
        <sz val="11"/>
        <color theme="1"/>
        <rFont val="Calibri"/>
        <family val="2"/>
        <scheme val="minor"/>
      </rPr>
      <t xml:space="preserve">(direct service user costs) </t>
    </r>
    <r>
      <rPr>
        <b/>
        <sz val="11"/>
        <color theme="1"/>
        <rFont val="Calibri"/>
        <family val="2"/>
        <scheme val="minor"/>
      </rPr>
      <t xml:space="preserve">per service user per year
</t>
    </r>
    <r>
      <rPr>
        <i/>
        <sz val="10"/>
        <color theme="1"/>
        <rFont val="Calibri"/>
        <family val="2"/>
        <scheme val="minor"/>
      </rPr>
      <t>Positive value = cost pressure
Negative value= cost saving</t>
    </r>
  </si>
  <si>
    <t>1. Training costs</t>
  </si>
  <si>
    <t>2. Faclities/ legal costs (if applicable)</t>
  </si>
  <si>
    <r>
      <t xml:space="preserve">Total cost </t>
    </r>
    <r>
      <rPr>
        <b/>
        <i/>
        <sz val="11"/>
        <color theme="1"/>
        <rFont val="Calibri"/>
        <family val="2"/>
        <scheme val="minor"/>
      </rPr>
      <t>(</t>
    </r>
    <r>
      <rPr>
        <i/>
        <sz val="11"/>
        <color theme="1"/>
        <rFont val="Calibri"/>
        <family val="2"/>
        <scheme val="minor"/>
      </rPr>
      <t xml:space="preserve">direct service user cost + organisational costs) </t>
    </r>
    <r>
      <rPr>
        <b/>
        <sz val="11"/>
        <color theme="1"/>
        <rFont val="Calibri"/>
        <family val="2"/>
        <scheme val="minor"/>
      </rPr>
      <t>per year</t>
    </r>
  </si>
  <si>
    <t>Direct service user care costs per service user per year</t>
  </si>
  <si>
    <t>Naloxone/ buprenorphine tablet was not included in this calculator as this is not routinely used in practice</t>
  </si>
  <si>
    <t>Organisational costs (for all service users) per year</t>
  </si>
  <si>
    <r>
      <rPr>
        <b/>
        <sz val="11"/>
        <color theme="1"/>
        <rFont val="Calibri"/>
        <family val="2"/>
        <scheme val="minor"/>
      </rPr>
      <t xml:space="preserve">Cost difference </t>
    </r>
    <r>
      <rPr>
        <i/>
        <sz val="11"/>
        <color theme="1"/>
        <rFont val="Calibri"/>
        <family val="2"/>
        <scheme val="minor"/>
      </rPr>
      <t>(direct service user costs + organisational cost)</t>
    </r>
    <r>
      <rPr>
        <b/>
        <sz val="11"/>
        <color theme="1"/>
        <rFont val="Calibri"/>
        <family val="2"/>
        <scheme val="minor"/>
      </rPr>
      <t xml:space="preserve"> per year</t>
    </r>
    <r>
      <rPr>
        <sz val="11"/>
        <color theme="1"/>
        <rFont val="Calibri"/>
        <family val="2"/>
        <scheme val="minor"/>
      </rPr>
      <t xml:space="preserve">
</t>
    </r>
    <r>
      <rPr>
        <sz val="10"/>
        <color theme="1"/>
        <rFont val="Calibri"/>
        <family val="2"/>
        <scheme val="minor"/>
      </rPr>
      <t>Positive value = cost pressure
Negative value= cost saving</t>
    </r>
  </si>
  <si>
    <t>Future practice</t>
  </si>
  <si>
    <t>Service users on Buprenorphine oral lyophilisates sugar free (Espranor®)</t>
  </si>
  <si>
    <t>Service users on buprenorphine sublingual tablets sugar free</t>
  </si>
  <si>
    <r>
      <t xml:space="preserve">Service users on buprenorphine depot injection (Buvidal®) </t>
    </r>
    <r>
      <rPr>
        <b/>
        <sz val="11"/>
        <color theme="1"/>
        <rFont val="Calibri"/>
        <family val="2"/>
        <scheme val="minor"/>
      </rPr>
      <t>monthly</t>
    </r>
  </si>
  <si>
    <r>
      <t xml:space="preserve">Service users on buprenorphine depot injection (Buvidal®) </t>
    </r>
    <r>
      <rPr>
        <b/>
        <sz val="11"/>
        <color theme="1"/>
        <rFont val="Calibri"/>
        <family val="2"/>
        <scheme val="minor"/>
      </rPr>
      <t>weekly</t>
    </r>
  </si>
  <si>
    <t>Proportion</t>
  </si>
  <si>
    <t>Number of service users</t>
  </si>
  <si>
    <t>Current number of service users who are on OST</t>
  </si>
  <si>
    <t>Description</t>
  </si>
  <si>
    <t>Drug and supervision cost per year</t>
  </si>
  <si>
    <t>Sample calculation of costings for Buvidal® implementation in community settings</t>
  </si>
  <si>
    <t>Service users on methadone oral solution</t>
  </si>
  <si>
    <t xml:space="preserve">Drug </t>
  </si>
  <si>
    <t>4. Direct clinical intervention</t>
  </si>
  <si>
    <t>Current number of service users comparator OST</t>
  </si>
  <si>
    <t xml:space="preserve">Current number of service users on comparator OST </t>
  </si>
  <si>
    <t>3. Other costs</t>
  </si>
  <si>
    <r>
      <rPr>
        <b/>
        <sz val="11"/>
        <color theme="0"/>
        <rFont val="Calibri"/>
        <family val="2"/>
        <scheme val="minor"/>
      </rPr>
      <t>Cost impact in drug and supervision costs per year**</t>
    </r>
    <r>
      <rPr>
        <sz val="11"/>
        <color theme="0"/>
        <rFont val="Calibri"/>
        <family val="2"/>
        <scheme val="minor"/>
      </rPr>
      <t xml:space="preserve">
</t>
    </r>
    <r>
      <rPr>
        <sz val="10"/>
        <color theme="0"/>
        <rFont val="Calibri"/>
        <family val="2"/>
        <scheme val="minor"/>
      </rPr>
      <t>Positive value = cost pressure 
Negative value= cost saving</t>
    </r>
  </si>
  <si>
    <t>** Note this does not reflect the true costs of implementing Buvidal®. Users are advised to add in other direct healthcare costs (examples of items at lines 46-55) and organisation costs (examples of items at lines 65-77) which are relevant to their local organisations to reflect the true overall cost.</t>
  </si>
  <si>
    <t>Estimated costs of future practice per year**</t>
  </si>
  <si>
    <r>
      <t>1 x band 5 staff injects Buvidal®</t>
    </r>
    <r>
      <rPr>
        <b/>
        <sz val="11"/>
        <color theme="1"/>
        <rFont val="Calibri"/>
        <family val="2"/>
        <scheme val="minor"/>
      </rPr>
      <t>,</t>
    </r>
    <r>
      <rPr>
        <sz val="11"/>
        <color theme="1"/>
        <rFont val="Calibri"/>
        <family val="2"/>
        <scheme val="minor"/>
      </rPr>
      <t xml:space="preserve"> witnessed by 1 x band 5 staff, single prisoner accompanied by 1 prison officer to treatment room in healthcare wing. Prison officer wait for injection administration to complete outside the room before escorting prisoner back
</t>
    </r>
    <r>
      <rPr>
        <i/>
        <sz val="10"/>
        <color theme="1"/>
        <rFont val="Calibri"/>
        <family val="2"/>
        <scheme val="minor"/>
      </rPr>
      <t xml:space="preserve">Buvidal® weekly dose = 24mg
Buvidal® monthly dose = 96mg </t>
    </r>
  </si>
  <si>
    <t>Oral OST (methadone or buprenorphine sublingual)</t>
  </si>
  <si>
    <r>
      <t xml:space="preserve">Administration of oral OST in community pharmacy supervised by 1 pharmacist and 1 pharmacy technician
</t>
    </r>
    <r>
      <rPr>
        <i/>
        <sz val="9"/>
        <color theme="1"/>
        <rFont val="Calibri"/>
        <family val="2"/>
        <scheme val="minor"/>
      </rPr>
      <t>Methadone oral dose = 60ml daily
Buprenorphine SL dose = 12mg daily
Assume service user picks up OST unsupervised from pharmacy once weekly</t>
    </r>
  </si>
  <si>
    <r>
      <t xml:space="preserve">Buprenorphine depot injection (Buvidal®) </t>
    </r>
    <r>
      <rPr>
        <b/>
        <sz val="11"/>
        <color theme="1"/>
        <rFont val="Calibri"/>
        <family val="2"/>
        <scheme val="minor"/>
      </rPr>
      <t>weekly</t>
    </r>
  </si>
  <si>
    <r>
      <t xml:space="preserve">Buprenorphine depot injection (Buvidal®) </t>
    </r>
    <r>
      <rPr>
        <b/>
        <sz val="11"/>
        <color theme="1"/>
        <rFont val="Calibri"/>
        <family val="2"/>
        <scheme val="minor"/>
      </rPr>
      <t>monthly</t>
    </r>
  </si>
  <si>
    <r>
      <t xml:space="preserve">3. Drug dispensing cost 
</t>
    </r>
    <r>
      <rPr>
        <i/>
        <sz val="11"/>
        <color theme="1"/>
        <rFont val="Calibri"/>
        <family val="2"/>
        <scheme val="minor"/>
      </rPr>
      <t>(not applicable if using stock to supply with home office licence)</t>
    </r>
    <r>
      <rPr>
        <sz val="11"/>
        <color theme="1"/>
        <rFont val="Calibri"/>
        <family val="2"/>
        <scheme val="minor"/>
      </rPr>
      <t xml:space="preserve">
- dispensing activity cost
- controlled drug dispensing fee
- methadone dispensing fee if applicable</t>
    </r>
  </si>
  <si>
    <r>
      <rPr>
        <b/>
        <sz val="12"/>
        <color theme="1"/>
        <rFont val="Calibri"/>
        <family val="2"/>
        <scheme val="minor"/>
      </rPr>
      <t>Step four</t>
    </r>
    <r>
      <rPr>
        <sz val="12"/>
        <color theme="1"/>
        <rFont val="Calibri"/>
        <family val="2"/>
        <scheme val="minor"/>
      </rPr>
      <t>: 
1. Add organisation costs (if applicable) to yellow fields highlighted in table below. 
2. Note some of the fields may only be relevant to certain organisations. There may be costs which are missing which may be applicable dependent on geographic location and set up of SMSPs. Please consult with local service lead for further information.
3. Cells E80 and F80 are the estimated cost differences if all service users on comparator OST are switched to Buvidal</t>
    </r>
  </si>
  <si>
    <r>
      <rPr>
        <b/>
        <sz val="12"/>
        <color theme="1"/>
        <rFont val="Calibri"/>
        <family val="2"/>
        <scheme val="minor"/>
      </rPr>
      <t>Step five</t>
    </r>
    <r>
      <rPr>
        <sz val="12"/>
        <color theme="1"/>
        <rFont val="Calibri"/>
        <family val="2"/>
        <scheme val="minor"/>
      </rPr>
      <t>: 
1. Add organisation costs (if applicable) to yellow fields highlighted in Table below. 
2. Note some of the fields may only be relevant to certain organisations. There may be costs which are missing which may be applicable dependent on geographic location and set up of SMSPs. Please consult with local service lead for further information.
3. Cells E89 and F89 are the estimated cost differences if all service users on comparator OST are switched to Buvidal</t>
    </r>
  </si>
  <si>
    <r>
      <rPr>
        <b/>
        <sz val="12"/>
        <color theme="1"/>
        <rFont val="Calibri"/>
        <family val="2"/>
        <scheme val="minor"/>
      </rPr>
      <t>Step five</t>
    </r>
    <r>
      <rPr>
        <sz val="12"/>
        <color theme="1"/>
        <rFont val="Calibri"/>
        <family val="2"/>
        <scheme val="minor"/>
      </rPr>
      <t>: 
1. The tables below can be used to estimate drug and supervision costs based on the models inputted in steps 1-4 of the calculator, if a proportion of service users are switched to Buvidal®. 
2. Input number of service users currently on all OST in cell F84
3. Change the fields highlighted in yellow to reflect proportion of service users on treatment according to local practices. Remember to add in other direct service user costs (examples of items at lines 46-55) and organisation costs (examples of items at lines 65-77) to reflect the true overall cost.
4. Cell H104 reflects the cost impact of the change per year based on drug and supervision costs</t>
    </r>
  </si>
  <si>
    <t xml:space="preserve">** Note this does not reflect the true costs of implementing Buvidal®. Users are advised to add in other other direct service user costs (examples of items at lines 54-63) and organisation costs (examples of items at lines 73-86) to reflect the true overall cost. </t>
  </si>
  <si>
    <t>Estimated costs of current practice per year**</t>
  </si>
  <si>
    <r>
      <rPr>
        <b/>
        <sz val="12"/>
        <color theme="1"/>
        <rFont val="Calibri"/>
        <family val="2"/>
        <scheme val="minor"/>
      </rPr>
      <t>Step four</t>
    </r>
    <r>
      <rPr>
        <sz val="12"/>
        <color theme="1"/>
        <rFont val="Calibri"/>
        <family val="2"/>
        <scheme val="minor"/>
      </rPr>
      <t>: 
1. Choose drug for comparison in cell A48. Add relevant costs in fields highlighted in yellow if applicable
2. Note some of the fields may only be relevant to certain organisations. There may be costs which are missing which may be applicable dependent on geographic location and set up of SMSPs. Please consult with local service lead for further information.
3. Enter current number of service users on comparator OST in cell E67
4. Subtotal cost per service user per year will be in line 65
5. Cells E66 and F66 represent cost difference on direct service user care for Buvidal® implementation per service user per year</t>
    </r>
  </si>
  <si>
    <r>
      <t xml:space="preserve">Administration of Buvidal® in community pharmacy supervised by 1 pharmacist and 1 pharmacy technician
</t>
    </r>
    <r>
      <rPr>
        <i/>
        <sz val="10"/>
        <color theme="1"/>
        <rFont val="Calibri"/>
        <family val="2"/>
        <scheme val="minor"/>
      </rPr>
      <t xml:space="preserve">Buvidal® weekly dose = 24mg
Buvidal® monthly dose = 96mg </t>
    </r>
  </si>
  <si>
    <t xml:space="preserve">* Supervision times in this calculator assume that the prisoner is only receiving for OST treatment during each encounter. Adjustments to the timings may be required if the prisoner also receives other drugs at the same time. </t>
  </si>
  <si>
    <r>
      <rPr>
        <b/>
        <sz val="12"/>
        <color theme="1"/>
        <rFont val="Calibri"/>
        <family val="2"/>
        <scheme val="minor"/>
      </rPr>
      <t>Step three</t>
    </r>
    <r>
      <rPr>
        <sz val="12"/>
        <color theme="1"/>
        <rFont val="Calibri"/>
        <family val="2"/>
        <scheme val="minor"/>
      </rPr>
      <t>: 
1. Choose drug for comparison in cell A42. Add relevant costs in fields highlighted in yellow if applicable
2. Note some of the fields may only be relevant to certain organisations. There may be costs which are missing which may be applicable dependent on geographic location and set up of SMSPs. Please consult with local service lead for further information.
3. Enter current number of service users on comparator OST in cell E59
4. Subtotal cost per service user per year will be in line 57
5. Cells E58 and F58 represent cost difference on direct service user care for Buvidal® implementation per service user per year</t>
    </r>
  </si>
  <si>
    <r>
      <rPr>
        <b/>
        <sz val="12"/>
        <color theme="1"/>
        <rFont val="Calibri"/>
        <family val="2"/>
        <scheme val="minor"/>
      </rPr>
      <t>Step two</t>
    </r>
    <r>
      <rPr>
        <sz val="12"/>
        <color theme="1"/>
        <rFont val="Calibri"/>
        <family val="2"/>
        <scheme val="minor"/>
      </rPr>
      <t>: 
1. Input local costs in table below. The current input is based on community pharmacies administrating OST.
2. Fields highlighted in yellow can be changed according to local practices
3. If OST is administered by SMSPs, input local values at cells D26-28, E26-28. Input "0" at cells G26-G28.
4. If OST is administered by community pharmacy, input "0" at cells D26-28, E26-28. Input local values at cells G26-28.</t>
    </r>
  </si>
  <si>
    <r>
      <rPr>
        <b/>
        <sz val="12"/>
        <color theme="1"/>
        <rFont val="Calibri"/>
        <family val="2"/>
        <scheme val="minor"/>
      </rPr>
      <t>Step six</t>
    </r>
    <r>
      <rPr>
        <sz val="12"/>
        <color theme="1"/>
        <rFont val="Calibri"/>
        <family val="2"/>
        <scheme val="minor"/>
      </rPr>
      <t>: 
1. The tables below can be used to estimate drug and supervision costs based on the models inputted in steps 1-5 of the calculator, if a proportion of service users are switched to Buvidal®. 
2. Input number of service users currently on all OST in cell F94
3. Change the fields highlighted in yellow to reflect proportion of service users on treatment according to local practices. Remember to add in other other direct service user costs (examples of items at lines 54-63) and organisation costs (examples of items at lines 73-86) to reflect the true overall cost.
4. Cell H114 reflects the cost impact of the change per year based on drug and supervision costs</t>
    </r>
  </si>
  <si>
    <r>
      <rPr>
        <b/>
        <sz val="12"/>
        <color theme="1"/>
        <rFont val="Calibri"/>
        <family val="2"/>
        <scheme val="minor"/>
      </rPr>
      <t>Step two</t>
    </r>
    <r>
      <rPr>
        <sz val="12"/>
        <color theme="1"/>
        <rFont val="Calibri"/>
        <family val="2"/>
        <scheme val="minor"/>
      </rPr>
      <t>: 
1. The current input is based on supervised adminstration by 2 x band 5 healthcare staff and 1 x prison officer.
2. Fields highlighted in yellow can be changed to reflect local practices. 
3. Some activity times need to be adjusted to reflect local practices (see also *)
4. If only 1 healthcare personnel is involved in OST supervision, input "0" in cells G28 and/or G30.</t>
    </r>
  </si>
  <si>
    <r>
      <rPr>
        <b/>
        <sz val="12"/>
        <color theme="1"/>
        <rFont val="Calibri"/>
        <family val="2"/>
        <scheme val="minor"/>
      </rPr>
      <t>Step three</t>
    </r>
    <r>
      <rPr>
        <sz val="12"/>
        <color theme="1"/>
        <rFont val="Calibri"/>
        <family val="2"/>
        <scheme val="minor"/>
      </rPr>
      <t>: 
1. Prices in this table reflect Drug Tariff July 2020 prices and fields highlighted in yellow can be amended to reflect local practices and update Drug Tariff prices.
2. The current input is based on community pharmacies adminstering OST and service users collecting unsupervised treatment every 7 days for oral OST.
3. If the SMSP has does not use an external pharmacy (e.g. using own stock with home office licence) to supply medicines, input "0" at cells C35, C38, E35, E38, D35 G35 and I35.</t>
    </r>
  </si>
  <si>
    <t>2. Clinical Guidelines on Drug Misuse and Dependence Update 2017 Independent Expert Working Group. Drug misuse and dependence: UK guidelines on clinical management. July 2017. Accessed via https://www.gov.uk/government/publications/drug-misuse-and-dependence-uk-guidelines-on-clinical-management</t>
  </si>
  <si>
    <t>Service users are stabilised and adhering to their respective dose regimes</t>
  </si>
  <si>
    <t>Buprenorphine 12mg daily dose will be used for comparison of prices. This is based on an average dose of 12-16mg recommended by Drug misuse and dependence: UK guidelines on clinical management.</t>
  </si>
  <si>
    <t>7. Wright N, Hard J, Fearn C et al. OUD care service improvement with prolonged-release buprenorphine in prisons: cost estimation analysis. Cliniecon Outcomes Res 2020. 12:499-504.</t>
  </si>
  <si>
    <t>6. Phillips-Jackson H, Hallam C, Cullen N et al.  Budget impact analysis of the introduction of injectable prolonged-release buprenorphine on opioid use disorder care resource requirements. Cliniecon Outcomes Res 2020. 12:233-240.</t>
  </si>
  <si>
    <r>
      <rPr>
        <b/>
        <sz val="12"/>
        <color theme="1"/>
        <rFont val="Calibri"/>
        <family val="2"/>
        <scheme val="minor"/>
      </rPr>
      <t>Step one</t>
    </r>
    <r>
      <rPr>
        <sz val="12"/>
        <color theme="1"/>
        <rFont val="Calibri"/>
        <family val="2"/>
        <scheme val="minor"/>
      </rPr>
      <t>: 
1. Input local drug prices in table below. Fields highlighted in yellow can be amended to reflect local pricing agreements. Drug prices in the current fields are based on Drug Tariff January 2021 prices. 
2. Doses chosen are based on stakeholder opinion. They can be amended in this table to reflect local practices.</t>
    </r>
  </si>
  <si>
    <t>1. NHS Business Services Authority. NHS electronic drug tariff (online). Accessed on 04/02/2021 via https://www.nhsbsa.nhs.uk/pharmacies-gp-practices-and-appliance-contractors/drug-tariff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</si>
</sst>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
  </numFmts>
  <fonts count="19" x14ac:knownFonts="1">
    <font>
      <sz val="11"/>
      <color theme="1"/>
      <name val="Calibri"/>
      <family val="2"/>
      <scheme val="minor"/>
    </font>
    <font>
      <b/>
      <sz val="11"/>
      <color theme="1"/>
      <name val="Calibri"/>
      <family val="2"/>
      <scheme val="minor"/>
    </font>
    <font>
      <u/>
      <sz val="11"/>
      <color theme="1"/>
      <name val="Calibri"/>
      <family val="2"/>
      <scheme val="minor"/>
    </font>
    <font>
      <sz val="22"/>
      <color theme="1"/>
      <name val="Calibri"/>
      <family val="2"/>
      <scheme val="minor"/>
    </font>
    <font>
      <sz val="9"/>
      <color theme="1"/>
      <name val="Calibri"/>
      <family val="2"/>
      <scheme val="minor"/>
    </font>
    <font>
      <sz val="8"/>
      <color theme="1"/>
      <name val="Calibri"/>
      <family val="2"/>
      <scheme val="minor"/>
    </font>
    <font>
      <i/>
      <sz val="10"/>
      <color theme="1"/>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sz val="12"/>
      <color theme="1"/>
      <name val="Calibri"/>
      <family val="2"/>
      <scheme val="minor"/>
    </font>
    <font>
      <b/>
      <sz val="12"/>
      <color theme="1"/>
      <name val="Calibri"/>
      <family val="2"/>
      <scheme val="minor"/>
    </font>
    <font>
      <b/>
      <sz val="18"/>
      <color theme="1"/>
      <name val="Calibri"/>
      <family val="2"/>
      <scheme val="minor"/>
    </font>
    <font>
      <b/>
      <sz val="12"/>
      <color theme="0"/>
      <name val="Calibri"/>
      <family val="2"/>
      <scheme val="minor"/>
    </font>
    <font>
      <sz val="10"/>
      <color theme="0"/>
      <name val="Calibri"/>
      <family val="2"/>
      <scheme val="minor"/>
    </font>
    <font>
      <i/>
      <sz val="9"/>
      <color theme="1"/>
      <name val="Calibri"/>
      <family val="2"/>
      <scheme val="minor"/>
    </font>
  </fonts>
  <fills count="16">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002060"/>
        <bgColor indexed="64"/>
      </patternFill>
    </fill>
    <fill>
      <patternFill patternType="solid">
        <fgColor theme="9" tint="-0.249977111117893"/>
        <bgColor indexed="64"/>
      </patternFill>
    </fill>
    <fill>
      <patternFill patternType="solid">
        <fgColor rgb="FFB22697"/>
        <bgColor indexed="6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179">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xf numFmtId="0" fontId="0" fillId="0" borderId="0" xfId="0" applyFont="1"/>
    <xf numFmtId="0" fontId="0" fillId="0" borderId="0" xfId="0" applyFont="1" applyAlignment="1">
      <alignment wrapText="1"/>
    </xf>
    <xf numFmtId="164" fontId="0" fillId="0" borderId="0" xfId="0" applyNumberFormat="1"/>
    <xf numFmtId="0" fontId="0" fillId="0" borderId="0" xfId="0" applyFill="1"/>
    <xf numFmtId="0" fontId="1" fillId="0" borderId="0" xfId="0" applyFont="1" applyFill="1" applyAlignment="1">
      <alignment wrapText="1"/>
    </xf>
    <xf numFmtId="164" fontId="0" fillId="0" borderId="0" xfId="0" applyNumberFormat="1" applyFill="1"/>
    <xf numFmtId="0" fontId="3" fillId="0" borderId="0" xfId="0" applyFont="1"/>
    <xf numFmtId="0" fontId="2" fillId="0" borderId="0" xfId="0" applyFont="1" applyAlignment="1">
      <alignment wrapText="1"/>
    </xf>
    <xf numFmtId="0" fontId="0" fillId="4" borderId="0" xfId="0" applyFill="1"/>
    <xf numFmtId="0" fontId="1" fillId="4" borderId="0" xfId="0" applyFont="1" applyFill="1"/>
    <xf numFmtId="0" fontId="1" fillId="5" borderId="0" xfId="0" applyFont="1" applyFill="1" applyAlignment="1">
      <alignment horizontal="center"/>
    </xf>
    <xf numFmtId="0" fontId="0" fillId="5" borderId="0" xfId="0" applyFill="1"/>
    <xf numFmtId="164" fontId="0" fillId="5" borderId="0" xfId="0" applyNumberFormat="1" applyFill="1"/>
    <xf numFmtId="0" fontId="0" fillId="5" borderId="0" xfId="0" applyFill="1" applyAlignment="1">
      <alignment wrapText="1"/>
    </xf>
    <xf numFmtId="0" fontId="0" fillId="3" borderId="0" xfId="0" applyFont="1" applyFill="1" applyAlignment="1">
      <alignment wrapText="1"/>
    </xf>
    <xf numFmtId="0" fontId="1" fillId="5" borderId="0" xfId="0" applyFont="1" applyFill="1"/>
    <xf numFmtId="164" fontId="0" fillId="5" borderId="0" xfId="0" applyNumberFormat="1" applyFill="1" applyAlignment="1"/>
    <xf numFmtId="0" fontId="1" fillId="0" borderId="1" xfId="0" applyFont="1" applyBorder="1" applyAlignment="1">
      <alignment vertical="center" wrapText="1"/>
    </xf>
    <xf numFmtId="0" fontId="0" fillId="0" borderId="1" xfId="0" applyFont="1" applyBorder="1" applyAlignment="1">
      <alignment vertical="center" wrapText="1"/>
    </xf>
    <xf numFmtId="164" fontId="0" fillId="3" borderId="1" xfId="0" applyNumberFormat="1" applyFill="1" applyBorder="1"/>
    <xf numFmtId="0" fontId="0" fillId="3" borderId="1" xfId="0" applyFont="1" applyFill="1" applyBorder="1" applyAlignment="1">
      <alignment vertical="center"/>
    </xf>
    <xf numFmtId="0" fontId="0" fillId="3" borderId="1" xfId="0" applyNumberFormat="1" applyFont="1" applyFill="1" applyBorder="1" applyAlignment="1">
      <alignment vertical="center"/>
    </xf>
    <xf numFmtId="0" fontId="0" fillId="0" borderId="1" xfId="0" applyFont="1" applyBorder="1" applyAlignment="1">
      <alignment horizontal="left" vertical="center" wrapText="1"/>
    </xf>
    <xf numFmtId="0" fontId="0" fillId="3" borderId="1" xfId="0" applyFont="1" applyFill="1" applyBorder="1" applyAlignment="1">
      <alignment wrapText="1"/>
    </xf>
    <xf numFmtId="4" fontId="0" fillId="0" borderId="1" xfId="0" applyNumberFormat="1" applyFont="1" applyBorder="1" applyAlignment="1">
      <alignment horizontal="center" vertical="center"/>
    </xf>
    <xf numFmtId="0" fontId="0" fillId="0" borderId="1" xfId="0" applyFont="1" applyBorder="1" applyAlignment="1">
      <alignment wrapText="1"/>
    </xf>
    <xf numFmtId="0" fontId="0" fillId="3" borderId="1" xfId="0" applyNumberFormat="1" applyFont="1" applyFill="1" applyBorder="1"/>
    <xf numFmtId="2" fontId="0" fillId="0" borderId="1" xfId="0" applyNumberFormat="1" applyFont="1" applyBorder="1" applyAlignment="1">
      <alignment horizontal="center" wrapText="1"/>
    </xf>
    <xf numFmtId="0" fontId="1" fillId="0" borderId="1" xfId="0" applyFont="1" applyBorder="1" applyAlignment="1">
      <alignment wrapText="1"/>
    </xf>
    <xf numFmtId="164" fontId="0" fillId="0" borderId="1" xfId="0" applyNumberFormat="1" applyBorder="1" applyAlignment="1">
      <alignment horizontal="center"/>
    </xf>
    <xf numFmtId="164" fontId="0" fillId="5" borderId="0" xfId="0" applyNumberFormat="1" applyFont="1" applyFill="1" applyAlignment="1"/>
    <xf numFmtId="0" fontId="7" fillId="5" borderId="0" xfId="0" applyFont="1" applyFill="1"/>
    <xf numFmtId="0" fontId="0" fillId="0" borderId="0" xfId="0" applyFont="1" applyFill="1" applyAlignment="1">
      <alignment horizontal="left"/>
    </xf>
    <xf numFmtId="164" fontId="0" fillId="0" borderId="1" xfId="0" applyNumberFormat="1" applyBorder="1"/>
    <xf numFmtId="0" fontId="0" fillId="3" borderId="1" xfId="0" applyFill="1" applyBorder="1"/>
    <xf numFmtId="0" fontId="0" fillId="0" borderId="1" xfId="0" applyBorder="1"/>
    <xf numFmtId="1" fontId="0" fillId="0" borderId="1" xfId="0" applyNumberFormat="1" applyFill="1" applyBorder="1"/>
    <xf numFmtId="164" fontId="0" fillId="0" borderId="1" xfId="0" applyNumberFormat="1" applyFont="1" applyFill="1" applyBorder="1" applyAlignment="1">
      <alignment horizontal="center" vertical="center"/>
    </xf>
    <xf numFmtId="164" fontId="0" fillId="0" borderId="1" xfId="0" applyNumberFormat="1" applyFont="1" applyFill="1" applyBorder="1" applyAlignment="1">
      <alignment horizontal="center" vertical="center" wrapText="1"/>
    </xf>
    <xf numFmtId="0" fontId="0" fillId="0" borderId="1" xfId="0" applyBorder="1" applyAlignment="1">
      <alignment horizontal="left" wrapText="1"/>
    </xf>
    <xf numFmtId="0" fontId="0" fillId="0" borderId="1" xfId="0" applyFill="1" applyBorder="1" applyAlignment="1">
      <alignment horizontal="center" vertical="center"/>
    </xf>
    <xf numFmtId="3" fontId="0" fillId="3" borderId="1" xfId="0" applyNumberFormat="1" applyFont="1" applyFill="1" applyBorder="1" applyAlignment="1">
      <alignment horizontal="center" vertical="center" wrapText="1"/>
    </xf>
    <xf numFmtId="0" fontId="0" fillId="0" borderId="1" xfId="0" applyFill="1" applyBorder="1"/>
    <xf numFmtId="0" fontId="1" fillId="0" borderId="1" xfId="0" applyFont="1" applyFill="1" applyBorder="1" applyAlignment="1">
      <alignment horizontal="center" vertical="center" wrapText="1"/>
    </xf>
    <xf numFmtId="0" fontId="0" fillId="7" borderId="0" xfId="0" applyFill="1"/>
    <xf numFmtId="0" fontId="0" fillId="3" borderId="0" xfId="0" applyFill="1"/>
    <xf numFmtId="0" fontId="7" fillId="3" borderId="0" xfId="0" applyFont="1" applyFill="1"/>
    <xf numFmtId="164" fontId="0" fillId="3" borderId="1" xfId="0" applyNumberFormat="1" applyFont="1" applyFill="1" applyBorder="1"/>
    <xf numFmtId="164" fontId="0" fillId="3" borderId="1" xfId="0" applyNumberFormat="1" applyFont="1" applyFill="1" applyBorder="1" applyAlignment="1">
      <alignment horizontal="center" wrapText="1"/>
    </xf>
    <xf numFmtId="0" fontId="0" fillId="0" borderId="1" xfId="0" applyBorder="1" applyAlignment="1">
      <alignment horizontal="center" wrapText="1"/>
    </xf>
    <xf numFmtId="164" fontId="0" fillId="0" borderId="1" xfId="0" applyNumberFormat="1" applyFont="1" applyBorder="1" applyAlignment="1">
      <alignment horizontal="center" vertical="center"/>
    </xf>
    <xf numFmtId="164" fontId="0" fillId="0" borderId="1" xfId="0" applyNumberFormat="1" applyFont="1" applyBorder="1" applyAlignment="1">
      <alignment horizontal="center" vertical="center" wrapText="1"/>
    </xf>
    <xf numFmtId="0" fontId="0" fillId="0" borderId="0" xfId="0" applyFill="1" applyAlignment="1">
      <alignment horizontal="center"/>
    </xf>
    <xf numFmtId="0" fontId="1" fillId="0" borderId="0" xfId="0" applyFont="1" applyFill="1" applyAlignment="1">
      <alignment horizontal="center"/>
    </xf>
    <xf numFmtId="0" fontId="1" fillId="0" borderId="1" xfId="0" applyFont="1" applyBorder="1" applyAlignment="1">
      <alignment horizontal="center" wrapText="1"/>
    </xf>
    <xf numFmtId="0" fontId="1" fillId="0" borderId="1" xfId="0" applyFont="1" applyBorder="1" applyAlignment="1">
      <alignment horizontal="center" vertical="center" wrapText="1"/>
    </xf>
    <xf numFmtId="0" fontId="0" fillId="0" borderId="1" xfId="0" applyFont="1" applyBorder="1" applyAlignment="1">
      <alignment horizontal="center" wrapText="1"/>
    </xf>
    <xf numFmtId="0" fontId="0" fillId="0" borderId="1" xfId="0" applyBorder="1" applyAlignment="1">
      <alignment horizontal="center" wrapText="1"/>
    </xf>
    <xf numFmtId="0" fontId="12" fillId="0" borderId="0" xfId="0" applyFont="1"/>
    <xf numFmtId="0" fontId="0" fillId="0" borderId="0" xfId="0" applyFill="1" applyAlignment="1">
      <alignment horizontal="center" wrapText="1"/>
    </xf>
    <xf numFmtId="0" fontId="13" fillId="0" borderId="0" xfId="0" applyFont="1" applyFill="1" applyAlignment="1">
      <alignment horizontal="left" wrapText="1"/>
    </xf>
    <xf numFmtId="0" fontId="0" fillId="0" borderId="1" xfId="0" applyBorder="1" applyAlignment="1">
      <alignment horizontal="center" vertical="center" wrapText="1"/>
    </xf>
    <xf numFmtId="0" fontId="0" fillId="0" borderId="0" xfId="0" applyFill="1" applyAlignment="1">
      <alignment wrapText="1"/>
    </xf>
    <xf numFmtId="0" fontId="1" fillId="11" borderId="0" xfId="0" applyFont="1" applyFill="1" applyAlignment="1">
      <alignment wrapText="1"/>
    </xf>
    <xf numFmtId="0" fontId="1" fillId="11" borderId="0" xfId="0" applyFont="1" applyFill="1" applyAlignment="1">
      <alignment horizontal="center" wrapText="1"/>
    </xf>
    <xf numFmtId="164" fontId="1" fillId="11" borderId="0" xfId="0" applyNumberFormat="1" applyFont="1" applyFill="1"/>
    <xf numFmtId="0" fontId="7" fillId="10" borderId="0" xfId="0" applyFont="1" applyFill="1" applyAlignment="1">
      <alignment horizontal="center"/>
    </xf>
    <xf numFmtId="0" fontId="1" fillId="10" borderId="0" xfId="0" applyFont="1" applyFill="1" applyAlignment="1">
      <alignment horizontal="center"/>
    </xf>
    <xf numFmtId="0" fontId="1" fillId="10" borderId="0" xfId="0" applyFont="1" applyFill="1"/>
    <xf numFmtId="0" fontId="0" fillId="10" borderId="0" xfId="0" applyFill="1"/>
    <xf numFmtId="164" fontId="0" fillId="10" borderId="0" xfId="0" applyNumberFormat="1" applyFill="1" applyAlignment="1">
      <alignment horizontal="center"/>
    </xf>
    <xf numFmtId="0" fontId="0" fillId="10" borderId="0" xfId="0" applyFill="1" applyAlignment="1">
      <alignment horizontal="center"/>
    </xf>
    <xf numFmtId="164" fontId="1" fillId="0" borderId="0" xfId="0" applyNumberFormat="1" applyFont="1" applyFill="1" applyAlignment="1">
      <alignment horizontal="center"/>
    </xf>
    <xf numFmtId="164" fontId="1" fillId="0" borderId="0" xfId="0" applyNumberFormat="1" applyFont="1" applyFill="1"/>
    <xf numFmtId="0" fontId="1" fillId="0" borderId="0" xfId="0" applyFont="1" applyFill="1"/>
    <xf numFmtId="164" fontId="0" fillId="0" borderId="0" xfId="0" applyNumberFormat="1" applyFill="1" applyAlignment="1">
      <alignment horizontal="center"/>
    </xf>
    <xf numFmtId="0" fontId="1" fillId="0" borderId="0" xfId="0" applyFont="1" applyAlignment="1">
      <alignment horizontal="left" wrapText="1"/>
    </xf>
    <xf numFmtId="0" fontId="7" fillId="0" borderId="0" xfId="0" applyFont="1" applyFill="1"/>
    <xf numFmtId="0" fontId="7" fillId="0" borderId="0" xfId="0" applyFont="1" applyFill="1" applyAlignment="1">
      <alignment horizontal="center"/>
    </xf>
    <xf numFmtId="0" fontId="2" fillId="0" borderId="0" xfId="0" applyFont="1" applyFill="1" applyAlignment="1">
      <alignment wrapText="1"/>
    </xf>
    <xf numFmtId="3" fontId="0" fillId="3" borderId="0" xfId="0" applyNumberFormat="1" applyFont="1" applyFill="1"/>
    <xf numFmtId="0" fontId="13" fillId="0" borderId="0" xfId="0" applyFont="1" applyFill="1" applyAlignment="1">
      <alignment wrapText="1"/>
    </xf>
    <xf numFmtId="165" fontId="0" fillId="3" borderId="0" xfId="0" applyNumberFormat="1" applyFill="1"/>
    <xf numFmtId="0" fontId="0" fillId="12" borderId="0" xfId="0" applyFill="1"/>
    <xf numFmtId="0" fontId="13" fillId="0" borderId="0" xfId="0" applyFont="1" applyFill="1" applyAlignment="1">
      <alignment horizontal="center" wrapText="1"/>
    </xf>
    <xf numFmtId="0" fontId="13" fillId="3" borderId="0" xfId="0" applyFont="1" applyFill="1" applyAlignment="1">
      <alignment horizontal="left" wrapText="1"/>
    </xf>
    <xf numFmtId="164" fontId="0" fillId="3" borderId="1" xfId="0" applyNumberFormat="1" applyFont="1" applyFill="1" applyBorder="1" applyAlignment="1">
      <alignment horizontal="center" vertical="center"/>
    </xf>
    <xf numFmtId="0" fontId="16" fillId="14" borderId="0" xfId="0" applyFont="1" applyFill="1" applyAlignment="1">
      <alignment horizontal="center" vertical="center" wrapText="1"/>
    </xf>
    <xf numFmtId="0" fontId="16" fillId="14" borderId="0" xfId="0" applyFont="1" applyFill="1" applyAlignment="1">
      <alignment wrapText="1"/>
    </xf>
    <xf numFmtId="0" fontId="16" fillId="14" borderId="0" xfId="0" applyFont="1" applyFill="1" applyAlignment="1">
      <alignment vertical="center" wrapText="1"/>
    </xf>
    <xf numFmtId="164" fontId="0" fillId="0" borderId="1" xfId="0" applyNumberFormat="1" applyFont="1" applyBorder="1" applyAlignment="1">
      <alignment horizontal="center" vertical="center"/>
    </xf>
    <xf numFmtId="0" fontId="0" fillId="0" borderId="0" xfId="0" applyFill="1" applyAlignment="1">
      <alignment horizontal="center"/>
    </xf>
    <xf numFmtId="0" fontId="16" fillId="14" borderId="0" xfId="0" applyFont="1" applyFill="1" applyAlignment="1">
      <alignment horizontal="center" vertical="center" wrapText="1"/>
    </xf>
    <xf numFmtId="0" fontId="0" fillId="0" borderId="1" xfId="0" applyFont="1" applyBorder="1" applyAlignment="1">
      <alignment horizontal="center" wrapText="1"/>
    </xf>
    <xf numFmtId="0" fontId="0" fillId="0" borderId="3" xfId="0" applyBorder="1" applyAlignment="1">
      <alignment horizontal="center" wrapText="1"/>
    </xf>
    <xf numFmtId="0" fontId="0" fillId="0" borderId="0" xfId="0" applyFill="1" applyAlignment="1">
      <alignment horizontal="left"/>
    </xf>
    <xf numFmtId="0" fontId="0" fillId="3" borderId="1" xfId="0" applyFont="1" applyFill="1" applyBorder="1" applyAlignment="1">
      <alignment horizontal="center" wrapText="1"/>
    </xf>
    <xf numFmtId="0" fontId="0" fillId="4" borderId="0" xfId="0" applyFont="1" applyFill="1"/>
    <xf numFmtId="0" fontId="0" fillId="4" borderId="0" xfId="0" applyFont="1" applyFill="1" applyAlignment="1">
      <alignment wrapText="1"/>
    </xf>
    <xf numFmtId="0" fontId="12" fillId="4" borderId="0" xfId="0" applyFont="1" applyFill="1"/>
    <xf numFmtId="0" fontId="0" fillId="4" borderId="0" xfId="0" applyFont="1" applyFill="1" applyAlignment="1">
      <alignment horizontal="left" wrapText="1"/>
    </xf>
    <xf numFmtId="0" fontId="0" fillId="0" borderId="0" xfId="0" applyAlignment="1">
      <alignment horizontal="left" wrapText="1"/>
    </xf>
    <xf numFmtId="0" fontId="1" fillId="0" borderId="0" xfId="0" applyFont="1" applyAlignment="1">
      <alignment horizontal="center" wrapText="1"/>
    </xf>
    <xf numFmtId="0" fontId="0" fillId="0" borderId="0" xfId="0" applyFont="1" applyAlignment="1">
      <alignment horizontal="left" wrapText="1"/>
    </xf>
    <xf numFmtId="0" fontId="16" fillId="12" borderId="0" xfId="0" applyFont="1" applyFill="1" applyAlignment="1">
      <alignment horizontal="center" wrapText="1"/>
    </xf>
    <xf numFmtId="0" fontId="0" fillId="0" borderId="0" xfId="0" applyFont="1" applyFill="1" applyAlignment="1">
      <alignment horizontal="left" vertical="top" wrapText="1"/>
    </xf>
    <xf numFmtId="0" fontId="1" fillId="0" borderId="0" xfId="0" applyFont="1" applyFill="1" applyAlignment="1">
      <alignment horizontal="left" vertical="top" wrapText="1"/>
    </xf>
    <xf numFmtId="0" fontId="13" fillId="0" borderId="0" xfId="0" applyFont="1" applyFill="1" applyAlignment="1">
      <alignment horizontal="center" wrapText="1"/>
    </xf>
    <xf numFmtId="0" fontId="1" fillId="8" borderId="0" xfId="0" applyFont="1" applyFill="1" applyAlignment="1">
      <alignment horizontal="center" wrapText="1"/>
    </xf>
    <xf numFmtId="0" fontId="1" fillId="11" borderId="0" xfId="0" applyFont="1" applyFill="1" applyAlignment="1">
      <alignment horizontal="center" wrapText="1"/>
    </xf>
    <xf numFmtId="0" fontId="7" fillId="3" borderId="0" xfId="0" applyFont="1" applyFill="1" applyAlignment="1">
      <alignment horizontal="center"/>
    </xf>
    <xf numFmtId="0" fontId="0" fillId="10" borderId="0" xfId="0" applyFill="1" applyAlignment="1">
      <alignment horizontal="center"/>
    </xf>
    <xf numFmtId="0" fontId="13" fillId="9" borderId="0" xfId="0" applyFont="1" applyFill="1" applyAlignment="1">
      <alignment horizontal="left" wrapText="1"/>
    </xf>
    <xf numFmtId="0" fontId="1" fillId="2" borderId="0" xfId="0" applyFont="1" applyFill="1" applyAlignment="1">
      <alignment horizontal="center"/>
    </xf>
    <xf numFmtId="0" fontId="16" fillId="14" borderId="0" xfId="0" applyFont="1" applyFill="1" applyAlignment="1">
      <alignment horizontal="center" vertical="center" wrapText="1"/>
    </xf>
    <xf numFmtId="0" fontId="10" fillId="13" borderId="0" xfId="0" applyFont="1" applyFill="1" applyAlignment="1">
      <alignment horizontal="center" wrapText="1"/>
    </xf>
    <xf numFmtId="0" fontId="0" fillId="0" borderId="0" xfId="0" applyFont="1" applyFill="1" applyAlignment="1">
      <alignment horizontal="left" wrapText="1"/>
    </xf>
    <xf numFmtId="0" fontId="0" fillId="0" borderId="0" xfId="0" applyFill="1" applyAlignment="1">
      <alignment horizontal="center"/>
    </xf>
    <xf numFmtId="0" fontId="7" fillId="0" borderId="0" xfId="0" applyFont="1" applyFill="1" applyAlignment="1">
      <alignment horizontal="center"/>
    </xf>
    <xf numFmtId="164" fontId="1" fillId="8" borderId="0" xfId="0" applyNumberFormat="1" applyFont="1" applyFill="1" applyAlignment="1">
      <alignment horizontal="center"/>
    </xf>
    <xf numFmtId="0" fontId="1" fillId="8" borderId="0" xfId="0" applyFont="1" applyFill="1" applyAlignment="1">
      <alignment horizontal="center"/>
    </xf>
    <xf numFmtId="0" fontId="1" fillId="11" borderId="0" xfId="0" applyFont="1" applyFill="1" applyAlignment="1">
      <alignment horizontal="center"/>
    </xf>
    <xf numFmtId="0" fontId="0" fillId="5" borderId="0" xfId="0" applyFill="1" applyAlignment="1">
      <alignment horizontal="center" wrapText="1"/>
    </xf>
    <xf numFmtId="0" fontId="0" fillId="0" borderId="0" xfId="0" applyFont="1" applyFill="1" applyAlignment="1">
      <alignment horizontal="left" vertical="center" wrapText="1"/>
    </xf>
    <xf numFmtId="0" fontId="1" fillId="0" borderId="0" xfId="0" applyFont="1" applyFill="1" applyAlignment="1">
      <alignment horizontal="left" wrapText="1"/>
    </xf>
    <xf numFmtId="0" fontId="0" fillId="5" borderId="0" xfId="0" applyFill="1" applyAlignment="1">
      <alignment horizontal="left" vertical="top" wrapText="1"/>
    </xf>
    <xf numFmtId="0" fontId="0" fillId="10" borderId="0" xfId="0" applyFont="1" applyFill="1" applyAlignment="1">
      <alignment horizontal="center" vertical="top" wrapText="1"/>
    </xf>
    <xf numFmtId="0" fontId="1" fillId="0" borderId="0" xfId="0" applyFont="1" applyAlignment="1">
      <alignment horizontal="left" wrapText="1"/>
    </xf>
    <xf numFmtId="164" fontId="0" fillId="10" borderId="0" xfId="0" applyNumberFormat="1" applyFill="1" applyAlignment="1">
      <alignment horizontal="center"/>
    </xf>
    <xf numFmtId="0" fontId="0" fillId="10" borderId="0" xfId="0" applyFill="1" applyAlignment="1">
      <alignment horizontal="center" wrapText="1"/>
    </xf>
    <xf numFmtId="164" fontId="0" fillId="3" borderId="2" xfId="0" applyNumberFormat="1" applyFill="1" applyBorder="1" applyAlignment="1">
      <alignment horizontal="center" wrapText="1"/>
    </xf>
    <xf numFmtId="164" fontId="0" fillId="3" borderId="3" xfId="0" applyNumberFormat="1" applyFill="1"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164" fontId="0" fillId="0" borderId="2" xfId="0" applyNumberFormat="1" applyBorder="1" applyAlignment="1">
      <alignment horizontal="center"/>
    </xf>
    <xf numFmtId="164" fontId="0" fillId="0" borderId="3" xfId="0" applyNumberFormat="1" applyBorder="1" applyAlignment="1">
      <alignment horizontal="center"/>
    </xf>
    <xf numFmtId="0" fontId="0" fillId="0" borderId="1" xfId="0" applyBorder="1" applyAlignment="1">
      <alignment horizontal="center" wrapText="1"/>
    </xf>
    <xf numFmtId="0" fontId="0" fillId="3" borderId="1" xfId="0" applyFill="1" applyBorder="1" applyAlignment="1">
      <alignment horizontal="center" wrapText="1"/>
    </xf>
    <xf numFmtId="0" fontId="0" fillId="0" borderId="1" xfId="0" applyBorder="1" applyAlignment="1">
      <alignment horizontal="center"/>
    </xf>
    <xf numFmtId="0" fontId="0" fillId="3" borderId="1" xfId="0" applyFill="1" applyBorder="1" applyAlignment="1">
      <alignment horizontal="center"/>
    </xf>
    <xf numFmtId="164" fontId="0" fillId="3" borderId="1" xfId="0" applyNumberFormat="1" applyFill="1" applyBorder="1" applyAlignment="1">
      <alignment horizontal="center"/>
    </xf>
    <xf numFmtId="0" fontId="1" fillId="0" borderId="1" xfId="0" applyFont="1" applyBorder="1" applyAlignment="1">
      <alignment horizont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6" borderId="0" xfId="0" applyFont="1" applyFill="1" applyAlignment="1">
      <alignment horizontal="center"/>
    </xf>
    <xf numFmtId="164" fontId="0"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164" fontId="0" fillId="0" borderId="1" xfId="0" applyNumberFormat="1"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164" fontId="0" fillId="0" borderId="2" xfId="0" applyNumberFormat="1" applyFont="1" applyBorder="1" applyAlignment="1">
      <alignment horizontal="center" vertical="center"/>
    </xf>
    <xf numFmtId="164" fontId="0" fillId="0" borderId="3" xfId="0" applyNumberFormat="1" applyFont="1" applyBorder="1" applyAlignment="1">
      <alignment horizontal="center" vertical="center"/>
    </xf>
    <xf numFmtId="164" fontId="0" fillId="0" borderId="2" xfId="0" applyNumberFormat="1" applyFont="1" applyBorder="1" applyAlignment="1">
      <alignment horizontal="center" vertical="center" wrapText="1"/>
    </xf>
    <xf numFmtId="164" fontId="0" fillId="0" borderId="3" xfId="0" applyNumberFormat="1" applyFont="1" applyBorder="1" applyAlignment="1">
      <alignment horizontal="center" vertical="center" wrapText="1"/>
    </xf>
    <xf numFmtId="0" fontId="0" fillId="15" borderId="0" xfId="0" applyFill="1" applyAlignment="1">
      <alignment horizontal="center" wrapText="1"/>
    </xf>
    <xf numFmtId="0" fontId="0" fillId="0" borderId="1" xfId="0" applyBorder="1" applyAlignment="1">
      <alignment horizontal="center" vertical="center" wrapText="1"/>
    </xf>
    <xf numFmtId="0" fontId="1" fillId="6" borderId="0" xfId="0" applyFont="1" applyFill="1" applyAlignment="1">
      <alignment horizontal="center" vertical="center"/>
    </xf>
    <xf numFmtId="164" fontId="1" fillId="0" borderId="1" xfId="0" applyNumberFormat="1" applyFont="1" applyBorder="1" applyAlignment="1">
      <alignment horizontal="center" wrapText="1"/>
    </xf>
    <xf numFmtId="0" fontId="15" fillId="0" borderId="0" xfId="0" applyFont="1" applyFill="1" applyAlignment="1">
      <alignment horizontal="center" vertical="center"/>
    </xf>
    <xf numFmtId="164" fontId="0" fillId="3" borderId="2" xfId="0" applyNumberFormat="1" applyFill="1" applyBorder="1" applyAlignment="1">
      <alignment horizontal="center"/>
    </xf>
    <xf numFmtId="164" fontId="0" fillId="3" borderId="3" xfId="0" applyNumberFormat="1" applyFill="1" applyBorder="1" applyAlignment="1">
      <alignment horizontal="center"/>
    </xf>
    <xf numFmtId="0" fontId="11" fillId="13" borderId="0" xfId="0" applyFont="1" applyFill="1" applyAlignment="1">
      <alignment horizontal="center" vertical="top" wrapText="1"/>
    </xf>
    <xf numFmtId="0" fontId="1" fillId="0" borderId="1" xfId="0" applyFont="1" applyBorder="1" applyAlignment="1">
      <alignment horizontal="center" vertical="center" wrapText="1"/>
    </xf>
    <xf numFmtId="164" fontId="0" fillId="3" borderId="1"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0" fontId="0" fillId="3" borderId="1" xfId="0" applyFont="1" applyFill="1" applyBorder="1" applyAlignment="1">
      <alignment horizontal="center" vertical="center"/>
    </xf>
    <xf numFmtId="0" fontId="0" fillId="3" borderId="1" xfId="0" applyNumberFormat="1" applyFont="1" applyFill="1" applyBorder="1" applyAlignment="1">
      <alignment horizontal="center"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164" fontId="1" fillId="0" borderId="1" xfId="0" applyNumberFormat="1" applyFont="1" applyBorder="1" applyAlignment="1">
      <alignment horizontal="center" vertical="center" wrapText="1"/>
    </xf>
    <xf numFmtId="0" fontId="0" fillId="0" borderId="2" xfId="0" applyBorder="1" applyAlignment="1">
      <alignment horizontal="center" wrapText="1"/>
    </xf>
    <xf numFmtId="0" fontId="0" fillId="0" borderId="3" xfId="0" applyBorder="1" applyAlignment="1">
      <alignment horizontal="center" wrapText="1"/>
    </xf>
    <xf numFmtId="0" fontId="6" fillId="10" borderId="0" xfId="0" applyFont="1" applyFill="1" applyAlignment="1">
      <alignment horizontal="center" wrapText="1"/>
    </xf>
  </cellXfs>
  <cellStyles count="1">
    <cellStyle name="Normal" xfId="0" builtinId="0"/>
  </cellStyles>
  <dxfs count="14">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B226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tiff"/><Relationship Id="rId7" Type="http://schemas.openxmlformats.org/officeDocument/2006/relationships/image" Target="../media/image7.jpeg"/><Relationship Id="rId2" Type="http://schemas.openxmlformats.org/officeDocument/2006/relationships/image" Target="../media/image2.tiff"/><Relationship Id="rId1" Type="http://schemas.openxmlformats.org/officeDocument/2006/relationships/image" Target="../media/image1.jpeg"/><Relationship Id="rId6" Type="http://schemas.openxmlformats.org/officeDocument/2006/relationships/image" Target="../media/image6.tiff"/><Relationship Id="rId5" Type="http://schemas.openxmlformats.org/officeDocument/2006/relationships/image" Target="../media/image5.png"/><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xdr:from>
      <xdr:col>13</xdr:col>
      <xdr:colOff>266699</xdr:colOff>
      <xdr:row>33</xdr:row>
      <xdr:rowOff>0</xdr:rowOff>
    </xdr:from>
    <xdr:to>
      <xdr:col>20</xdr:col>
      <xdr:colOff>35562</xdr:colOff>
      <xdr:row>36</xdr:row>
      <xdr:rowOff>67945</xdr:rowOff>
    </xdr:to>
    <xdr:grpSp>
      <xdr:nvGrpSpPr>
        <xdr:cNvPr id="3" name="Group 2">
          <a:extLst>
            <a:ext uri="{FF2B5EF4-FFF2-40B4-BE49-F238E27FC236}">
              <a16:creationId xmlns:a16="http://schemas.microsoft.com/office/drawing/2014/main" xmlns="" id="{B6DA2D27-6D8D-49A3-902E-594BFE7CA85B}"/>
            </a:ext>
          </a:extLst>
        </xdr:cNvPr>
        <xdr:cNvGrpSpPr/>
      </xdr:nvGrpSpPr>
      <xdr:grpSpPr>
        <a:xfrm>
          <a:off x="8191499" y="7058025"/>
          <a:ext cx="4036063" cy="639445"/>
          <a:chOff x="0" y="0"/>
          <a:chExt cx="4032447" cy="640080"/>
        </a:xfrm>
      </xdr:grpSpPr>
      <xdr:pic>
        <xdr:nvPicPr>
          <xdr:cNvPr id="4" name="Picture 3">
            <a:extLst>
              <a:ext uri="{FF2B5EF4-FFF2-40B4-BE49-F238E27FC236}">
                <a16:creationId xmlns:a16="http://schemas.microsoft.com/office/drawing/2014/main" xmlns="" id="{328DD02B-7476-49F2-B6BD-B698E6EDD1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838160" y="6597"/>
            <a:ext cx="607864" cy="606783"/>
          </a:xfrm>
          <a:prstGeom prst="rect">
            <a:avLst/>
          </a:prstGeom>
        </xdr:spPr>
      </xdr:pic>
      <xdr:pic>
        <xdr:nvPicPr>
          <xdr:cNvPr id="5" name="Picture 4">
            <a:extLst>
              <a:ext uri="{FF2B5EF4-FFF2-40B4-BE49-F238E27FC236}">
                <a16:creationId xmlns:a16="http://schemas.microsoft.com/office/drawing/2014/main" xmlns="" id="{D0461E62-D9AD-49E2-ADC3-C1AFC2FD073F}"/>
              </a:ext>
            </a:extLst>
          </xdr:cNvPr>
          <xdr:cNvPicPr>
            <a:picLocks noChangeAspect="1"/>
          </xdr:cNvPicPr>
        </xdr:nvPicPr>
        <xdr:blipFill>
          <a:blip xmlns:r="http://schemas.openxmlformats.org/officeDocument/2006/relationships" r:embed="rId2"/>
          <a:stretch>
            <a:fillRect/>
          </a:stretch>
        </xdr:blipFill>
        <xdr:spPr>
          <a:xfrm>
            <a:off x="2432543" y="45450"/>
            <a:ext cx="590517" cy="549181"/>
          </a:xfrm>
          <a:prstGeom prst="rect">
            <a:avLst/>
          </a:prstGeom>
        </xdr:spPr>
      </xdr:pic>
      <xdr:grpSp>
        <xdr:nvGrpSpPr>
          <xdr:cNvPr id="6" name="Group 5">
            <a:extLst>
              <a:ext uri="{FF2B5EF4-FFF2-40B4-BE49-F238E27FC236}">
                <a16:creationId xmlns:a16="http://schemas.microsoft.com/office/drawing/2014/main" xmlns="" id="{4603F636-CFA1-400A-A628-431EE4456E00}"/>
              </a:ext>
            </a:extLst>
          </xdr:cNvPr>
          <xdr:cNvGrpSpPr/>
        </xdr:nvGrpSpPr>
        <xdr:grpSpPr>
          <a:xfrm>
            <a:off x="0" y="26699"/>
            <a:ext cx="653936" cy="586681"/>
            <a:chOff x="0" y="26699"/>
            <a:chExt cx="653936" cy="586681"/>
          </a:xfrm>
        </xdr:grpSpPr>
        <xdr:pic>
          <xdr:nvPicPr>
            <xdr:cNvPr id="9" name="Picture 8">
              <a:extLst>
                <a:ext uri="{FF2B5EF4-FFF2-40B4-BE49-F238E27FC236}">
                  <a16:creationId xmlns:a16="http://schemas.microsoft.com/office/drawing/2014/main" xmlns="" id="{04C9B449-10DE-4EFE-9A99-CC123530443D}"/>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a:ext>
              </a:extLst>
            </a:blip>
            <a:srcRect/>
            <a:stretch/>
          </xdr:blipFill>
          <xdr:spPr>
            <a:xfrm>
              <a:off x="0" y="523139"/>
              <a:ext cx="605561" cy="90241"/>
            </a:xfrm>
            <a:prstGeom prst="rect">
              <a:avLst/>
            </a:prstGeom>
          </xdr:spPr>
        </xdr:pic>
        <xdr:pic>
          <xdr:nvPicPr>
            <xdr:cNvPr id="10" name="Picture 9">
              <a:extLst>
                <a:ext uri="{FF2B5EF4-FFF2-40B4-BE49-F238E27FC236}">
                  <a16:creationId xmlns:a16="http://schemas.microsoft.com/office/drawing/2014/main" xmlns="" id="{11C240F2-308B-4694-9BEA-C00177D39BA8}"/>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a:ext>
              </a:extLst>
            </a:blip>
            <a:srcRect/>
            <a:stretch/>
          </xdr:blipFill>
          <xdr:spPr>
            <a:xfrm>
              <a:off x="21977" y="26699"/>
              <a:ext cx="583582" cy="441556"/>
            </a:xfrm>
            <a:prstGeom prst="rect">
              <a:avLst/>
            </a:prstGeom>
          </xdr:spPr>
        </xdr:pic>
        <xdr:sp macro="" textlink="">
          <xdr:nvSpPr>
            <xdr:cNvPr id="11" name="Rectangle 10">
              <a:extLst>
                <a:ext uri="{FF2B5EF4-FFF2-40B4-BE49-F238E27FC236}">
                  <a16:creationId xmlns:a16="http://schemas.microsoft.com/office/drawing/2014/main" xmlns="" id="{5B8CD3A2-D541-4791-A23D-97263A78E26B}"/>
                </a:ext>
              </a:extLst>
            </xdr:cNvPr>
            <xdr:cNvSpPr/>
          </xdr:nvSpPr>
          <xdr:spPr>
            <a:xfrm>
              <a:off x="413395" y="356677"/>
              <a:ext cx="240541" cy="1529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GB"/>
            </a:p>
          </xdr:txBody>
        </xdr:sp>
      </xdr:grpSp>
      <xdr:pic>
        <xdr:nvPicPr>
          <xdr:cNvPr id="7" name="Picture 6">
            <a:extLst>
              <a:ext uri="{FF2B5EF4-FFF2-40B4-BE49-F238E27FC236}">
                <a16:creationId xmlns:a16="http://schemas.microsoft.com/office/drawing/2014/main" xmlns="" id="{DA04C759-1E5E-43C5-87D8-97175E9D4B2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a:ext>
            </a:extLst>
          </a:blip>
          <a:stretch>
            <a:fillRect/>
          </a:stretch>
        </xdr:blipFill>
        <xdr:spPr>
          <a:xfrm>
            <a:off x="3213075" y="0"/>
            <a:ext cx="819372" cy="640080"/>
          </a:xfrm>
          <a:prstGeom prst="rect">
            <a:avLst/>
          </a:prstGeom>
        </xdr:spPr>
      </xdr:pic>
      <xdr:pic>
        <xdr:nvPicPr>
          <xdr:cNvPr id="8" name="Picture 7">
            <a:extLst>
              <a:ext uri="{FF2B5EF4-FFF2-40B4-BE49-F238E27FC236}">
                <a16:creationId xmlns:a16="http://schemas.microsoft.com/office/drawing/2014/main" xmlns="" id="{3581B9BB-E963-4E0B-9BD0-BD2BDB051A9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a:ext>
            </a:extLst>
          </a:blip>
          <a:stretch>
            <a:fillRect/>
          </a:stretch>
        </xdr:blipFill>
        <xdr:spPr>
          <a:xfrm>
            <a:off x="1641583" y="32897"/>
            <a:ext cx="590665" cy="590665"/>
          </a:xfrm>
          <a:prstGeom prst="rect">
            <a:avLst/>
          </a:prstGeom>
        </xdr:spPr>
      </xdr:pic>
    </xdr:grpSp>
    <xdr:clientData/>
  </xdr:twoCellAnchor>
  <xdr:twoCellAnchor editAs="oneCell">
    <xdr:from>
      <xdr:col>0</xdr:col>
      <xdr:colOff>152400</xdr:colOff>
      <xdr:row>1</xdr:row>
      <xdr:rowOff>0</xdr:rowOff>
    </xdr:from>
    <xdr:to>
      <xdr:col>2</xdr:col>
      <xdr:colOff>434339</xdr:colOff>
      <xdr:row>2</xdr:row>
      <xdr:rowOff>137160</xdr:rowOff>
    </xdr:to>
    <xdr:pic>
      <xdr:nvPicPr>
        <xdr:cNvPr id="13" name="Picture 12" descr="X:\PPU\MedicinesInfo\RMOC\Admin\Templates\Images (put where you think is best)\SPS-Logo_Large-1024x327.jpg"/>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2400" y="182880"/>
          <a:ext cx="1501139" cy="502920"/>
        </a:xfrm>
        <a:prstGeom prst="rect">
          <a:avLst/>
        </a:prstGeom>
        <a:noFill/>
        <a:ln>
          <a:noFill/>
        </a:ln>
      </xdr:spPr>
    </xdr:pic>
    <xdr:clientData/>
  </xdr:twoCellAnchor>
  <xdr:twoCellAnchor editAs="oneCell">
    <xdr:from>
      <xdr:col>19</xdr:col>
      <xdr:colOff>213360</xdr:colOff>
      <xdr:row>0</xdr:row>
      <xdr:rowOff>144780</xdr:rowOff>
    </xdr:from>
    <xdr:to>
      <xdr:col>20</xdr:col>
      <xdr:colOff>243840</xdr:colOff>
      <xdr:row>3</xdr:row>
      <xdr:rowOff>30480</xdr:rowOff>
    </xdr:to>
    <xdr:pic>
      <xdr:nvPicPr>
        <xdr:cNvPr id="15" name="image1.png" descr="cid:57A58599-5FC5-44CD-AD04-66E8246AF16A@Belkin"/>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a:xfrm>
          <a:off x="11795760" y="144780"/>
          <a:ext cx="640080" cy="617220"/>
        </a:xfrm>
        <a:prstGeom prst="rect">
          <a:avLst/>
        </a:prstGeom>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32"/>
  <sheetViews>
    <sheetView showGridLines="0" tabSelected="1" zoomScaleNormal="100" workbookViewId="0">
      <selection activeCell="V15" sqref="V15"/>
    </sheetView>
  </sheetViews>
  <sheetFormatPr defaultRowHeight="15" x14ac:dyDescent="0.25"/>
  <cols>
    <col min="21" max="21" width="8.7109375" customWidth="1"/>
  </cols>
  <sheetData>
    <row r="2" spans="1:21" ht="28.5" x14ac:dyDescent="0.45">
      <c r="D2" s="11" t="s">
        <v>18</v>
      </c>
    </row>
    <row r="6" spans="1:21" x14ac:dyDescent="0.25">
      <c r="A6" s="14" t="s">
        <v>10</v>
      </c>
      <c r="B6" s="13"/>
      <c r="C6" s="13"/>
      <c r="D6" s="13"/>
      <c r="E6" s="13"/>
      <c r="F6" s="13"/>
      <c r="G6" s="13"/>
      <c r="H6" s="13"/>
      <c r="I6" s="13"/>
      <c r="J6" s="13"/>
      <c r="K6" s="13"/>
      <c r="L6" s="13"/>
      <c r="M6" s="13"/>
      <c r="N6" s="13"/>
      <c r="O6" s="13"/>
      <c r="P6" s="13"/>
      <c r="Q6" s="13"/>
      <c r="R6" s="13"/>
      <c r="S6" s="13"/>
      <c r="T6" s="13"/>
      <c r="U6" s="13"/>
    </row>
    <row r="7" spans="1:21" s="50" customFormat="1" x14ac:dyDescent="0.25">
      <c r="A7" s="102" t="s">
        <v>95</v>
      </c>
      <c r="B7" s="13"/>
      <c r="C7" s="13"/>
      <c r="D7" s="13"/>
      <c r="E7" s="13"/>
      <c r="F7" s="13"/>
      <c r="G7" s="13"/>
      <c r="H7" s="13"/>
      <c r="I7" s="13"/>
      <c r="J7" s="13"/>
      <c r="K7" s="13"/>
      <c r="L7" s="13"/>
      <c r="M7" s="13"/>
      <c r="N7" s="13"/>
      <c r="O7" s="13"/>
      <c r="P7" s="13"/>
      <c r="Q7" s="13"/>
      <c r="R7" s="13"/>
      <c r="S7" s="13"/>
      <c r="T7" s="13"/>
      <c r="U7" s="13"/>
    </row>
    <row r="8" spans="1:21" s="50" customFormat="1" x14ac:dyDescent="0.25">
      <c r="A8" s="102" t="s">
        <v>94</v>
      </c>
      <c r="B8" s="13"/>
      <c r="C8" s="13"/>
      <c r="D8" s="13"/>
      <c r="E8" s="13"/>
      <c r="F8" s="13"/>
      <c r="G8" s="13"/>
      <c r="H8" s="13"/>
      <c r="I8" s="13"/>
      <c r="J8" s="13"/>
      <c r="K8" s="13"/>
      <c r="L8" s="13"/>
      <c r="M8" s="13"/>
      <c r="N8" s="13"/>
      <c r="O8" s="13"/>
      <c r="P8" s="13"/>
      <c r="Q8" s="13"/>
      <c r="R8" s="13"/>
      <c r="S8" s="13"/>
      <c r="T8" s="13"/>
      <c r="U8" s="13"/>
    </row>
    <row r="9" spans="1:21" s="50" customFormat="1" ht="32.25" customHeight="1" x14ac:dyDescent="0.25">
      <c r="A9" s="105" t="s">
        <v>96</v>
      </c>
      <c r="B9" s="105"/>
      <c r="C9" s="105"/>
      <c r="D9" s="105"/>
      <c r="E9" s="105"/>
      <c r="F9" s="105"/>
      <c r="G9" s="105"/>
      <c r="H9" s="105"/>
      <c r="I9" s="105"/>
      <c r="J9" s="105"/>
      <c r="K9" s="105"/>
      <c r="L9" s="105"/>
      <c r="M9" s="105"/>
      <c r="N9" s="105"/>
      <c r="O9" s="105"/>
      <c r="P9" s="105"/>
      <c r="Q9" s="105"/>
      <c r="R9" s="105"/>
      <c r="S9" s="105"/>
      <c r="T9" s="105"/>
      <c r="U9" s="103"/>
    </row>
    <row r="10" spans="1:21" s="50" customFormat="1" x14ac:dyDescent="0.25">
      <c r="A10" s="13" t="s">
        <v>15</v>
      </c>
      <c r="B10" s="13"/>
      <c r="C10" s="13"/>
      <c r="D10" s="13"/>
      <c r="E10" s="13"/>
      <c r="F10" s="13"/>
      <c r="G10" s="13"/>
      <c r="H10" s="13"/>
      <c r="I10" s="13"/>
      <c r="J10" s="13"/>
      <c r="K10" s="13"/>
      <c r="L10" s="13"/>
      <c r="M10" s="13"/>
      <c r="N10" s="13"/>
      <c r="O10" s="13"/>
      <c r="P10" s="13"/>
      <c r="Q10" s="13"/>
      <c r="R10" s="13"/>
      <c r="S10" s="13"/>
      <c r="T10" s="13"/>
      <c r="U10" s="13"/>
    </row>
    <row r="13" spans="1:21" x14ac:dyDescent="0.25">
      <c r="A13" s="14" t="s">
        <v>6</v>
      </c>
      <c r="B13" s="13"/>
      <c r="C13" s="13"/>
      <c r="D13" s="13"/>
      <c r="E13" s="13"/>
      <c r="F13" s="13"/>
      <c r="G13" s="13"/>
      <c r="H13" s="13"/>
      <c r="I13" s="13"/>
      <c r="J13" s="13"/>
      <c r="K13" s="13"/>
      <c r="L13" s="13"/>
      <c r="M13" s="13"/>
      <c r="N13" s="13"/>
      <c r="O13" s="13"/>
      <c r="P13" s="13"/>
      <c r="Q13" s="13"/>
      <c r="R13" s="13"/>
      <c r="S13" s="13"/>
      <c r="T13" s="13"/>
    </row>
    <row r="14" spans="1:21" x14ac:dyDescent="0.25">
      <c r="A14" s="102" t="s">
        <v>152</v>
      </c>
      <c r="B14" s="13"/>
      <c r="C14" s="13"/>
      <c r="D14" s="13"/>
      <c r="E14" s="13"/>
      <c r="F14" s="13"/>
      <c r="G14" s="13"/>
      <c r="H14" s="13"/>
      <c r="I14" s="13"/>
      <c r="J14" s="13"/>
      <c r="K14" s="13"/>
      <c r="L14" s="13"/>
      <c r="M14" s="13"/>
      <c r="N14" s="13"/>
      <c r="O14" s="13"/>
      <c r="P14" s="13"/>
      <c r="Q14" s="13"/>
      <c r="R14" s="13"/>
      <c r="S14" s="13"/>
      <c r="T14" s="13"/>
    </row>
    <row r="15" spans="1:21" ht="15" customHeight="1" x14ac:dyDescent="0.25">
      <c r="A15" s="105" t="s">
        <v>153</v>
      </c>
      <c r="B15" s="105"/>
      <c r="C15" s="105"/>
      <c r="D15" s="105"/>
      <c r="E15" s="105"/>
      <c r="F15" s="105"/>
      <c r="G15" s="105"/>
      <c r="H15" s="105"/>
      <c r="I15" s="105"/>
      <c r="J15" s="105"/>
      <c r="K15" s="105"/>
      <c r="L15" s="105"/>
      <c r="M15" s="105"/>
      <c r="N15" s="105"/>
      <c r="O15" s="105"/>
      <c r="P15" s="105"/>
      <c r="Q15" s="105"/>
      <c r="R15" s="105"/>
      <c r="S15" s="105"/>
      <c r="T15" s="105"/>
    </row>
    <row r="16" spans="1:21" x14ac:dyDescent="0.25">
      <c r="A16" s="102" t="s">
        <v>16</v>
      </c>
      <c r="B16" s="13"/>
      <c r="C16" s="13"/>
      <c r="D16" s="13"/>
      <c r="E16" s="13"/>
      <c r="F16" s="13"/>
      <c r="G16" s="13"/>
      <c r="H16" s="13"/>
      <c r="I16" s="13"/>
      <c r="J16" s="13"/>
      <c r="K16" s="13"/>
      <c r="L16" s="13"/>
      <c r="M16" s="13"/>
      <c r="N16" s="13"/>
      <c r="O16" s="13"/>
      <c r="P16" s="13"/>
      <c r="Q16" s="13"/>
      <c r="R16" s="13"/>
      <c r="S16" s="13"/>
      <c r="T16" s="13"/>
    </row>
    <row r="17" spans="1:20" s="63" customFormat="1" x14ac:dyDescent="0.25">
      <c r="A17" s="104" t="s">
        <v>19</v>
      </c>
      <c r="B17" s="104"/>
      <c r="C17" s="104"/>
      <c r="D17" s="104"/>
      <c r="E17" s="104"/>
      <c r="F17" s="104"/>
      <c r="G17" s="104"/>
      <c r="H17" s="104"/>
      <c r="I17" s="104"/>
      <c r="J17" s="104"/>
      <c r="K17" s="104"/>
      <c r="L17" s="104"/>
      <c r="M17" s="104"/>
      <c r="N17" s="104"/>
      <c r="O17" s="104"/>
      <c r="P17" s="104"/>
      <c r="Q17" s="104"/>
      <c r="R17" s="104"/>
      <c r="S17" s="104"/>
      <c r="T17" s="104"/>
    </row>
    <row r="18" spans="1:20" x14ac:dyDescent="0.25">
      <c r="A18" s="102" t="s">
        <v>14</v>
      </c>
      <c r="B18" s="13"/>
      <c r="C18" s="13"/>
      <c r="D18" s="13"/>
      <c r="E18" s="13"/>
      <c r="F18" s="13"/>
      <c r="G18" s="13"/>
      <c r="H18" s="13"/>
      <c r="I18" s="13"/>
      <c r="J18" s="13"/>
      <c r="K18" s="13"/>
      <c r="L18" s="13"/>
      <c r="M18" s="13"/>
      <c r="N18" s="13"/>
      <c r="O18" s="13"/>
      <c r="P18" s="13"/>
      <c r="Q18" s="13"/>
      <c r="R18" s="13"/>
      <c r="S18" s="13"/>
      <c r="T18" s="13"/>
    </row>
    <row r="19" spans="1:20" s="63" customFormat="1" x14ac:dyDescent="0.25">
      <c r="A19" s="104" t="s">
        <v>20</v>
      </c>
      <c r="B19" s="104"/>
      <c r="C19" s="104"/>
      <c r="D19" s="104"/>
      <c r="E19" s="104"/>
      <c r="F19" s="104"/>
      <c r="G19" s="104"/>
      <c r="H19" s="104"/>
      <c r="I19" s="104"/>
      <c r="J19" s="104"/>
      <c r="K19" s="104"/>
      <c r="L19" s="104"/>
      <c r="M19" s="104"/>
      <c r="N19" s="104"/>
      <c r="O19" s="104"/>
      <c r="P19" s="104"/>
      <c r="Q19" s="104"/>
      <c r="R19" s="104"/>
      <c r="S19" s="104"/>
      <c r="T19" s="104"/>
    </row>
    <row r="20" spans="1:20" s="63" customFormat="1" x14ac:dyDescent="0.25">
      <c r="A20" s="104" t="s">
        <v>109</v>
      </c>
      <c r="B20" s="104"/>
      <c r="C20" s="104"/>
      <c r="D20" s="104"/>
      <c r="E20" s="104"/>
      <c r="F20" s="104"/>
      <c r="G20" s="104"/>
      <c r="H20" s="104"/>
      <c r="I20" s="104"/>
      <c r="J20" s="104"/>
      <c r="K20" s="104"/>
      <c r="L20" s="104"/>
      <c r="M20" s="104"/>
      <c r="N20" s="104"/>
      <c r="O20" s="104"/>
      <c r="P20" s="104"/>
      <c r="Q20" s="104"/>
      <c r="R20" s="104"/>
      <c r="S20" s="104"/>
      <c r="T20" s="104"/>
    </row>
    <row r="21" spans="1:20" s="63" customFormat="1" x14ac:dyDescent="0.25"/>
    <row r="22" spans="1:20" x14ac:dyDescent="0.25">
      <c r="A22" s="2" t="s">
        <v>9</v>
      </c>
    </row>
    <row r="23" spans="1:20" s="5" customFormat="1" x14ac:dyDescent="0.25">
      <c r="A23" s="5" t="s">
        <v>97</v>
      </c>
    </row>
    <row r="24" spans="1:20" x14ac:dyDescent="0.25">
      <c r="A24" s="2"/>
    </row>
    <row r="25" spans="1:20" x14ac:dyDescent="0.25">
      <c r="A25" s="2" t="s">
        <v>13</v>
      </c>
    </row>
    <row r="26" spans="1:20" x14ac:dyDescent="0.25">
      <c r="A26" t="s">
        <v>157</v>
      </c>
    </row>
    <row r="27" spans="1:20" ht="33" customHeight="1" x14ac:dyDescent="0.25">
      <c r="A27" s="106" t="s">
        <v>151</v>
      </c>
      <c r="B27" s="106"/>
      <c r="C27" s="106"/>
      <c r="D27" s="106"/>
      <c r="E27" s="106"/>
      <c r="F27" s="106"/>
      <c r="G27" s="106"/>
      <c r="H27" s="106"/>
      <c r="I27" s="106"/>
      <c r="J27" s="106"/>
      <c r="K27" s="106"/>
      <c r="L27" s="106"/>
      <c r="M27" s="106"/>
      <c r="N27" s="106"/>
      <c r="O27" s="106"/>
      <c r="P27" s="106"/>
      <c r="Q27" s="106"/>
      <c r="R27" s="106"/>
      <c r="S27" s="106"/>
      <c r="T27" s="106"/>
    </row>
    <row r="28" spans="1:20" x14ac:dyDescent="0.25">
      <c r="A28" t="s">
        <v>22</v>
      </c>
    </row>
    <row r="29" spans="1:20" ht="14.45" x14ac:dyDescent="0.3">
      <c r="A29" t="s">
        <v>17</v>
      </c>
    </row>
    <row r="30" spans="1:20" ht="14.45" x14ac:dyDescent="0.3">
      <c r="A30" t="s">
        <v>21</v>
      </c>
    </row>
    <row r="31" spans="1:20" ht="29.25" customHeight="1" x14ac:dyDescent="0.3">
      <c r="A31" s="106" t="s">
        <v>155</v>
      </c>
      <c r="B31" s="106"/>
      <c r="C31" s="106"/>
      <c r="D31" s="106"/>
      <c r="E31" s="106"/>
      <c r="F31" s="106"/>
      <c r="G31" s="106"/>
      <c r="H31" s="106"/>
      <c r="I31" s="106"/>
      <c r="J31" s="106"/>
      <c r="K31" s="106"/>
      <c r="L31" s="106"/>
      <c r="M31" s="106"/>
      <c r="N31" s="106"/>
      <c r="O31" s="106"/>
      <c r="P31" s="106"/>
      <c r="Q31" s="106"/>
      <c r="R31" s="106"/>
      <c r="S31" s="106"/>
      <c r="T31" s="106"/>
    </row>
    <row r="32" spans="1:20" ht="14.45" x14ac:dyDescent="0.3">
      <c r="A32" t="s">
        <v>154</v>
      </c>
    </row>
  </sheetData>
  <mergeCells count="4">
    <mergeCell ref="A9:T9"/>
    <mergeCell ref="A15:T15"/>
    <mergeCell ref="A27:T27"/>
    <mergeCell ref="A31:T31"/>
  </mergeCell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6"/>
  <sheetViews>
    <sheetView workbookViewId="0">
      <selection activeCell="A2" sqref="A2"/>
    </sheetView>
  </sheetViews>
  <sheetFormatPr defaultRowHeight="15" x14ac:dyDescent="0.25"/>
  <cols>
    <col min="1" max="1" width="27.42578125" customWidth="1"/>
    <col min="2" max="2" width="11.42578125" customWidth="1"/>
    <col min="5" max="5" width="16.7109375" customWidth="1"/>
    <col min="6" max="6" width="19.140625" customWidth="1"/>
    <col min="7" max="7" width="13.140625" customWidth="1"/>
    <col min="8" max="8" width="13.42578125" customWidth="1"/>
    <col min="9" max="9" width="24.5703125" customWidth="1"/>
    <col min="11" max="11" width="33.5703125" customWidth="1"/>
  </cols>
  <sheetData>
    <row r="1" spans="1:10" x14ac:dyDescent="0.25">
      <c r="A1" s="2" t="s">
        <v>98</v>
      </c>
    </row>
    <row r="2" spans="1:10" x14ac:dyDescent="0.25">
      <c r="A2" s="2"/>
    </row>
    <row r="3" spans="1:10" x14ac:dyDescent="0.25">
      <c r="A3" s="2" t="s">
        <v>99</v>
      </c>
    </row>
    <row r="4" spans="1:10" x14ac:dyDescent="0.25">
      <c r="B4" s="125" t="s">
        <v>12</v>
      </c>
      <c r="C4" s="125"/>
      <c r="D4" s="125"/>
      <c r="E4" s="126" t="s">
        <v>23</v>
      </c>
      <c r="F4" s="126"/>
    </row>
    <row r="5" spans="1:10" x14ac:dyDescent="0.25">
      <c r="B5" t="s">
        <v>100</v>
      </c>
    </row>
    <row r="6" spans="1:10" ht="136.5" customHeight="1" x14ac:dyDescent="0.25">
      <c r="B6" s="134" t="s">
        <v>57</v>
      </c>
      <c r="C6" s="134"/>
      <c r="D6" s="134"/>
      <c r="E6" s="127" t="s">
        <v>132</v>
      </c>
      <c r="F6" s="127"/>
      <c r="G6" s="67"/>
      <c r="H6" s="1"/>
    </row>
    <row r="7" spans="1:10" ht="27.75" customHeight="1" x14ac:dyDescent="0.25">
      <c r="A7" s="8"/>
      <c r="B7" s="64"/>
      <c r="C7" s="64"/>
      <c r="D7" s="64"/>
      <c r="E7" s="64"/>
      <c r="F7" s="64"/>
      <c r="G7" s="64"/>
      <c r="H7" s="1"/>
    </row>
    <row r="8" spans="1:10" ht="66.75" customHeight="1" x14ac:dyDescent="0.25">
      <c r="A8" s="117" t="s">
        <v>156</v>
      </c>
      <c r="B8" s="117"/>
      <c r="C8" s="117"/>
      <c r="D8" s="117"/>
      <c r="E8" s="117"/>
      <c r="F8" s="117"/>
      <c r="G8" s="117"/>
      <c r="H8" s="117"/>
      <c r="I8" s="117"/>
      <c r="J8" s="117"/>
    </row>
    <row r="9" spans="1:10" ht="17.25" customHeight="1" x14ac:dyDescent="0.25">
      <c r="A9" s="100"/>
      <c r="B9" s="64"/>
      <c r="C9" s="64"/>
      <c r="D9" s="64"/>
      <c r="E9" s="64"/>
      <c r="F9" s="64"/>
      <c r="G9" s="64"/>
      <c r="H9" s="1"/>
    </row>
    <row r="10" spans="1:10" x14ac:dyDescent="0.25">
      <c r="A10" s="149" t="s">
        <v>24</v>
      </c>
      <c r="B10" s="149"/>
      <c r="C10" s="149"/>
      <c r="D10" s="149"/>
      <c r="E10" s="149"/>
      <c r="F10" s="149"/>
      <c r="G10" s="149"/>
    </row>
    <row r="11" spans="1:10" ht="30" x14ac:dyDescent="0.25">
      <c r="A11" s="60" t="s">
        <v>1</v>
      </c>
      <c r="B11" s="22" t="s">
        <v>0</v>
      </c>
      <c r="C11" s="22" t="s">
        <v>25</v>
      </c>
      <c r="D11" s="22" t="s">
        <v>4</v>
      </c>
      <c r="E11" s="22" t="s">
        <v>38</v>
      </c>
      <c r="F11" s="22" t="s">
        <v>26</v>
      </c>
      <c r="G11" s="22" t="s">
        <v>27</v>
      </c>
    </row>
    <row r="12" spans="1:10" ht="18.75" customHeight="1" x14ac:dyDescent="0.25">
      <c r="A12" s="141" t="s">
        <v>28</v>
      </c>
      <c r="B12" s="23" t="s">
        <v>5</v>
      </c>
      <c r="C12" s="24">
        <v>6.35</v>
      </c>
      <c r="D12" s="25">
        <v>7</v>
      </c>
      <c r="E12" s="26">
        <v>2</v>
      </c>
      <c r="F12" s="150">
        <f>(C12/D12*E12)+(C13/D13*E13)</f>
        <v>4.5357142857142856</v>
      </c>
      <c r="G12" s="152">
        <f>F12*365</f>
        <v>1655.5357142857142</v>
      </c>
    </row>
    <row r="13" spans="1:10" ht="26.25" customHeight="1" x14ac:dyDescent="0.25">
      <c r="A13" s="141"/>
      <c r="B13" s="27" t="s">
        <v>2</v>
      </c>
      <c r="C13" s="24">
        <v>19.05</v>
      </c>
      <c r="D13" s="28">
        <v>7</v>
      </c>
      <c r="E13" s="26">
        <v>1</v>
      </c>
      <c r="F13" s="151"/>
      <c r="G13" s="152"/>
    </row>
    <row r="14" spans="1:10" x14ac:dyDescent="0.25">
      <c r="A14" s="66" t="s">
        <v>7</v>
      </c>
      <c r="B14" s="27" t="s">
        <v>37</v>
      </c>
      <c r="C14" s="24">
        <v>6.2</v>
      </c>
      <c r="D14" s="28">
        <v>500</v>
      </c>
      <c r="E14" s="26">
        <v>60</v>
      </c>
      <c r="F14" s="55">
        <f>C14/D14*E14</f>
        <v>0.74399999999999999</v>
      </c>
      <c r="G14" s="56">
        <f>F14*365</f>
        <v>271.56</v>
      </c>
    </row>
    <row r="15" spans="1:10" x14ac:dyDescent="0.25">
      <c r="A15" s="153" t="s">
        <v>3</v>
      </c>
      <c r="B15" s="27" t="s">
        <v>5</v>
      </c>
      <c r="C15" s="24">
        <v>4.2300000000000004</v>
      </c>
      <c r="D15" s="28">
        <v>7</v>
      </c>
      <c r="E15" s="26">
        <v>2</v>
      </c>
      <c r="F15" s="155">
        <f>(C15/D15*E15)+(C16/D16*E16)</f>
        <v>2.9385714285714286</v>
      </c>
      <c r="G15" s="157">
        <f>F15*365</f>
        <v>1072.5785714285714</v>
      </c>
    </row>
    <row r="16" spans="1:10" ht="27" customHeight="1" x14ac:dyDescent="0.25">
      <c r="A16" s="154"/>
      <c r="B16" s="27" t="s">
        <v>2</v>
      </c>
      <c r="C16" s="24">
        <v>12.11</v>
      </c>
      <c r="D16" s="28">
        <v>7</v>
      </c>
      <c r="E16" s="26">
        <v>1</v>
      </c>
      <c r="F16" s="156"/>
      <c r="G16" s="158"/>
    </row>
    <row r="17" spans="1:10" ht="33" customHeight="1" x14ac:dyDescent="0.25">
      <c r="A17" s="160" t="s">
        <v>29</v>
      </c>
      <c r="B17" s="27" t="s">
        <v>30</v>
      </c>
      <c r="C17" s="24">
        <v>55.93</v>
      </c>
      <c r="D17" s="28">
        <v>1</v>
      </c>
      <c r="E17" s="29" t="s">
        <v>33</v>
      </c>
      <c r="F17" s="55" t="s">
        <v>33</v>
      </c>
      <c r="G17" s="56">
        <f>C17*52</f>
        <v>2908.36</v>
      </c>
    </row>
    <row r="18" spans="1:10" ht="29.25" customHeight="1" x14ac:dyDescent="0.25">
      <c r="A18" s="160"/>
      <c r="B18" s="30" t="s">
        <v>31</v>
      </c>
      <c r="C18" s="24">
        <v>239.7</v>
      </c>
      <c r="D18" s="31">
        <v>1</v>
      </c>
      <c r="E18" s="32" t="s">
        <v>33</v>
      </c>
      <c r="F18" s="55" t="s">
        <v>33</v>
      </c>
      <c r="G18" s="34">
        <f>C18*12</f>
        <v>2876.3999999999996</v>
      </c>
    </row>
    <row r="22" spans="1:10" ht="78.75" customHeight="1" x14ac:dyDescent="0.3">
      <c r="A22" s="117" t="s">
        <v>149</v>
      </c>
      <c r="B22" s="117"/>
      <c r="C22" s="117"/>
      <c r="D22" s="117"/>
      <c r="E22" s="117"/>
      <c r="F22" s="117"/>
      <c r="G22" s="117"/>
      <c r="H22" s="117"/>
      <c r="I22" s="117"/>
      <c r="J22" s="117"/>
    </row>
    <row r="24" spans="1:10" x14ac:dyDescent="0.25">
      <c r="A24" s="161" t="s">
        <v>32</v>
      </c>
      <c r="B24" s="161"/>
      <c r="C24" s="161"/>
      <c r="D24" s="161"/>
      <c r="E24" s="161"/>
      <c r="F24" s="161"/>
      <c r="G24" s="161"/>
      <c r="H24" s="161"/>
      <c r="I24" s="161"/>
      <c r="J24" s="161"/>
    </row>
    <row r="25" spans="1:10" x14ac:dyDescent="0.25">
      <c r="A25" s="147"/>
      <c r="B25" s="147" t="s">
        <v>101</v>
      </c>
      <c r="C25" s="147"/>
      <c r="D25" s="147"/>
      <c r="E25" s="147"/>
      <c r="F25" s="146" t="s">
        <v>60</v>
      </c>
      <c r="G25" s="146" t="s">
        <v>59</v>
      </c>
      <c r="H25" s="146" t="s">
        <v>42</v>
      </c>
      <c r="I25" s="162" t="s">
        <v>43</v>
      </c>
      <c r="J25" s="146" t="s">
        <v>44</v>
      </c>
    </row>
    <row r="26" spans="1:10" ht="34.5" customHeight="1" x14ac:dyDescent="0.25">
      <c r="A26" s="147"/>
      <c r="B26" s="147" t="s">
        <v>51</v>
      </c>
      <c r="C26" s="147"/>
      <c r="D26" s="148" t="s">
        <v>52</v>
      </c>
      <c r="E26" s="148"/>
      <c r="F26" s="146"/>
      <c r="G26" s="146"/>
      <c r="H26" s="146"/>
      <c r="I26" s="162"/>
      <c r="J26" s="146"/>
    </row>
    <row r="27" spans="1:10" ht="31.5" customHeight="1" x14ac:dyDescent="0.25">
      <c r="A27" s="147"/>
      <c r="B27" s="33" t="s">
        <v>49</v>
      </c>
      <c r="C27" s="33" t="s">
        <v>50</v>
      </c>
      <c r="D27" s="33" t="s">
        <v>49</v>
      </c>
      <c r="E27" s="33" t="s">
        <v>50</v>
      </c>
      <c r="F27" s="146"/>
      <c r="G27" s="146"/>
      <c r="H27" s="146"/>
      <c r="I27" s="162"/>
      <c r="J27" s="146"/>
    </row>
    <row r="28" spans="1:10" x14ac:dyDescent="0.25">
      <c r="A28" s="141" t="s">
        <v>39</v>
      </c>
      <c r="B28" s="142">
        <v>3</v>
      </c>
      <c r="C28" s="143">
        <f>B28/60</f>
        <v>0.05</v>
      </c>
      <c r="D28" s="144">
        <v>3</v>
      </c>
      <c r="E28" s="143">
        <f>D28/60</f>
        <v>0.05</v>
      </c>
      <c r="F28" s="145">
        <v>14.02</v>
      </c>
      <c r="G28" s="145">
        <v>14.02</v>
      </c>
      <c r="H28" s="135">
        <v>19.059999999999999</v>
      </c>
      <c r="I28" s="137">
        <v>1</v>
      </c>
      <c r="J28" s="139">
        <f>(F28*C28)+(G28*C28)+(H28*I28*E28)</f>
        <v>2.355</v>
      </c>
    </row>
    <row r="29" spans="1:10" ht="30.75" customHeight="1" x14ac:dyDescent="0.25">
      <c r="A29" s="141"/>
      <c r="B29" s="142"/>
      <c r="C29" s="143"/>
      <c r="D29" s="144"/>
      <c r="E29" s="143"/>
      <c r="F29" s="145"/>
      <c r="G29" s="144"/>
      <c r="H29" s="136"/>
      <c r="I29" s="138"/>
      <c r="J29" s="140"/>
    </row>
    <row r="30" spans="1:10" x14ac:dyDescent="0.25">
      <c r="A30" s="141" t="s">
        <v>29</v>
      </c>
      <c r="B30" s="142">
        <v>15</v>
      </c>
      <c r="C30" s="143">
        <f>B30/60</f>
        <v>0.25</v>
      </c>
      <c r="D30" s="144">
        <v>15</v>
      </c>
      <c r="E30" s="143">
        <f>D30/60</f>
        <v>0.25</v>
      </c>
      <c r="F30" s="145">
        <v>14.02</v>
      </c>
      <c r="G30" s="145">
        <v>14.02</v>
      </c>
      <c r="H30" s="164">
        <v>19.059999999999999</v>
      </c>
      <c r="I30" s="137">
        <v>1</v>
      </c>
      <c r="J30" s="139">
        <f>(F30*C30)+(G30*C30)+(H30*I30*E30)</f>
        <v>11.774999999999999</v>
      </c>
    </row>
    <row r="31" spans="1:10" x14ac:dyDescent="0.25">
      <c r="A31" s="141"/>
      <c r="B31" s="142"/>
      <c r="C31" s="143"/>
      <c r="D31" s="144"/>
      <c r="E31" s="143"/>
      <c r="F31" s="145"/>
      <c r="G31" s="145"/>
      <c r="H31" s="165"/>
      <c r="I31" s="138"/>
      <c r="J31" s="140"/>
    </row>
    <row r="33" spans="1:10" ht="28.5" customHeight="1" x14ac:dyDescent="0.25">
      <c r="A33" s="106" t="s">
        <v>145</v>
      </c>
      <c r="B33" s="106"/>
      <c r="C33" s="106"/>
      <c r="D33" s="106"/>
      <c r="E33" s="106"/>
      <c r="F33" s="106"/>
      <c r="G33" s="106"/>
      <c r="H33" s="106"/>
      <c r="I33" s="106"/>
      <c r="J33" s="106"/>
    </row>
    <row r="35" spans="1:10" ht="109.5" customHeight="1" x14ac:dyDescent="0.25">
      <c r="A35" s="117" t="s">
        <v>146</v>
      </c>
      <c r="B35" s="117"/>
      <c r="C35" s="117"/>
      <c r="D35" s="117"/>
      <c r="E35" s="117"/>
      <c r="F35" s="117"/>
      <c r="G35" s="117"/>
      <c r="H35" s="117"/>
      <c r="I35" s="117"/>
      <c r="J35" s="117"/>
    </row>
    <row r="36" spans="1:10" ht="15.75" x14ac:dyDescent="0.25">
      <c r="A36" s="65"/>
      <c r="B36" s="65"/>
      <c r="C36" s="65"/>
      <c r="D36" s="65"/>
      <c r="E36" s="65"/>
      <c r="F36" s="65"/>
      <c r="G36" s="65"/>
      <c r="H36" s="65"/>
      <c r="I36" s="65"/>
      <c r="J36" s="65"/>
    </row>
    <row r="37" spans="1:10" x14ac:dyDescent="0.25">
      <c r="A37" s="118" t="s">
        <v>108</v>
      </c>
      <c r="B37" s="118"/>
      <c r="C37" s="118"/>
      <c r="D37" s="118"/>
      <c r="E37" s="118"/>
      <c r="F37" s="118"/>
    </row>
    <row r="38" spans="1:10" ht="15" customHeight="1" x14ac:dyDescent="0.25">
      <c r="A38" s="163" t="s">
        <v>8</v>
      </c>
      <c r="B38" s="113" t="s">
        <v>12</v>
      </c>
      <c r="C38" s="113"/>
      <c r="D38" s="113"/>
      <c r="E38" s="114" t="s">
        <v>23</v>
      </c>
      <c r="F38" s="114"/>
    </row>
    <row r="39" spans="1:10" ht="135" customHeight="1" x14ac:dyDescent="0.25">
      <c r="A39" s="163"/>
      <c r="B39" s="131" t="s">
        <v>57</v>
      </c>
      <c r="C39" s="131"/>
      <c r="D39" s="131"/>
      <c r="E39" s="130" t="s">
        <v>58</v>
      </c>
      <c r="F39" s="130"/>
      <c r="G39" s="67"/>
    </row>
    <row r="40" spans="1:10" x14ac:dyDescent="0.25">
      <c r="A40" s="163"/>
      <c r="B40" s="131"/>
      <c r="C40" s="131"/>
      <c r="D40" s="131"/>
      <c r="E40" s="68" t="s">
        <v>34</v>
      </c>
      <c r="F40" s="69" t="s">
        <v>35</v>
      </c>
    </row>
    <row r="41" spans="1:10" x14ac:dyDescent="0.25">
      <c r="A41" s="37" t="s">
        <v>61</v>
      </c>
      <c r="B41" s="72"/>
      <c r="C41" s="72"/>
      <c r="D41" s="72"/>
      <c r="E41" s="20"/>
      <c r="F41" s="15"/>
    </row>
    <row r="42" spans="1:10" x14ac:dyDescent="0.25">
      <c r="A42" s="19" t="s">
        <v>36</v>
      </c>
      <c r="B42" s="133" t="str">
        <f>IF(A42="Buprenorphine oral lyophilisates sugar free (Espranor®)",$G$12,IF(A42="Methadone oral solution",$G$14,IF(A42="Buprenorphine sublingual tablets sugar free",$G$15,"")))</f>
        <v/>
      </c>
      <c r="C42" s="133"/>
      <c r="D42" s="133"/>
      <c r="E42" s="17">
        <f>$G$17</f>
        <v>2908.36</v>
      </c>
      <c r="F42" s="35">
        <f>$G$18</f>
        <v>2876.3999999999996</v>
      </c>
    </row>
    <row r="43" spans="1:10" x14ac:dyDescent="0.25">
      <c r="B43" s="73"/>
      <c r="C43" s="74"/>
      <c r="D43" s="74"/>
      <c r="E43" s="16"/>
      <c r="F43" s="16"/>
    </row>
    <row r="44" spans="1:10" ht="60" x14ac:dyDescent="0.25">
      <c r="A44" s="1" t="s">
        <v>62</v>
      </c>
      <c r="B44" s="133">
        <f>$J$28*365</f>
        <v>859.57500000000005</v>
      </c>
      <c r="C44" s="116"/>
      <c r="D44" s="116"/>
      <c r="E44" s="21">
        <f>$J$30*52</f>
        <v>612.29999999999995</v>
      </c>
      <c r="F44" s="17">
        <f>$J$30*12</f>
        <v>141.29999999999998</v>
      </c>
    </row>
    <row r="45" spans="1:10" x14ac:dyDescent="0.25">
      <c r="A45" s="1"/>
      <c r="B45" s="116"/>
      <c r="C45" s="116"/>
      <c r="D45" s="116"/>
      <c r="E45" s="18"/>
      <c r="F45" s="16"/>
    </row>
    <row r="46" spans="1:10" x14ac:dyDescent="0.25">
      <c r="A46" s="4" t="s">
        <v>63</v>
      </c>
      <c r="B46" s="116"/>
      <c r="C46" s="116"/>
      <c r="D46" s="116"/>
      <c r="E46" s="36"/>
      <c r="F46" s="36"/>
    </row>
    <row r="47" spans="1:10" x14ac:dyDescent="0.25">
      <c r="A47" t="s">
        <v>56</v>
      </c>
      <c r="B47" s="115" t="s">
        <v>53</v>
      </c>
      <c r="C47" s="115"/>
      <c r="D47" s="115"/>
      <c r="E47" s="51" t="s">
        <v>53</v>
      </c>
      <c r="F47" s="51" t="s">
        <v>53</v>
      </c>
    </row>
    <row r="48" spans="1:10" x14ac:dyDescent="0.25">
      <c r="A48" t="s">
        <v>41</v>
      </c>
      <c r="B48" s="115" t="s">
        <v>53</v>
      </c>
      <c r="C48" s="115"/>
      <c r="D48" s="115"/>
      <c r="E48" s="51" t="s">
        <v>53</v>
      </c>
      <c r="F48" s="51" t="s">
        <v>53</v>
      </c>
    </row>
    <row r="49" spans="1:10" x14ac:dyDescent="0.25">
      <c r="A49" t="s">
        <v>11</v>
      </c>
      <c r="B49" s="115" t="s">
        <v>53</v>
      </c>
      <c r="C49" s="115"/>
      <c r="D49" s="115"/>
      <c r="E49" s="51" t="s">
        <v>53</v>
      </c>
      <c r="F49" s="51" t="s">
        <v>53</v>
      </c>
    </row>
    <row r="50" spans="1:10" x14ac:dyDescent="0.25">
      <c r="A50" t="s">
        <v>45</v>
      </c>
      <c r="B50" s="115" t="s">
        <v>53</v>
      </c>
      <c r="C50" s="115"/>
      <c r="D50" s="115"/>
      <c r="E50" s="51" t="s">
        <v>53</v>
      </c>
      <c r="F50" s="51" t="s">
        <v>53</v>
      </c>
    </row>
    <row r="51" spans="1:10" x14ac:dyDescent="0.25">
      <c r="A51" t="s">
        <v>55</v>
      </c>
      <c r="B51" s="115" t="s">
        <v>53</v>
      </c>
      <c r="C51" s="115"/>
      <c r="D51" s="115"/>
      <c r="E51" s="51" t="s">
        <v>53</v>
      </c>
      <c r="F51" s="51" t="s">
        <v>53</v>
      </c>
    </row>
    <row r="52" spans="1:10" x14ac:dyDescent="0.25">
      <c r="B52" s="71"/>
      <c r="C52" s="71"/>
      <c r="D52" s="71"/>
      <c r="E52" s="36"/>
      <c r="F52" s="36"/>
    </row>
    <row r="53" spans="1:10" x14ac:dyDescent="0.25">
      <c r="A53" t="s">
        <v>64</v>
      </c>
      <c r="B53" s="115" t="s">
        <v>53</v>
      </c>
      <c r="C53" s="115"/>
      <c r="D53" s="115"/>
      <c r="E53" s="51" t="s">
        <v>53</v>
      </c>
      <c r="F53" s="51" t="s">
        <v>53</v>
      </c>
    </row>
    <row r="54" spans="1:10" x14ac:dyDescent="0.25">
      <c r="B54" s="115" t="s">
        <v>53</v>
      </c>
      <c r="C54" s="115"/>
      <c r="D54" s="115"/>
      <c r="E54" s="51" t="s">
        <v>53</v>
      </c>
      <c r="F54" s="51" t="s">
        <v>53</v>
      </c>
    </row>
    <row r="55" spans="1:10" x14ac:dyDescent="0.25">
      <c r="B55" s="115" t="s">
        <v>53</v>
      </c>
      <c r="C55" s="115"/>
      <c r="D55" s="115"/>
      <c r="E55" s="51" t="s">
        <v>53</v>
      </c>
      <c r="F55" s="51" t="s">
        <v>53</v>
      </c>
    </row>
    <row r="56" spans="1:10" x14ac:dyDescent="0.25">
      <c r="B56" s="71"/>
      <c r="C56" s="71"/>
      <c r="D56" s="71"/>
      <c r="E56" s="36"/>
      <c r="F56" s="36"/>
    </row>
    <row r="57" spans="1:10" ht="45" x14ac:dyDescent="0.25">
      <c r="A57" s="3" t="s">
        <v>102</v>
      </c>
      <c r="B57" s="124">
        <f>SUM(B42:D55)</f>
        <v>859.57500000000005</v>
      </c>
      <c r="C57" s="125"/>
      <c r="D57" s="125"/>
      <c r="E57" s="70">
        <f>SUM(E42:E55)</f>
        <v>3520.66</v>
      </c>
      <c r="F57" s="70">
        <f>SUM(F42:F51)</f>
        <v>3017.7</v>
      </c>
    </row>
    <row r="58" spans="1:10" ht="58.5" customHeight="1" x14ac:dyDescent="0.25">
      <c r="A58" s="132" t="s">
        <v>104</v>
      </c>
      <c r="B58" s="132"/>
      <c r="C58" s="132"/>
      <c r="D58" s="132"/>
      <c r="E58" s="78">
        <f>E57-B57</f>
        <v>2661.085</v>
      </c>
      <c r="F58" s="78">
        <f>F57-B57</f>
        <v>2158.125</v>
      </c>
    </row>
    <row r="59" spans="1:10" ht="29.25" customHeight="1" x14ac:dyDescent="0.25">
      <c r="A59" s="107" t="s">
        <v>126</v>
      </c>
      <c r="B59" s="107"/>
      <c r="C59" s="107"/>
      <c r="D59" s="107"/>
      <c r="E59" s="85">
        <v>100</v>
      </c>
      <c r="F59" s="78"/>
    </row>
    <row r="60" spans="1:10" ht="19.5" customHeight="1" x14ac:dyDescent="0.25">
      <c r="A60" s="81"/>
      <c r="B60" s="81"/>
      <c r="C60" s="81"/>
      <c r="D60" s="81"/>
      <c r="E60" s="78"/>
      <c r="F60" s="78"/>
    </row>
    <row r="61" spans="1:10" ht="81" customHeight="1" x14ac:dyDescent="0.25">
      <c r="A61" s="117" t="s">
        <v>138</v>
      </c>
      <c r="B61" s="117"/>
      <c r="C61" s="117"/>
      <c r="D61" s="117"/>
      <c r="E61" s="117"/>
      <c r="F61" s="117"/>
      <c r="G61" s="117"/>
      <c r="H61" s="117"/>
      <c r="I61" s="117"/>
      <c r="J61" s="117"/>
    </row>
    <row r="62" spans="1:10" ht="15.75" customHeight="1" x14ac:dyDescent="0.25">
      <c r="A62" s="65"/>
      <c r="B62" s="65"/>
      <c r="C62" s="65"/>
      <c r="D62" s="65"/>
      <c r="E62" s="65"/>
      <c r="F62" s="65"/>
      <c r="G62" s="65"/>
      <c r="H62" s="65"/>
      <c r="I62" s="65"/>
      <c r="J62" s="65"/>
    </row>
    <row r="63" spans="1:10" ht="15.75" customHeight="1" x14ac:dyDescent="0.25">
      <c r="A63" s="118" t="s">
        <v>110</v>
      </c>
      <c r="B63" s="118"/>
      <c r="C63" s="118"/>
      <c r="D63" s="118"/>
      <c r="E63" s="118"/>
      <c r="F63" s="118"/>
      <c r="G63" s="65"/>
      <c r="H63" s="65"/>
      <c r="I63" s="65"/>
      <c r="J63" s="65"/>
    </row>
    <row r="64" spans="1:10" ht="15.75" customHeight="1" x14ac:dyDescent="0.25">
      <c r="A64" s="12" t="s">
        <v>105</v>
      </c>
      <c r="B64" s="113" t="s">
        <v>12</v>
      </c>
      <c r="C64" s="113"/>
      <c r="D64" s="113"/>
      <c r="E64" s="114" t="s">
        <v>23</v>
      </c>
      <c r="F64" s="114"/>
      <c r="G64" s="65"/>
      <c r="H64" s="65"/>
      <c r="I64" s="65"/>
      <c r="J64" s="65"/>
    </row>
    <row r="65" spans="1:16" ht="48.75" customHeight="1" x14ac:dyDescent="0.25">
      <c r="A65" s="1" t="s">
        <v>40</v>
      </c>
      <c r="B65" s="115" t="s">
        <v>54</v>
      </c>
      <c r="C65" s="115"/>
      <c r="D65" s="115"/>
      <c r="E65" s="51" t="s">
        <v>53</v>
      </c>
      <c r="F65" s="51" t="s">
        <v>53</v>
      </c>
      <c r="G65" s="65"/>
      <c r="H65" s="65"/>
      <c r="I65" s="65"/>
      <c r="J65" s="65"/>
    </row>
    <row r="66" spans="1:16" ht="22.5" customHeight="1" x14ac:dyDescent="0.25">
      <c r="A66" s="1" t="s">
        <v>46</v>
      </c>
      <c r="B66" s="115" t="s">
        <v>53</v>
      </c>
      <c r="C66" s="115"/>
      <c r="D66" s="115"/>
      <c r="E66" s="51" t="s">
        <v>53</v>
      </c>
      <c r="F66" s="51" t="s">
        <v>53</v>
      </c>
      <c r="G66" s="65"/>
      <c r="H66" s="65"/>
      <c r="I66" s="65"/>
      <c r="J66" s="65"/>
    </row>
    <row r="67" spans="1:16" ht="15.75" customHeight="1" x14ac:dyDescent="0.25">
      <c r="A67" s="2"/>
      <c r="B67" s="116"/>
      <c r="C67" s="116"/>
      <c r="D67" s="116"/>
      <c r="E67" s="16"/>
      <c r="F67" s="16"/>
      <c r="G67" s="65"/>
      <c r="H67" s="65"/>
      <c r="I67" s="65"/>
      <c r="J67" s="65"/>
    </row>
    <row r="68" spans="1:16" ht="33.75" customHeight="1" x14ac:dyDescent="0.25">
      <c r="A68" s="12" t="s">
        <v>106</v>
      </c>
      <c r="B68" s="116"/>
      <c r="C68" s="116"/>
      <c r="D68" s="116"/>
      <c r="E68" s="16"/>
      <c r="F68" s="16"/>
      <c r="G68" s="65"/>
      <c r="H68" s="65"/>
      <c r="I68" s="65"/>
      <c r="J68" s="65"/>
    </row>
    <row r="69" spans="1:16" ht="33.75" customHeight="1" x14ac:dyDescent="0.25">
      <c r="A69" s="1" t="s">
        <v>65</v>
      </c>
      <c r="B69" s="115" t="s">
        <v>53</v>
      </c>
      <c r="C69" s="115"/>
      <c r="D69" s="115"/>
      <c r="E69" s="51" t="s">
        <v>53</v>
      </c>
      <c r="F69" s="51" t="s">
        <v>53</v>
      </c>
      <c r="G69" s="65"/>
      <c r="H69" s="65"/>
      <c r="I69" s="65"/>
      <c r="J69" s="65"/>
    </row>
    <row r="70" spans="1:16" ht="28.5" customHeight="1" x14ac:dyDescent="0.25">
      <c r="A70" s="1" t="s">
        <v>66</v>
      </c>
      <c r="B70" s="115" t="s">
        <v>53</v>
      </c>
      <c r="C70" s="115"/>
      <c r="D70" s="115"/>
      <c r="E70" s="51" t="s">
        <v>53</v>
      </c>
      <c r="F70" s="51" t="s">
        <v>53</v>
      </c>
      <c r="G70" s="65"/>
      <c r="H70" s="65"/>
      <c r="I70" s="65"/>
      <c r="J70" s="65"/>
    </row>
    <row r="71" spans="1:16" ht="15.75" customHeight="1" x14ac:dyDescent="0.25">
      <c r="A71" t="s">
        <v>47</v>
      </c>
      <c r="B71" s="115" t="s">
        <v>53</v>
      </c>
      <c r="C71" s="115"/>
      <c r="D71" s="115"/>
      <c r="E71" s="51" t="s">
        <v>53</v>
      </c>
      <c r="F71" s="51" t="s">
        <v>53</v>
      </c>
      <c r="G71" s="65"/>
      <c r="H71" s="65"/>
      <c r="I71" s="65"/>
      <c r="J71" s="65"/>
    </row>
    <row r="72" spans="1:16" ht="36" customHeight="1" x14ac:dyDescent="0.25">
      <c r="A72" s="1" t="s">
        <v>48</v>
      </c>
      <c r="B72" s="115" t="s">
        <v>53</v>
      </c>
      <c r="C72" s="115"/>
      <c r="D72" s="115"/>
      <c r="E72" s="51" t="s">
        <v>53</v>
      </c>
      <c r="F72" s="51" t="s">
        <v>53</v>
      </c>
      <c r="G72" s="65"/>
      <c r="H72" s="65"/>
      <c r="I72" s="65"/>
      <c r="J72" s="65"/>
    </row>
    <row r="73" spans="1:16" ht="27.75" customHeight="1" x14ac:dyDescent="0.25">
      <c r="A73" s="1" t="s">
        <v>93</v>
      </c>
      <c r="B73" s="115" t="s">
        <v>53</v>
      </c>
      <c r="C73" s="115"/>
      <c r="D73" s="115"/>
      <c r="E73" s="51" t="s">
        <v>53</v>
      </c>
      <c r="F73" s="51" t="s">
        <v>53</v>
      </c>
      <c r="G73" s="65"/>
      <c r="H73" s="65"/>
      <c r="I73" s="65"/>
      <c r="J73" s="65"/>
    </row>
    <row r="74" spans="1:16" ht="27.75" customHeight="1" x14ac:dyDescent="0.25">
      <c r="A74" s="1"/>
      <c r="B74" s="116"/>
      <c r="C74" s="116"/>
      <c r="D74" s="116"/>
      <c r="E74" s="16"/>
      <c r="F74" s="16"/>
      <c r="G74" s="65"/>
      <c r="H74" s="65"/>
      <c r="I74" s="65"/>
      <c r="J74" s="65"/>
    </row>
    <row r="75" spans="1:16" ht="15.75" customHeight="1" x14ac:dyDescent="0.25">
      <c r="A75" s="1" t="s">
        <v>128</v>
      </c>
      <c r="B75" s="115" t="s">
        <v>53</v>
      </c>
      <c r="C75" s="115"/>
      <c r="D75" s="115"/>
      <c r="E75" s="51" t="s">
        <v>53</v>
      </c>
      <c r="F75" s="51" t="s">
        <v>53</v>
      </c>
      <c r="G75" s="65"/>
      <c r="H75" s="65"/>
      <c r="I75" s="65"/>
      <c r="J75" s="65"/>
    </row>
    <row r="76" spans="1:16" ht="15.75" customHeight="1" x14ac:dyDescent="0.25">
      <c r="A76" s="1"/>
      <c r="B76" s="115" t="s">
        <v>53</v>
      </c>
      <c r="C76" s="115"/>
      <c r="D76" s="115"/>
      <c r="E76" s="51" t="s">
        <v>53</v>
      </c>
      <c r="F76" s="51" t="s">
        <v>53</v>
      </c>
      <c r="G76" s="65"/>
      <c r="H76" s="65"/>
      <c r="I76" s="65"/>
      <c r="J76" s="65"/>
    </row>
    <row r="77" spans="1:16" ht="22.5" customHeight="1" x14ac:dyDescent="0.25">
      <c r="B77" s="115" t="s">
        <v>53</v>
      </c>
      <c r="C77" s="115"/>
      <c r="D77" s="115"/>
      <c r="E77" s="51" t="s">
        <v>53</v>
      </c>
      <c r="F77" s="51" t="s">
        <v>53</v>
      </c>
      <c r="G77" s="65"/>
      <c r="H77" s="65"/>
      <c r="I77" s="65"/>
      <c r="J77" s="65"/>
    </row>
    <row r="78" spans="1:16" ht="22.5" customHeight="1" x14ac:dyDescent="0.25">
      <c r="B78" s="116"/>
      <c r="C78" s="116"/>
      <c r="D78" s="116"/>
      <c r="E78" s="16"/>
      <c r="F78" s="16"/>
      <c r="G78" s="65"/>
      <c r="H78" s="65"/>
      <c r="I78" s="65"/>
      <c r="J78" s="65"/>
    </row>
    <row r="79" spans="1:16" ht="53.25" customHeight="1" x14ac:dyDescent="0.25">
      <c r="A79" s="3" t="s">
        <v>107</v>
      </c>
      <c r="B79" s="124">
        <f>SUM(B65:D77)+(B57*E59)</f>
        <v>85957.5</v>
      </c>
      <c r="C79" s="125"/>
      <c r="D79" s="125"/>
      <c r="E79" s="70">
        <f>SUM(E65:E77)+(E57*E59)</f>
        <v>352066</v>
      </c>
      <c r="F79" s="70">
        <f>SUM(F65:F77)+(F57*E59)</f>
        <v>301770</v>
      </c>
      <c r="K79" s="82"/>
      <c r="L79" s="83"/>
      <c r="M79" s="83"/>
      <c r="N79" s="83"/>
      <c r="O79" s="82"/>
      <c r="P79" s="82"/>
    </row>
    <row r="80" spans="1:16" ht="57.75" customHeight="1" x14ac:dyDescent="0.25">
      <c r="A80" s="108" t="s">
        <v>111</v>
      </c>
      <c r="B80" s="108"/>
      <c r="C80" s="108"/>
      <c r="D80" s="108"/>
      <c r="E80" s="78">
        <f>E79-B79</f>
        <v>266108.5</v>
      </c>
      <c r="F80" s="78">
        <f>F79-B79</f>
        <v>215812.5</v>
      </c>
      <c r="K80" s="82"/>
      <c r="L80" s="83"/>
      <c r="M80" s="83"/>
      <c r="N80" s="83"/>
      <c r="O80" s="82"/>
      <c r="P80" s="82"/>
    </row>
    <row r="81" spans="1:16" ht="28.5" customHeight="1" x14ac:dyDescent="0.25">
      <c r="A81" s="9"/>
      <c r="B81" s="77"/>
      <c r="C81" s="58"/>
      <c r="D81" s="58"/>
      <c r="E81" s="78"/>
      <c r="F81" s="78"/>
      <c r="K81" s="82"/>
      <c r="L81" s="83"/>
      <c r="M81" s="83"/>
      <c r="N81" s="83"/>
      <c r="O81" s="82"/>
      <c r="P81" s="82"/>
    </row>
    <row r="82" spans="1:16" ht="111.75" customHeight="1" x14ac:dyDescent="0.25">
      <c r="A82" s="117" t="s">
        <v>140</v>
      </c>
      <c r="B82" s="117"/>
      <c r="C82" s="117"/>
      <c r="D82" s="117"/>
      <c r="E82" s="117"/>
      <c r="F82" s="117"/>
      <c r="G82" s="117"/>
      <c r="H82" s="117"/>
      <c r="I82" s="117"/>
      <c r="J82" s="117"/>
      <c r="K82" s="82"/>
      <c r="L82" s="83"/>
      <c r="M82" s="83"/>
      <c r="N82" s="83"/>
      <c r="O82" s="82"/>
      <c r="P82" s="82"/>
    </row>
    <row r="83" spans="1:16" ht="17.25" customHeight="1" x14ac:dyDescent="0.25">
      <c r="A83" s="65"/>
      <c r="B83" s="65"/>
      <c r="C83" s="65"/>
      <c r="D83" s="65"/>
      <c r="E83" s="65"/>
      <c r="F83" s="65"/>
      <c r="G83" s="65"/>
      <c r="H83" s="65"/>
      <c r="I83" s="65"/>
      <c r="J83" s="65"/>
      <c r="K83" s="82"/>
      <c r="L83" s="83"/>
      <c r="M83" s="83"/>
      <c r="N83" s="83"/>
      <c r="O83" s="82"/>
      <c r="P83" s="82"/>
    </row>
    <row r="84" spans="1:16" ht="13.5" customHeight="1" x14ac:dyDescent="0.25">
      <c r="A84" s="112" t="s">
        <v>119</v>
      </c>
      <c r="B84" s="112"/>
      <c r="C84" s="112"/>
      <c r="D84" s="112"/>
      <c r="E84" s="112"/>
      <c r="F84" s="90">
        <v>100</v>
      </c>
      <c r="G84" s="65"/>
      <c r="H84" s="65"/>
      <c r="I84" s="65"/>
      <c r="J84" s="65"/>
      <c r="K84" s="82"/>
      <c r="L84" s="83"/>
      <c r="M84" s="83"/>
      <c r="N84" s="83"/>
      <c r="O84" s="82"/>
      <c r="P84" s="82"/>
    </row>
    <row r="85" spans="1:16" ht="15" customHeight="1" x14ac:dyDescent="0.25">
      <c r="B85" s="57"/>
      <c r="C85" s="57"/>
      <c r="D85" s="57"/>
      <c r="E85" s="8"/>
      <c r="F85" s="8"/>
      <c r="K85" s="82"/>
      <c r="L85" s="83"/>
      <c r="M85" s="83"/>
      <c r="N85" s="83"/>
      <c r="O85" s="82"/>
      <c r="P85" s="82"/>
    </row>
    <row r="86" spans="1:16" ht="15.75" customHeight="1" x14ac:dyDescent="0.25">
      <c r="A86" s="109" t="s">
        <v>103</v>
      </c>
      <c r="B86" s="109"/>
      <c r="C86" s="109"/>
      <c r="D86" s="109"/>
      <c r="E86" s="109"/>
      <c r="F86" s="109"/>
      <c r="G86" s="109"/>
      <c r="H86" s="88"/>
      <c r="K86" s="84"/>
      <c r="L86" s="8"/>
      <c r="M86" s="8"/>
      <c r="N86" s="8"/>
      <c r="O86" s="67"/>
      <c r="P86" s="8"/>
    </row>
    <row r="87" spans="1:16" ht="45.75" customHeight="1" x14ac:dyDescent="0.25">
      <c r="A87" s="119" t="s">
        <v>120</v>
      </c>
      <c r="B87" s="119"/>
      <c r="C87" s="119"/>
      <c r="D87" s="119"/>
      <c r="E87" s="119"/>
      <c r="F87" s="92" t="s">
        <v>117</v>
      </c>
      <c r="G87" s="93" t="s">
        <v>118</v>
      </c>
      <c r="H87" s="93" t="s">
        <v>121</v>
      </c>
      <c r="K87" s="84"/>
      <c r="L87" s="8"/>
      <c r="M87" s="8"/>
      <c r="N87" s="8"/>
      <c r="O87" s="67"/>
      <c r="P87" s="8"/>
    </row>
    <row r="88" spans="1:16" ht="24.75" customHeight="1" x14ac:dyDescent="0.25">
      <c r="A88" s="128" t="s">
        <v>123</v>
      </c>
      <c r="B88" s="128"/>
      <c r="C88" s="128"/>
      <c r="D88" s="128"/>
      <c r="E88" s="128"/>
      <c r="F88" s="87">
        <v>0.7</v>
      </c>
      <c r="G88" s="8">
        <f>F88*$F$84</f>
        <v>70</v>
      </c>
      <c r="H88" s="7">
        <f>($G$14+365*$J$28)*G88</f>
        <v>79179.45</v>
      </c>
      <c r="I88" s="7"/>
      <c r="K88" s="67"/>
      <c r="L88" s="123"/>
      <c r="M88" s="123"/>
      <c r="N88" s="123"/>
      <c r="O88" s="82"/>
      <c r="P88" s="82"/>
    </row>
    <row r="89" spans="1:16" ht="18" customHeight="1" x14ac:dyDescent="0.25">
      <c r="A89" s="121" t="s">
        <v>113</v>
      </c>
      <c r="B89" s="129"/>
      <c r="C89" s="129"/>
      <c r="D89" s="129"/>
      <c r="E89" s="129"/>
      <c r="F89" s="87">
        <v>0.3</v>
      </c>
      <c r="G89" s="8">
        <f t="shared" ref="G89:G92" si="0">F89*$F$84</f>
        <v>30</v>
      </c>
      <c r="H89" s="7">
        <f>($G$12+365*$J$28)*G89</f>
        <v>75453.321428571435</v>
      </c>
      <c r="K89" s="67"/>
      <c r="L89" s="123"/>
      <c r="M89" s="123"/>
      <c r="N89" s="123"/>
      <c r="O89" s="82"/>
      <c r="P89" s="82"/>
    </row>
    <row r="90" spans="1:16" x14ac:dyDescent="0.25">
      <c r="A90" s="121" t="s">
        <v>114</v>
      </c>
      <c r="B90" s="121"/>
      <c r="C90" s="121"/>
      <c r="D90" s="121"/>
      <c r="E90" s="121"/>
      <c r="F90" s="87">
        <v>0</v>
      </c>
      <c r="G90" s="8">
        <f t="shared" si="0"/>
        <v>0</v>
      </c>
      <c r="H90" s="7">
        <f>($G$15+365*$J$28)*G90</f>
        <v>0</v>
      </c>
      <c r="K90" s="79"/>
      <c r="L90" s="122"/>
      <c r="M90" s="122"/>
      <c r="N90" s="122"/>
      <c r="O90" s="8"/>
      <c r="P90" s="8"/>
    </row>
    <row r="91" spans="1:16" x14ac:dyDescent="0.25">
      <c r="A91" s="121" t="s">
        <v>116</v>
      </c>
      <c r="B91" s="121"/>
      <c r="C91" s="121"/>
      <c r="D91" s="121"/>
      <c r="E91" s="121"/>
      <c r="F91" s="87">
        <v>0</v>
      </c>
      <c r="G91" s="8">
        <f t="shared" si="0"/>
        <v>0</v>
      </c>
      <c r="H91" s="7">
        <f>($G$17+$J$30*52)*G91</f>
        <v>0</v>
      </c>
      <c r="K91" s="84"/>
      <c r="L91" s="122"/>
      <c r="M91" s="122"/>
      <c r="N91" s="122"/>
      <c r="O91" s="8"/>
      <c r="P91" s="8"/>
    </row>
    <row r="92" spans="1:16" x14ac:dyDescent="0.25">
      <c r="A92" s="121" t="s">
        <v>115</v>
      </c>
      <c r="B92" s="121"/>
      <c r="C92" s="121"/>
      <c r="D92" s="121"/>
      <c r="E92" s="121"/>
      <c r="F92" s="87">
        <v>0</v>
      </c>
      <c r="G92" s="8">
        <f t="shared" si="0"/>
        <v>0</v>
      </c>
      <c r="H92" s="7">
        <f>($G$18+$J$30*12)*G92</f>
        <v>0</v>
      </c>
      <c r="K92" s="67"/>
      <c r="L92" s="123"/>
      <c r="M92" s="123"/>
      <c r="N92" s="123"/>
      <c r="O92" s="82"/>
      <c r="P92" s="82"/>
    </row>
    <row r="93" spans="1:16" ht="15" customHeight="1" x14ac:dyDescent="0.25">
      <c r="A93" s="120" t="s">
        <v>142</v>
      </c>
      <c r="B93" s="120"/>
      <c r="C93" s="120"/>
      <c r="D93" s="120"/>
      <c r="E93" s="120"/>
      <c r="F93" s="120"/>
      <c r="G93" s="120"/>
      <c r="H93" s="7">
        <f>SUM(H88:H92)</f>
        <v>154632.77142857143</v>
      </c>
      <c r="K93" s="67"/>
      <c r="L93" s="83"/>
      <c r="M93" s="83"/>
      <c r="N93" s="83"/>
      <c r="O93" s="82"/>
      <c r="P93" s="82"/>
    </row>
    <row r="94" spans="1:16" ht="15" customHeight="1" x14ac:dyDescent="0.25">
      <c r="A94" s="79"/>
      <c r="B94" s="80"/>
      <c r="C94" s="57"/>
      <c r="D94" s="57"/>
      <c r="E94" s="10"/>
      <c r="F94" s="10"/>
      <c r="K94" s="67"/>
      <c r="L94" s="123"/>
      <c r="M94" s="123"/>
      <c r="N94" s="123"/>
      <c r="O94" s="82"/>
      <c r="P94" s="82"/>
    </row>
    <row r="95" spans="1:16" ht="15.75" x14ac:dyDescent="0.25">
      <c r="A95" s="109" t="s">
        <v>112</v>
      </c>
      <c r="B95" s="109"/>
      <c r="C95" s="109"/>
      <c r="D95" s="109"/>
      <c r="E95" s="109"/>
      <c r="F95" s="109"/>
      <c r="G95" s="109"/>
      <c r="H95" s="88"/>
      <c r="K95" s="8"/>
      <c r="L95" s="123"/>
      <c r="M95" s="123"/>
      <c r="N95" s="123"/>
      <c r="O95" s="82"/>
      <c r="P95" s="82"/>
    </row>
    <row r="96" spans="1:16" ht="46.5" customHeight="1" x14ac:dyDescent="0.25">
      <c r="A96" s="119" t="s">
        <v>120</v>
      </c>
      <c r="B96" s="119"/>
      <c r="C96" s="119"/>
      <c r="D96" s="119"/>
      <c r="E96" s="119"/>
      <c r="F96" s="92" t="s">
        <v>117</v>
      </c>
      <c r="G96" s="93" t="s">
        <v>118</v>
      </c>
      <c r="H96" s="94" t="s">
        <v>121</v>
      </c>
      <c r="K96" s="8"/>
      <c r="L96" s="83"/>
      <c r="M96" s="83"/>
      <c r="N96" s="83"/>
      <c r="O96" s="82"/>
      <c r="P96" s="82"/>
    </row>
    <row r="97" spans="1:16" ht="15" customHeight="1" x14ac:dyDescent="0.25">
      <c r="A97" s="110" t="s">
        <v>123</v>
      </c>
      <c r="B97" s="110"/>
      <c r="C97" s="110"/>
      <c r="D97" s="110"/>
      <c r="E97" s="110"/>
      <c r="F97" s="87">
        <v>0.68</v>
      </c>
      <c r="G97" s="8">
        <f>F97*$E$59</f>
        <v>68</v>
      </c>
      <c r="H97" s="7">
        <f>($G$14+365*$J$28)*G97</f>
        <v>76917.179999999993</v>
      </c>
      <c r="K97" s="67"/>
      <c r="L97" s="123"/>
      <c r="M97" s="123"/>
      <c r="N97" s="123"/>
      <c r="O97" s="82"/>
      <c r="P97" s="82"/>
    </row>
    <row r="98" spans="1:16" ht="15" customHeight="1" x14ac:dyDescent="0.25">
      <c r="A98" s="110" t="s">
        <v>113</v>
      </c>
      <c r="B98" s="111"/>
      <c r="C98" s="111"/>
      <c r="D98" s="111"/>
      <c r="E98" s="111"/>
      <c r="F98" s="87">
        <v>0.2</v>
      </c>
      <c r="G98" s="8">
        <f t="shared" ref="G98:G101" si="1">F98*$E$59</f>
        <v>20</v>
      </c>
      <c r="H98" s="7">
        <f>($G$12+365*$J$28)*G98</f>
        <v>50302.21428571429</v>
      </c>
      <c r="K98" s="67"/>
      <c r="L98" s="57"/>
      <c r="M98" s="57"/>
      <c r="N98" s="57"/>
      <c r="O98" s="8"/>
      <c r="P98" s="8"/>
    </row>
    <row r="99" spans="1:16" ht="15.75" customHeight="1" x14ac:dyDescent="0.25">
      <c r="A99" s="110" t="s">
        <v>114</v>
      </c>
      <c r="B99" s="110"/>
      <c r="C99" s="110"/>
      <c r="D99" s="110"/>
      <c r="E99" s="110"/>
      <c r="F99" s="87">
        <v>0</v>
      </c>
      <c r="G99" s="8">
        <f t="shared" si="1"/>
        <v>0</v>
      </c>
      <c r="H99" s="7">
        <f>($G$15+365*$J$28)*G99</f>
        <v>0</v>
      </c>
      <c r="I99" s="86"/>
      <c r="J99" s="86"/>
      <c r="K99" s="67"/>
      <c r="L99" s="123"/>
      <c r="M99" s="123"/>
      <c r="N99" s="123"/>
      <c r="O99" s="82"/>
      <c r="P99" s="82"/>
    </row>
    <row r="100" spans="1:16" ht="15" customHeight="1" x14ac:dyDescent="0.25">
      <c r="A100" s="110" t="s">
        <v>116</v>
      </c>
      <c r="B100" s="110"/>
      <c r="C100" s="110"/>
      <c r="D100" s="110"/>
      <c r="E100" s="110"/>
      <c r="F100" s="87">
        <v>0.02</v>
      </c>
      <c r="G100" s="8">
        <f t="shared" si="1"/>
        <v>2</v>
      </c>
      <c r="H100" s="7">
        <f>($G$17+$J$30*52)*G100</f>
        <v>7041.32</v>
      </c>
      <c r="K100" s="67"/>
      <c r="L100" s="123"/>
      <c r="M100" s="123"/>
      <c r="N100" s="123"/>
      <c r="O100" s="82"/>
      <c r="P100" s="82"/>
    </row>
    <row r="101" spans="1:16" ht="15" customHeight="1" x14ac:dyDescent="0.25">
      <c r="A101" s="110" t="s">
        <v>115</v>
      </c>
      <c r="B101" s="110"/>
      <c r="C101" s="110"/>
      <c r="D101" s="110"/>
      <c r="E101" s="110"/>
      <c r="F101" s="87">
        <v>0.1</v>
      </c>
      <c r="G101" s="8">
        <f t="shared" si="1"/>
        <v>10</v>
      </c>
      <c r="H101" s="7">
        <f>($G$18+$J$30*12)*G101</f>
        <v>30177</v>
      </c>
      <c r="K101" s="8"/>
      <c r="L101" s="123"/>
      <c r="M101" s="123"/>
      <c r="N101" s="123"/>
      <c r="O101" s="82"/>
      <c r="P101" s="82"/>
    </row>
    <row r="102" spans="1:16" x14ac:dyDescent="0.25">
      <c r="A102" s="120" t="s">
        <v>131</v>
      </c>
      <c r="B102" s="120"/>
      <c r="C102" s="120"/>
      <c r="D102" s="120"/>
      <c r="E102" s="120"/>
      <c r="F102" s="120"/>
      <c r="G102" s="120"/>
      <c r="H102" s="7">
        <f>SUM(H97:H101)</f>
        <v>164437.71428571429</v>
      </c>
      <c r="K102" s="8"/>
      <c r="L102" s="122"/>
      <c r="M102" s="122"/>
      <c r="N102" s="122"/>
      <c r="O102" s="8"/>
      <c r="P102" s="8"/>
    </row>
    <row r="103" spans="1:16" x14ac:dyDescent="0.25">
      <c r="K103" s="8"/>
      <c r="L103" s="8"/>
      <c r="M103" s="8"/>
      <c r="N103" s="8"/>
      <c r="O103" s="8"/>
      <c r="P103" s="8"/>
    </row>
    <row r="104" spans="1:16" ht="46.5" customHeight="1" x14ac:dyDescent="0.25">
      <c r="A104" s="166" t="s">
        <v>129</v>
      </c>
      <c r="B104" s="166"/>
      <c r="C104" s="166"/>
      <c r="D104" s="166"/>
      <c r="E104" s="166"/>
      <c r="F104" s="166"/>
      <c r="G104" s="166"/>
      <c r="H104" s="7">
        <f>H102-H93</f>
        <v>9804.942857142858</v>
      </c>
    </row>
    <row r="106" spans="1:16" ht="51.75" customHeight="1" x14ac:dyDescent="0.25">
      <c r="A106" s="159" t="s">
        <v>130</v>
      </c>
      <c r="B106" s="159"/>
      <c r="C106" s="159"/>
      <c r="D106" s="159"/>
      <c r="E106" s="159"/>
      <c r="F106" s="159"/>
      <c r="G106" s="159"/>
      <c r="H106" s="159"/>
    </row>
  </sheetData>
  <mergeCells count="119">
    <mergeCell ref="G15:G16"/>
    <mergeCell ref="A106:H106"/>
    <mergeCell ref="D28:D29"/>
    <mergeCell ref="E28:E29"/>
    <mergeCell ref="F28:F29"/>
    <mergeCell ref="G28:G29"/>
    <mergeCell ref="A17:A18"/>
    <mergeCell ref="A24:J24"/>
    <mergeCell ref="A25:A27"/>
    <mergeCell ref="B25:E25"/>
    <mergeCell ref="F25:F27"/>
    <mergeCell ref="G25:G27"/>
    <mergeCell ref="H25:H27"/>
    <mergeCell ref="I25:I27"/>
    <mergeCell ref="B42:D42"/>
    <mergeCell ref="A38:A40"/>
    <mergeCell ref="H30:H31"/>
    <mergeCell ref="I30:I31"/>
    <mergeCell ref="A35:J35"/>
    <mergeCell ref="J30:J31"/>
    <mergeCell ref="A22:J22"/>
    <mergeCell ref="A102:G102"/>
    <mergeCell ref="A104:G104"/>
    <mergeCell ref="A99:E99"/>
    <mergeCell ref="B6:D6"/>
    <mergeCell ref="A8:J8"/>
    <mergeCell ref="H28:H29"/>
    <mergeCell ref="I28:I29"/>
    <mergeCell ref="J28:J29"/>
    <mergeCell ref="A30:A31"/>
    <mergeCell ref="B30:B31"/>
    <mergeCell ref="C30:C31"/>
    <mergeCell ref="D30:D31"/>
    <mergeCell ref="E30:E31"/>
    <mergeCell ref="F30:F31"/>
    <mergeCell ref="G30:G31"/>
    <mergeCell ref="J25:J27"/>
    <mergeCell ref="B26:C26"/>
    <mergeCell ref="D26:E26"/>
    <mergeCell ref="A28:A29"/>
    <mergeCell ref="B28:B29"/>
    <mergeCell ref="C28:C29"/>
    <mergeCell ref="A10:G10"/>
    <mergeCell ref="A12:A13"/>
    <mergeCell ref="F12:F13"/>
    <mergeCell ref="G12:G13"/>
    <mergeCell ref="A15:A16"/>
    <mergeCell ref="F15:F16"/>
    <mergeCell ref="B4:D4"/>
    <mergeCell ref="E4:F4"/>
    <mergeCell ref="E6:F6"/>
    <mergeCell ref="A88:E88"/>
    <mergeCell ref="A89:E89"/>
    <mergeCell ref="B38:D38"/>
    <mergeCell ref="E39:F39"/>
    <mergeCell ref="B39:D40"/>
    <mergeCell ref="A58:D58"/>
    <mergeCell ref="B50:D50"/>
    <mergeCell ref="B51:D51"/>
    <mergeCell ref="B53:D53"/>
    <mergeCell ref="B54:D54"/>
    <mergeCell ref="B55:D55"/>
    <mergeCell ref="B57:D57"/>
    <mergeCell ref="B44:D44"/>
    <mergeCell ref="B45:D45"/>
    <mergeCell ref="B46:D46"/>
    <mergeCell ref="B47:D47"/>
    <mergeCell ref="B48:D48"/>
    <mergeCell ref="B49:D49"/>
    <mergeCell ref="A37:F37"/>
    <mergeCell ref="E38:F38"/>
    <mergeCell ref="A33:J33"/>
    <mergeCell ref="L102:N102"/>
    <mergeCell ref="B65:D65"/>
    <mergeCell ref="B66:D66"/>
    <mergeCell ref="B67:D67"/>
    <mergeCell ref="B68:D68"/>
    <mergeCell ref="B69:D69"/>
    <mergeCell ref="B70:D70"/>
    <mergeCell ref="B71:D71"/>
    <mergeCell ref="B72:D72"/>
    <mergeCell ref="B75:D75"/>
    <mergeCell ref="L94:N94"/>
    <mergeCell ref="L95:N95"/>
    <mergeCell ref="L97:N97"/>
    <mergeCell ref="L99:N99"/>
    <mergeCell ref="L100:N100"/>
    <mergeCell ref="L101:N101"/>
    <mergeCell ref="L88:N88"/>
    <mergeCell ref="L89:N89"/>
    <mergeCell ref="L90:N90"/>
    <mergeCell ref="L91:N91"/>
    <mergeCell ref="L92:N92"/>
    <mergeCell ref="B76:D76"/>
    <mergeCell ref="B77:D77"/>
    <mergeCell ref="B79:D79"/>
    <mergeCell ref="A100:E100"/>
    <mergeCell ref="A101:E101"/>
    <mergeCell ref="A87:E87"/>
    <mergeCell ref="A96:E96"/>
    <mergeCell ref="A95:G95"/>
    <mergeCell ref="A93:G93"/>
    <mergeCell ref="A90:E90"/>
    <mergeCell ref="A91:E91"/>
    <mergeCell ref="A92:E92"/>
    <mergeCell ref="A59:D59"/>
    <mergeCell ref="A80:D80"/>
    <mergeCell ref="A86:G86"/>
    <mergeCell ref="A97:E97"/>
    <mergeCell ref="A98:E98"/>
    <mergeCell ref="A84:E84"/>
    <mergeCell ref="B64:D64"/>
    <mergeCell ref="E64:F64"/>
    <mergeCell ref="B73:D73"/>
    <mergeCell ref="B74:D74"/>
    <mergeCell ref="A82:J82"/>
    <mergeCell ref="B78:D78"/>
    <mergeCell ref="A61:J61"/>
    <mergeCell ref="A63:F63"/>
  </mergeCells>
  <conditionalFormatting sqref="E58:F58 E60:F60 F59">
    <cfRule type="cellIs" dxfId="13" priority="6" operator="lessThan">
      <formula>0</formula>
    </cfRule>
    <cfRule type="cellIs" dxfId="12" priority="7" operator="greaterThan">
      <formula>0</formula>
    </cfRule>
  </conditionalFormatting>
  <conditionalFormatting sqref="E80">
    <cfRule type="cellIs" dxfId="11" priority="5" operator="greaterThan">
      <formula>0</formula>
    </cfRule>
  </conditionalFormatting>
  <conditionalFormatting sqref="F80">
    <cfRule type="cellIs" dxfId="10" priority="4" operator="greaterThan">
      <formula>0</formula>
    </cfRule>
  </conditionalFormatting>
  <conditionalFormatting sqref="E80:F80">
    <cfRule type="cellIs" dxfId="9" priority="3" operator="lessThan">
      <formula>0</formula>
    </cfRule>
  </conditionalFormatting>
  <conditionalFormatting sqref="H104">
    <cfRule type="cellIs" dxfId="8" priority="1" operator="lessThan">
      <formula>0</formula>
    </cfRule>
    <cfRule type="cellIs" dxfId="7" priority="2" operator="greaterThan">
      <formula>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'Background sheet -please keep'!$A$1:$A$4</xm:f>
          </x14:formula1>
          <xm:sqref>A42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workbookViewId="0">
      <selection activeCell="A6" sqref="A6"/>
    </sheetView>
  </sheetViews>
  <sheetFormatPr defaultRowHeight="15" x14ac:dyDescent="0.25"/>
  <cols>
    <col min="1" max="1" width="35.28515625" customWidth="1"/>
    <col min="2" max="2" width="10" customWidth="1"/>
    <col min="3" max="3" width="10.7109375" customWidth="1"/>
    <col min="4" max="4" width="14.28515625" customWidth="1"/>
    <col min="5" max="5" width="15.7109375" customWidth="1"/>
    <col min="6" max="6" width="19.42578125" customWidth="1"/>
    <col min="7" max="7" width="11.5703125" customWidth="1"/>
    <col min="8" max="8" width="13.28515625" customWidth="1"/>
    <col min="9" max="9" width="12.7109375" customWidth="1"/>
    <col min="10" max="10" width="11.140625" customWidth="1"/>
    <col min="11" max="11" width="12" customWidth="1"/>
  </cols>
  <sheetData>
    <row r="1" spans="1:10" x14ac:dyDescent="0.25">
      <c r="A1" s="2" t="s">
        <v>122</v>
      </c>
    </row>
    <row r="2" spans="1:10" x14ac:dyDescent="0.25">
      <c r="A2" s="2"/>
    </row>
    <row r="3" spans="1:10" x14ac:dyDescent="0.25">
      <c r="A3" s="2" t="s">
        <v>99</v>
      </c>
    </row>
    <row r="4" spans="1:10" x14ac:dyDescent="0.25">
      <c r="B4" s="125" t="s">
        <v>12</v>
      </c>
      <c r="C4" s="125"/>
      <c r="D4" s="125"/>
      <c r="E4" s="126" t="s">
        <v>23</v>
      </c>
      <c r="F4" s="126"/>
    </row>
    <row r="5" spans="1:10" ht="51.75" customHeight="1" x14ac:dyDescent="0.25">
      <c r="B5" s="134" t="s">
        <v>77</v>
      </c>
      <c r="C5" s="134"/>
      <c r="D5" s="134"/>
      <c r="E5" s="127" t="s">
        <v>144</v>
      </c>
      <c r="F5" s="127"/>
    </row>
    <row r="6" spans="1:10" ht="27" customHeight="1" x14ac:dyDescent="0.25">
      <c r="B6" s="178" t="s">
        <v>76</v>
      </c>
      <c r="C6" s="178"/>
      <c r="D6" s="178"/>
      <c r="E6" s="127"/>
      <c r="F6" s="127"/>
    </row>
    <row r="8" spans="1:10" ht="69" customHeight="1" x14ac:dyDescent="0.25">
      <c r="A8" s="117" t="s">
        <v>156</v>
      </c>
      <c r="B8" s="117"/>
      <c r="C8" s="117"/>
      <c r="D8" s="117"/>
      <c r="E8" s="117"/>
      <c r="F8" s="117"/>
      <c r="G8" s="117"/>
      <c r="H8" s="117"/>
      <c r="I8" s="117"/>
      <c r="J8" s="117"/>
    </row>
    <row r="9" spans="1:10" ht="13.5" customHeight="1" x14ac:dyDescent="0.25">
      <c r="A9" s="89"/>
      <c r="B9" s="89"/>
      <c r="C9" s="89"/>
      <c r="D9" s="89"/>
      <c r="E9" s="89"/>
      <c r="F9" s="89"/>
      <c r="G9" s="89"/>
      <c r="H9" s="89"/>
      <c r="I9" s="89"/>
      <c r="J9" s="89"/>
    </row>
    <row r="10" spans="1:10" x14ac:dyDescent="0.25">
      <c r="A10" s="149" t="s">
        <v>24</v>
      </c>
      <c r="B10" s="149"/>
      <c r="C10" s="149"/>
      <c r="D10" s="149"/>
      <c r="E10" s="149"/>
      <c r="F10" s="149"/>
      <c r="G10" s="149"/>
    </row>
    <row r="11" spans="1:10" ht="30" x14ac:dyDescent="0.25">
      <c r="A11" s="60" t="s">
        <v>1</v>
      </c>
      <c r="B11" s="22" t="s">
        <v>0</v>
      </c>
      <c r="C11" s="22" t="s">
        <v>25</v>
      </c>
      <c r="D11" s="22" t="s">
        <v>4</v>
      </c>
      <c r="E11" s="22" t="s">
        <v>38</v>
      </c>
      <c r="F11" s="22" t="s">
        <v>26</v>
      </c>
      <c r="G11" s="22" t="s">
        <v>27</v>
      </c>
    </row>
    <row r="12" spans="1:10" x14ac:dyDescent="0.25">
      <c r="A12" s="176" t="s">
        <v>28</v>
      </c>
      <c r="B12" s="23" t="s">
        <v>5</v>
      </c>
      <c r="C12" s="24">
        <v>6.35</v>
      </c>
      <c r="D12" s="25">
        <v>7</v>
      </c>
      <c r="E12" s="26">
        <v>2</v>
      </c>
      <c r="F12" s="155">
        <f>(C12/D12*E12)+(C13/D13*E13)</f>
        <v>4.5357142857142856</v>
      </c>
      <c r="G12" s="157">
        <f>F12*365</f>
        <v>1655.5357142857142</v>
      </c>
    </row>
    <row r="13" spans="1:10" x14ac:dyDescent="0.25">
      <c r="A13" s="177"/>
      <c r="B13" s="27" t="s">
        <v>2</v>
      </c>
      <c r="C13" s="24">
        <v>19.05</v>
      </c>
      <c r="D13" s="28">
        <v>7</v>
      </c>
      <c r="E13" s="26">
        <v>1</v>
      </c>
      <c r="F13" s="156"/>
      <c r="G13" s="158"/>
    </row>
    <row r="14" spans="1:10" x14ac:dyDescent="0.25">
      <c r="A14" s="54" t="s">
        <v>7</v>
      </c>
      <c r="B14" s="27" t="s">
        <v>37</v>
      </c>
      <c r="C14" s="24">
        <v>6.2</v>
      </c>
      <c r="D14" s="28">
        <v>500</v>
      </c>
      <c r="E14" s="26">
        <v>60</v>
      </c>
      <c r="F14" s="55">
        <f>C14/D14*E14</f>
        <v>0.74399999999999999</v>
      </c>
      <c r="G14" s="56">
        <f>F14*365</f>
        <v>271.56</v>
      </c>
    </row>
    <row r="15" spans="1:10" x14ac:dyDescent="0.25">
      <c r="A15" s="153" t="s">
        <v>3</v>
      </c>
      <c r="B15" s="27" t="s">
        <v>5</v>
      </c>
      <c r="C15" s="24">
        <v>4.2300000000000004</v>
      </c>
      <c r="D15" s="28">
        <v>7</v>
      </c>
      <c r="E15" s="26">
        <v>2</v>
      </c>
      <c r="F15" s="155">
        <f>(C15/D15*E15)+(C16/D16*E16)</f>
        <v>2.9385714285714286</v>
      </c>
      <c r="G15" s="157">
        <f>F15*365</f>
        <v>1072.5785714285714</v>
      </c>
    </row>
    <row r="16" spans="1:10" x14ac:dyDescent="0.25">
      <c r="A16" s="154"/>
      <c r="B16" s="27" t="s">
        <v>2</v>
      </c>
      <c r="C16" s="24">
        <v>12.11</v>
      </c>
      <c r="D16" s="28">
        <v>7</v>
      </c>
      <c r="E16" s="26">
        <v>1</v>
      </c>
      <c r="F16" s="156"/>
      <c r="G16" s="158"/>
    </row>
    <row r="17" spans="1:11" ht="30" x14ac:dyDescent="0.25">
      <c r="A17" s="141" t="s">
        <v>29</v>
      </c>
      <c r="B17" s="27" t="s">
        <v>30</v>
      </c>
      <c r="C17" s="24">
        <v>55.93</v>
      </c>
      <c r="D17" s="28">
        <v>1</v>
      </c>
      <c r="E17" s="29" t="s">
        <v>33</v>
      </c>
      <c r="F17" s="55" t="s">
        <v>33</v>
      </c>
      <c r="G17" s="56">
        <f>C17*52</f>
        <v>2908.36</v>
      </c>
    </row>
    <row r="18" spans="1:11" ht="30" x14ac:dyDescent="0.25">
      <c r="A18" s="141"/>
      <c r="B18" s="30" t="s">
        <v>31</v>
      </c>
      <c r="C18" s="24">
        <v>239.7</v>
      </c>
      <c r="D18" s="31">
        <v>1</v>
      </c>
      <c r="E18" s="32" t="s">
        <v>33</v>
      </c>
      <c r="F18" s="55" t="s">
        <v>33</v>
      </c>
      <c r="G18" s="34">
        <f>C18*12</f>
        <v>2876.3999999999996</v>
      </c>
    </row>
    <row r="20" spans="1:11" ht="84" customHeight="1" x14ac:dyDescent="0.25">
      <c r="A20" s="117" t="s">
        <v>147</v>
      </c>
      <c r="B20" s="117"/>
      <c r="C20" s="117"/>
      <c r="D20" s="117"/>
      <c r="E20" s="117"/>
      <c r="F20" s="117"/>
      <c r="G20" s="117"/>
      <c r="H20" s="117"/>
      <c r="I20" s="117"/>
      <c r="J20" s="117"/>
    </row>
    <row r="22" spans="1:11" ht="14.45" x14ac:dyDescent="0.3">
      <c r="A22" s="161" t="s">
        <v>32</v>
      </c>
      <c r="B22" s="161"/>
      <c r="C22" s="161"/>
      <c r="D22" s="161"/>
      <c r="E22" s="161"/>
      <c r="F22" s="161"/>
      <c r="G22" s="161"/>
      <c r="H22" s="161"/>
      <c r="I22" s="161"/>
      <c r="J22" s="161"/>
      <c r="K22" s="161"/>
    </row>
    <row r="23" spans="1:11" x14ac:dyDescent="0.25">
      <c r="A23" s="172" t="s">
        <v>124</v>
      </c>
      <c r="B23" s="146" t="s">
        <v>67</v>
      </c>
      <c r="C23" s="146"/>
      <c r="D23" s="146" t="s">
        <v>70</v>
      </c>
      <c r="E23" s="146" t="s">
        <v>71</v>
      </c>
      <c r="F23" s="175" t="s">
        <v>72</v>
      </c>
      <c r="G23" s="175" t="s">
        <v>73</v>
      </c>
      <c r="H23" s="167" t="s">
        <v>44</v>
      </c>
      <c r="I23" s="167" t="s">
        <v>74</v>
      </c>
      <c r="J23" s="172" t="s">
        <v>81</v>
      </c>
      <c r="K23" s="146" t="s">
        <v>75</v>
      </c>
    </row>
    <row r="24" spans="1:11" ht="28.5" customHeight="1" x14ac:dyDescent="0.25">
      <c r="A24" s="173"/>
      <c r="B24" s="146" t="s">
        <v>51</v>
      </c>
      <c r="C24" s="146"/>
      <c r="D24" s="146"/>
      <c r="E24" s="146"/>
      <c r="F24" s="175"/>
      <c r="G24" s="175"/>
      <c r="H24" s="167"/>
      <c r="I24" s="167"/>
      <c r="J24" s="173"/>
      <c r="K24" s="141"/>
    </row>
    <row r="25" spans="1:11" ht="35.25" customHeight="1" x14ac:dyDescent="0.25">
      <c r="A25" s="174"/>
      <c r="B25" s="59" t="s">
        <v>68</v>
      </c>
      <c r="C25" s="59" t="s">
        <v>69</v>
      </c>
      <c r="D25" s="146"/>
      <c r="E25" s="146"/>
      <c r="F25" s="175"/>
      <c r="G25" s="175"/>
      <c r="H25" s="167"/>
      <c r="I25" s="167"/>
      <c r="J25" s="174"/>
      <c r="K25" s="141"/>
    </row>
    <row r="26" spans="1:11" ht="30" x14ac:dyDescent="0.25">
      <c r="A26" s="62" t="s">
        <v>133</v>
      </c>
      <c r="B26" s="101">
        <v>3</v>
      </c>
      <c r="C26" s="61">
        <f>B26/60</f>
        <v>0.05</v>
      </c>
      <c r="D26" s="52">
        <v>0</v>
      </c>
      <c r="E26" s="53">
        <v>0</v>
      </c>
      <c r="F26" s="55">
        <f>(D26*C26)+(E26*C26)</f>
        <v>0</v>
      </c>
      <c r="G26" s="24">
        <v>4</v>
      </c>
      <c r="H26" s="38">
        <f>F26+G26</f>
        <v>4</v>
      </c>
      <c r="I26" s="39">
        <v>7</v>
      </c>
      <c r="J26" s="41">
        <f>365/I26</f>
        <v>52.142857142857146</v>
      </c>
      <c r="K26" s="38">
        <f>J26*H26</f>
        <v>208.57142857142858</v>
      </c>
    </row>
    <row r="27" spans="1:11" ht="30" x14ac:dyDescent="0.25">
      <c r="A27" s="99" t="s">
        <v>135</v>
      </c>
      <c r="B27" s="101">
        <v>15</v>
      </c>
      <c r="C27" s="98">
        <f>B27/60</f>
        <v>0.25</v>
      </c>
      <c r="D27" s="52">
        <v>0</v>
      </c>
      <c r="E27" s="53">
        <v>0</v>
      </c>
      <c r="F27" s="95">
        <f t="shared" ref="F27:F28" si="0">(D27*C27)+(E27*C27)</f>
        <v>0</v>
      </c>
      <c r="G27" s="24">
        <v>30</v>
      </c>
      <c r="H27" s="38">
        <f>F27+G27</f>
        <v>30</v>
      </c>
      <c r="I27" s="47" t="s">
        <v>33</v>
      </c>
      <c r="J27" s="41">
        <v>52</v>
      </c>
      <c r="K27" s="38">
        <f>H27*J27</f>
        <v>1560</v>
      </c>
    </row>
    <row r="28" spans="1:11" ht="30" x14ac:dyDescent="0.25">
      <c r="A28" s="99" t="s">
        <v>136</v>
      </c>
      <c r="B28" s="101">
        <v>15</v>
      </c>
      <c r="C28" s="61">
        <f>B28/60</f>
        <v>0.25</v>
      </c>
      <c r="D28" s="52">
        <v>0</v>
      </c>
      <c r="E28" s="53">
        <v>0</v>
      </c>
      <c r="F28" s="95">
        <f t="shared" si="0"/>
        <v>0</v>
      </c>
      <c r="G28" s="24">
        <v>30</v>
      </c>
      <c r="H28" s="38">
        <f>G28+F28</f>
        <v>30</v>
      </c>
      <c r="I28" s="40" t="s">
        <v>33</v>
      </c>
      <c r="J28" s="40">
        <v>12</v>
      </c>
      <c r="K28" s="38">
        <f>H28*J28</f>
        <v>360</v>
      </c>
    </row>
    <row r="30" spans="1:11" ht="78" customHeight="1" x14ac:dyDescent="0.25">
      <c r="A30" s="117" t="s">
        <v>150</v>
      </c>
      <c r="B30" s="117"/>
      <c r="C30" s="117"/>
      <c r="D30" s="117"/>
      <c r="E30" s="117"/>
      <c r="F30" s="117"/>
      <c r="G30" s="117"/>
      <c r="H30" s="117"/>
      <c r="I30" s="117"/>
      <c r="J30" s="117"/>
    </row>
    <row r="32" spans="1:11" x14ac:dyDescent="0.25">
      <c r="A32" s="149" t="s">
        <v>79</v>
      </c>
      <c r="B32" s="149"/>
      <c r="C32" s="149"/>
      <c r="D32" s="149"/>
      <c r="E32" s="149"/>
      <c r="F32" s="149"/>
      <c r="G32" s="149"/>
      <c r="H32" s="49"/>
      <c r="I32" s="49"/>
      <c r="J32" s="49"/>
    </row>
    <row r="33" spans="1:10" x14ac:dyDescent="0.25">
      <c r="A33" s="167" t="s">
        <v>1</v>
      </c>
      <c r="B33" s="167" t="s">
        <v>88</v>
      </c>
      <c r="C33" s="167"/>
      <c r="D33" s="167" t="s">
        <v>89</v>
      </c>
      <c r="E33" s="167"/>
      <c r="F33" s="167" t="s">
        <v>87</v>
      </c>
      <c r="G33" s="167"/>
      <c r="H33" s="167" t="s">
        <v>92</v>
      </c>
      <c r="I33" s="167"/>
      <c r="J33" s="167" t="s">
        <v>91</v>
      </c>
    </row>
    <row r="34" spans="1:10" ht="30" x14ac:dyDescent="0.25">
      <c r="A34" s="167"/>
      <c r="B34" s="60" t="s">
        <v>83</v>
      </c>
      <c r="C34" s="60" t="s">
        <v>84</v>
      </c>
      <c r="D34" s="60" t="s">
        <v>83</v>
      </c>
      <c r="E34" s="60" t="s">
        <v>84</v>
      </c>
      <c r="F34" s="60" t="s">
        <v>83</v>
      </c>
      <c r="G34" s="60" t="s">
        <v>84</v>
      </c>
      <c r="H34" s="48" t="s">
        <v>90</v>
      </c>
      <c r="I34" s="48" t="s">
        <v>84</v>
      </c>
      <c r="J34" s="167"/>
    </row>
    <row r="35" spans="1:10" x14ac:dyDescent="0.25">
      <c r="A35" s="44" t="s">
        <v>80</v>
      </c>
      <c r="B35" s="168">
        <v>1.27</v>
      </c>
      <c r="C35" s="169">
        <v>26</v>
      </c>
      <c r="D35" s="170">
        <v>0.43</v>
      </c>
      <c r="E35" s="171">
        <v>26</v>
      </c>
      <c r="F35" s="91">
        <v>2.5</v>
      </c>
      <c r="G35" s="46">
        <v>26</v>
      </c>
      <c r="H35" s="39">
        <f>0.55*6</f>
        <v>3.3000000000000003</v>
      </c>
      <c r="I35" s="39">
        <v>52</v>
      </c>
      <c r="J35" s="38">
        <f>B35*C35+D35*E35+F35*G35+H35*I35</f>
        <v>280.8</v>
      </c>
    </row>
    <row r="36" spans="1:10" ht="30" x14ac:dyDescent="0.25">
      <c r="A36" s="44" t="s">
        <v>82</v>
      </c>
      <c r="B36" s="168"/>
      <c r="C36" s="169"/>
      <c r="D36" s="170"/>
      <c r="E36" s="171"/>
      <c r="F36" s="55" t="s">
        <v>33</v>
      </c>
      <c r="G36" s="56" t="s">
        <v>33</v>
      </c>
      <c r="H36" s="56" t="s">
        <v>33</v>
      </c>
      <c r="I36" s="56" t="s">
        <v>33</v>
      </c>
      <c r="J36" s="38">
        <f>B35*C35+D35*E35</f>
        <v>44.2</v>
      </c>
    </row>
    <row r="37" spans="1:10" ht="30" x14ac:dyDescent="0.25">
      <c r="A37" s="44" t="s">
        <v>85</v>
      </c>
      <c r="B37" s="168"/>
      <c r="C37" s="169"/>
      <c r="D37" s="170"/>
      <c r="E37" s="171"/>
      <c r="F37" s="55" t="s">
        <v>33</v>
      </c>
      <c r="G37" s="56" t="s">
        <v>33</v>
      </c>
      <c r="H37" s="56" t="s">
        <v>33</v>
      </c>
      <c r="I37" s="56" t="s">
        <v>33</v>
      </c>
      <c r="J37" s="38">
        <f>B35*C35+D35*E35</f>
        <v>44.2</v>
      </c>
    </row>
    <row r="38" spans="1:10" ht="30" x14ac:dyDescent="0.25">
      <c r="A38" s="44" t="s">
        <v>86</v>
      </c>
      <c r="B38" s="168"/>
      <c r="C38" s="45">
        <v>12</v>
      </c>
      <c r="D38" s="170"/>
      <c r="E38" s="45">
        <v>12</v>
      </c>
      <c r="F38" s="42" t="s">
        <v>33</v>
      </c>
      <c r="G38" s="43" t="s">
        <v>33</v>
      </c>
      <c r="H38" s="56" t="s">
        <v>33</v>
      </c>
      <c r="I38" s="56" t="s">
        <v>33</v>
      </c>
      <c r="J38" s="38">
        <f>B35*C38+D35*E38</f>
        <v>20.399999999999999</v>
      </c>
    </row>
    <row r="41" spans="1:10" ht="114" customHeight="1" x14ac:dyDescent="0.25">
      <c r="A41" s="117" t="s">
        <v>143</v>
      </c>
      <c r="B41" s="117"/>
      <c r="C41" s="117"/>
      <c r="D41" s="117"/>
      <c r="E41" s="117"/>
      <c r="F41" s="117"/>
      <c r="G41" s="117"/>
      <c r="H41" s="117"/>
      <c r="I41" s="117"/>
      <c r="J41" s="117"/>
    </row>
    <row r="43" spans="1:10" x14ac:dyDescent="0.25">
      <c r="A43" s="118" t="s">
        <v>108</v>
      </c>
      <c r="B43" s="118"/>
      <c r="C43" s="118"/>
      <c r="D43" s="118"/>
      <c r="E43" s="118"/>
      <c r="F43" s="118"/>
    </row>
    <row r="44" spans="1:10" x14ac:dyDescent="0.25">
      <c r="A44" s="163" t="s">
        <v>8</v>
      </c>
      <c r="B44" s="113" t="s">
        <v>12</v>
      </c>
      <c r="C44" s="113"/>
      <c r="D44" s="113"/>
      <c r="E44" s="114" t="s">
        <v>23</v>
      </c>
      <c r="F44" s="114"/>
    </row>
    <row r="45" spans="1:10" ht="72.75" customHeight="1" x14ac:dyDescent="0.25">
      <c r="A45" s="163"/>
      <c r="B45" s="134" t="s">
        <v>134</v>
      </c>
      <c r="C45" s="134"/>
      <c r="D45" s="134"/>
      <c r="E45" s="127" t="s">
        <v>144</v>
      </c>
      <c r="F45" s="127"/>
    </row>
    <row r="46" spans="1:10" ht="21.75" customHeight="1" x14ac:dyDescent="0.25">
      <c r="A46" s="163"/>
      <c r="B46" s="134"/>
      <c r="C46" s="134"/>
      <c r="D46" s="134"/>
      <c r="E46" s="68" t="s">
        <v>34</v>
      </c>
      <c r="F46" s="69" t="s">
        <v>35</v>
      </c>
    </row>
    <row r="47" spans="1:10" x14ac:dyDescent="0.25">
      <c r="A47" s="37" t="s">
        <v>61</v>
      </c>
      <c r="B47" s="72"/>
      <c r="C47" s="72"/>
      <c r="D47" s="72"/>
      <c r="E47" s="20"/>
      <c r="F47" s="15"/>
    </row>
    <row r="48" spans="1:10" x14ac:dyDescent="0.25">
      <c r="A48" s="19" t="s">
        <v>36</v>
      </c>
      <c r="B48" s="133" t="str">
        <f>IF(A48="Buprenorphine oral lyophilisates sugar free (Espranor®)",$G$12,IF(A48="Methadone oral solution",$G$14,IF(A48="Buprenorphine sublingual tablets sugar free",$G$15,"")))</f>
        <v/>
      </c>
      <c r="C48" s="133"/>
      <c r="D48" s="133"/>
      <c r="E48" s="17">
        <f>$G$17</f>
        <v>2908.36</v>
      </c>
      <c r="F48" s="35">
        <f>$G$18</f>
        <v>2876.3999999999996</v>
      </c>
    </row>
    <row r="49" spans="1:6" x14ac:dyDescent="0.25">
      <c r="B49" s="73"/>
      <c r="C49" s="74"/>
      <c r="D49" s="74"/>
      <c r="E49" s="16"/>
      <c r="F49" s="16"/>
    </row>
    <row r="50" spans="1:6" ht="60" x14ac:dyDescent="0.25">
      <c r="A50" s="1" t="s">
        <v>78</v>
      </c>
      <c r="B50" s="133" t="str">
        <f>IF(A48="Buprenorphine oral lyophilisates sugar free (Espranor®)",$K$26,IF(A48="Methadone oral solution",$K$26,IF(A48="Buprenorphine sublingual tablets sugar free",$K$26,"")))</f>
        <v/>
      </c>
      <c r="C50" s="133"/>
      <c r="D50" s="133"/>
      <c r="E50" s="21">
        <f>K27</f>
        <v>1560</v>
      </c>
      <c r="F50" s="17">
        <f>K28</f>
        <v>360</v>
      </c>
    </row>
    <row r="51" spans="1:6" x14ac:dyDescent="0.25">
      <c r="A51" s="1"/>
      <c r="B51" s="75"/>
      <c r="C51" s="76"/>
      <c r="D51" s="76"/>
      <c r="E51" s="21"/>
      <c r="F51" s="17"/>
    </row>
    <row r="52" spans="1:6" ht="105" x14ac:dyDescent="0.25">
      <c r="A52" s="6" t="s">
        <v>137</v>
      </c>
      <c r="B52" s="133" t="str">
        <f>IF(A48="Buprenorphine oral lyophilisates sugar free (Espranor®)",$J$36,IF(A48="Methadone oral solution",$J$35,IF(A48="Buprenorphine sublingual tablets sugar free",$J$36,"")))</f>
        <v/>
      </c>
      <c r="C52" s="133"/>
      <c r="D52" s="133"/>
      <c r="E52" s="21">
        <f>J37</f>
        <v>44.2</v>
      </c>
      <c r="F52" s="17">
        <f>J38</f>
        <v>20.399999999999999</v>
      </c>
    </row>
    <row r="53" spans="1:6" x14ac:dyDescent="0.25">
      <c r="A53" s="1"/>
      <c r="B53" s="116"/>
      <c r="C53" s="116"/>
      <c r="D53" s="116"/>
      <c r="E53" s="18"/>
      <c r="F53" s="16"/>
    </row>
    <row r="54" spans="1:6" x14ac:dyDescent="0.25">
      <c r="A54" s="4" t="s">
        <v>125</v>
      </c>
      <c r="B54" s="116"/>
      <c r="C54" s="116"/>
      <c r="D54" s="116"/>
      <c r="E54" s="36"/>
      <c r="F54" s="36"/>
    </row>
    <row r="55" spans="1:6" x14ac:dyDescent="0.25">
      <c r="A55" t="s">
        <v>56</v>
      </c>
      <c r="B55" s="115" t="s">
        <v>53</v>
      </c>
      <c r="C55" s="115"/>
      <c r="D55" s="115"/>
      <c r="E55" s="51" t="s">
        <v>53</v>
      </c>
      <c r="F55" s="51" t="s">
        <v>53</v>
      </c>
    </row>
    <row r="56" spans="1:6" x14ac:dyDescent="0.25">
      <c r="A56" t="s">
        <v>41</v>
      </c>
      <c r="B56" s="115" t="s">
        <v>53</v>
      </c>
      <c r="C56" s="115"/>
      <c r="D56" s="115"/>
      <c r="E56" s="51" t="s">
        <v>53</v>
      </c>
      <c r="F56" s="51" t="s">
        <v>53</v>
      </c>
    </row>
    <row r="57" spans="1:6" x14ac:dyDescent="0.25">
      <c r="A57" t="s">
        <v>11</v>
      </c>
      <c r="B57" s="115" t="s">
        <v>53</v>
      </c>
      <c r="C57" s="115"/>
      <c r="D57" s="115"/>
      <c r="E57" s="51" t="s">
        <v>53</v>
      </c>
      <c r="F57" s="51" t="s">
        <v>53</v>
      </c>
    </row>
    <row r="58" spans="1:6" x14ac:dyDescent="0.25">
      <c r="A58" t="s">
        <v>45</v>
      </c>
      <c r="B58" s="115" t="s">
        <v>53</v>
      </c>
      <c r="C58" s="115"/>
      <c r="D58" s="115"/>
      <c r="E58" s="51" t="s">
        <v>53</v>
      </c>
      <c r="F58" s="51" t="s">
        <v>53</v>
      </c>
    </row>
    <row r="59" spans="1:6" x14ac:dyDescent="0.25">
      <c r="A59" t="s">
        <v>55</v>
      </c>
      <c r="B59" s="115" t="s">
        <v>53</v>
      </c>
      <c r="C59" s="115"/>
      <c r="D59" s="115"/>
      <c r="E59" s="51" t="s">
        <v>53</v>
      </c>
      <c r="F59" s="51" t="s">
        <v>53</v>
      </c>
    </row>
    <row r="60" spans="1:6" x14ac:dyDescent="0.25">
      <c r="B60" s="71"/>
      <c r="C60" s="71"/>
      <c r="D60" s="71"/>
      <c r="E60" s="36"/>
      <c r="F60" s="36"/>
    </row>
    <row r="61" spans="1:6" x14ac:dyDescent="0.25">
      <c r="A61" t="s">
        <v>64</v>
      </c>
      <c r="B61" s="115" t="s">
        <v>53</v>
      </c>
      <c r="C61" s="115"/>
      <c r="D61" s="115"/>
      <c r="E61" s="51" t="s">
        <v>53</v>
      </c>
      <c r="F61" s="51" t="s">
        <v>53</v>
      </c>
    </row>
    <row r="62" spans="1:6" x14ac:dyDescent="0.25">
      <c r="B62" s="115" t="s">
        <v>53</v>
      </c>
      <c r="C62" s="115"/>
      <c r="D62" s="115"/>
      <c r="E62" s="51" t="s">
        <v>53</v>
      </c>
      <c r="F62" s="51" t="s">
        <v>53</v>
      </c>
    </row>
    <row r="63" spans="1:6" x14ac:dyDescent="0.25">
      <c r="B63" s="115" t="s">
        <v>53</v>
      </c>
      <c r="C63" s="115"/>
      <c r="D63" s="115"/>
      <c r="E63" s="51" t="s">
        <v>53</v>
      </c>
      <c r="F63" s="51" t="s">
        <v>53</v>
      </c>
    </row>
    <row r="64" spans="1:6" x14ac:dyDescent="0.25">
      <c r="B64" s="71"/>
      <c r="C64" s="71"/>
      <c r="D64" s="71"/>
      <c r="E64" s="36"/>
      <c r="F64" s="36"/>
    </row>
    <row r="65" spans="1:10" ht="30" x14ac:dyDescent="0.25">
      <c r="A65" s="3" t="s">
        <v>102</v>
      </c>
      <c r="B65" s="124">
        <f>SUM(B48:D63)</f>
        <v>0</v>
      </c>
      <c r="C65" s="125"/>
      <c r="D65" s="125"/>
      <c r="E65" s="70">
        <f>SUM(E48:E63)</f>
        <v>4512.5600000000004</v>
      </c>
      <c r="F65" s="70">
        <f>SUM(F48:F63)</f>
        <v>3256.7999999999997</v>
      </c>
    </row>
    <row r="66" spans="1:10" x14ac:dyDescent="0.25">
      <c r="A66" s="132" t="s">
        <v>104</v>
      </c>
      <c r="B66" s="132"/>
      <c r="C66" s="132"/>
      <c r="D66" s="132"/>
      <c r="E66" s="78">
        <f>E65-B65</f>
        <v>4512.5600000000004</v>
      </c>
      <c r="F66" s="78">
        <f>F65-B65</f>
        <v>3256.7999999999997</v>
      </c>
    </row>
    <row r="67" spans="1:10" x14ac:dyDescent="0.25">
      <c r="A67" s="107" t="s">
        <v>127</v>
      </c>
      <c r="B67" s="107"/>
      <c r="C67" s="107"/>
      <c r="D67" s="107"/>
      <c r="E67" s="85">
        <v>100</v>
      </c>
      <c r="F67" s="78"/>
    </row>
    <row r="70" spans="1:10" ht="83.25" customHeight="1" x14ac:dyDescent="0.25">
      <c r="A70" s="117" t="s">
        <v>139</v>
      </c>
      <c r="B70" s="117"/>
      <c r="C70" s="117"/>
      <c r="D70" s="117"/>
      <c r="E70" s="117"/>
      <c r="F70" s="117"/>
      <c r="G70" s="117"/>
      <c r="H70" s="117"/>
      <c r="I70" s="117"/>
      <c r="J70" s="117"/>
    </row>
    <row r="72" spans="1:10" x14ac:dyDescent="0.25">
      <c r="A72" s="118" t="s">
        <v>110</v>
      </c>
      <c r="B72" s="118"/>
      <c r="C72" s="118"/>
      <c r="D72" s="118"/>
      <c r="E72" s="118"/>
      <c r="F72" s="118"/>
    </row>
    <row r="73" spans="1:10" x14ac:dyDescent="0.25">
      <c r="A73" s="12" t="s">
        <v>105</v>
      </c>
      <c r="B73" s="113" t="s">
        <v>12</v>
      </c>
      <c r="C73" s="113"/>
      <c r="D73" s="113"/>
      <c r="E73" s="114" t="s">
        <v>23</v>
      </c>
      <c r="F73" s="114"/>
    </row>
    <row r="74" spans="1:10" ht="30" x14ac:dyDescent="0.25">
      <c r="A74" s="1" t="s">
        <v>40</v>
      </c>
      <c r="B74" s="115" t="s">
        <v>54</v>
      </c>
      <c r="C74" s="115"/>
      <c r="D74" s="115"/>
      <c r="E74" s="51" t="s">
        <v>53</v>
      </c>
      <c r="F74" s="51" t="s">
        <v>53</v>
      </c>
    </row>
    <row r="75" spans="1:10" x14ac:dyDescent="0.25">
      <c r="A75" s="1" t="s">
        <v>46</v>
      </c>
      <c r="B75" s="115" t="s">
        <v>53</v>
      </c>
      <c r="C75" s="115"/>
      <c r="D75" s="115"/>
      <c r="E75" s="51" t="s">
        <v>53</v>
      </c>
      <c r="F75" s="51" t="s">
        <v>53</v>
      </c>
    </row>
    <row r="76" spans="1:10" x14ac:dyDescent="0.25">
      <c r="A76" s="2"/>
      <c r="B76" s="116"/>
      <c r="C76" s="116"/>
      <c r="D76" s="116"/>
      <c r="E76" s="16"/>
      <c r="F76" s="16"/>
    </row>
    <row r="77" spans="1:10" x14ac:dyDescent="0.25">
      <c r="A77" s="12" t="s">
        <v>106</v>
      </c>
      <c r="B77" s="116"/>
      <c r="C77" s="116"/>
      <c r="D77" s="116"/>
      <c r="E77" s="16"/>
      <c r="F77" s="16"/>
    </row>
    <row r="78" spans="1:10" ht="30" x14ac:dyDescent="0.25">
      <c r="A78" s="1" t="s">
        <v>65</v>
      </c>
      <c r="B78" s="115" t="s">
        <v>53</v>
      </c>
      <c r="C78" s="115"/>
      <c r="D78" s="115"/>
      <c r="E78" s="51" t="s">
        <v>53</v>
      </c>
      <c r="F78" s="51" t="s">
        <v>53</v>
      </c>
    </row>
    <row r="79" spans="1:10" ht="30" x14ac:dyDescent="0.25">
      <c r="A79" s="1" t="s">
        <v>66</v>
      </c>
      <c r="B79" s="115" t="s">
        <v>53</v>
      </c>
      <c r="C79" s="115"/>
      <c r="D79" s="115"/>
      <c r="E79" s="51" t="s">
        <v>53</v>
      </c>
      <c r="F79" s="51" t="s">
        <v>53</v>
      </c>
    </row>
    <row r="80" spans="1:10" x14ac:dyDescent="0.25">
      <c r="A80" t="s">
        <v>47</v>
      </c>
      <c r="B80" s="115" t="s">
        <v>53</v>
      </c>
      <c r="C80" s="115"/>
      <c r="D80" s="115"/>
      <c r="E80" s="51" t="s">
        <v>53</v>
      </c>
      <c r="F80" s="51" t="s">
        <v>53</v>
      </c>
    </row>
    <row r="81" spans="1:10" ht="30" x14ac:dyDescent="0.25">
      <c r="A81" s="1" t="s">
        <v>48</v>
      </c>
      <c r="B81" s="115" t="s">
        <v>53</v>
      </c>
      <c r="C81" s="115"/>
      <c r="D81" s="115"/>
      <c r="E81" s="51" t="s">
        <v>53</v>
      </c>
      <c r="F81" s="51" t="s">
        <v>53</v>
      </c>
    </row>
    <row r="82" spans="1:10" x14ac:dyDescent="0.25">
      <c r="A82" s="1" t="s">
        <v>93</v>
      </c>
      <c r="B82" s="115" t="s">
        <v>53</v>
      </c>
      <c r="C82" s="115"/>
      <c r="D82" s="115"/>
      <c r="E82" s="51" t="s">
        <v>53</v>
      </c>
      <c r="F82" s="51" t="s">
        <v>53</v>
      </c>
    </row>
    <row r="83" spans="1:10" x14ac:dyDescent="0.25">
      <c r="A83" s="1"/>
      <c r="B83" s="116"/>
      <c r="C83" s="116"/>
      <c r="D83" s="116"/>
      <c r="E83" s="16"/>
      <c r="F83" s="16"/>
    </row>
    <row r="84" spans="1:10" x14ac:dyDescent="0.25">
      <c r="A84" s="1" t="s">
        <v>128</v>
      </c>
      <c r="B84" s="115" t="s">
        <v>53</v>
      </c>
      <c r="C84" s="115"/>
      <c r="D84" s="115"/>
      <c r="E84" s="51" t="s">
        <v>53</v>
      </c>
      <c r="F84" s="51" t="s">
        <v>53</v>
      </c>
    </row>
    <row r="85" spans="1:10" x14ac:dyDescent="0.25">
      <c r="A85" s="1"/>
      <c r="B85" s="115" t="s">
        <v>53</v>
      </c>
      <c r="C85" s="115"/>
      <c r="D85" s="115"/>
      <c r="E85" s="51" t="s">
        <v>53</v>
      </c>
      <c r="F85" s="51" t="s">
        <v>53</v>
      </c>
    </row>
    <row r="86" spans="1:10" x14ac:dyDescent="0.25">
      <c r="B86" s="115" t="s">
        <v>53</v>
      </c>
      <c r="C86" s="115"/>
      <c r="D86" s="115"/>
      <c r="E86" s="51" t="s">
        <v>53</v>
      </c>
      <c r="F86" s="51" t="s">
        <v>53</v>
      </c>
    </row>
    <row r="87" spans="1:10" x14ac:dyDescent="0.25">
      <c r="B87" s="116"/>
      <c r="C87" s="116"/>
      <c r="D87" s="116"/>
      <c r="E87" s="16"/>
      <c r="F87" s="16"/>
    </row>
    <row r="88" spans="1:10" ht="30" x14ac:dyDescent="0.25">
      <c r="A88" s="3" t="s">
        <v>107</v>
      </c>
      <c r="B88" s="124">
        <f>SUM(B74:D86)+(B65*E67)</f>
        <v>0</v>
      </c>
      <c r="C88" s="125"/>
      <c r="D88" s="125"/>
      <c r="E88" s="70">
        <f>SUM(E74:E86)+(E65*E67)</f>
        <v>451256.00000000006</v>
      </c>
      <c r="F88" s="70">
        <f>SUM(F74:F86)+(F65*E67)</f>
        <v>325680</v>
      </c>
    </row>
    <row r="89" spans="1:10" ht="43.5" customHeight="1" x14ac:dyDescent="0.25">
      <c r="A89" s="108" t="s">
        <v>111</v>
      </c>
      <c r="B89" s="108"/>
      <c r="C89" s="108"/>
      <c r="D89" s="108"/>
      <c r="E89" s="78">
        <f>E88-B88</f>
        <v>451256.00000000006</v>
      </c>
      <c r="F89" s="78">
        <f>F88-B88</f>
        <v>325680</v>
      </c>
    </row>
    <row r="92" spans="1:10" ht="114" customHeight="1" x14ac:dyDescent="0.25">
      <c r="A92" s="117" t="s">
        <v>148</v>
      </c>
      <c r="B92" s="117"/>
      <c r="C92" s="117"/>
      <c r="D92" s="117"/>
      <c r="E92" s="117"/>
      <c r="F92" s="117"/>
      <c r="G92" s="117"/>
      <c r="H92" s="117"/>
      <c r="I92" s="117"/>
      <c r="J92" s="117"/>
    </row>
    <row r="93" spans="1:10" ht="15.75" x14ac:dyDescent="0.25">
      <c r="A93" s="65"/>
      <c r="B93" s="65"/>
      <c r="C93" s="65"/>
      <c r="D93" s="65"/>
      <c r="E93" s="65"/>
      <c r="F93" s="65"/>
      <c r="G93" s="65"/>
      <c r="H93" s="65"/>
    </row>
    <row r="94" spans="1:10" ht="15.75" x14ac:dyDescent="0.25">
      <c r="A94" s="112" t="s">
        <v>119</v>
      </c>
      <c r="B94" s="112"/>
      <c r="C94" s="112"/>
      <c r="D94" s="112"/>
      <c r="E94" s="112"/>
      <c r="F94" s="90">
        <v>100</v>
      </c>
      <c r="G94" s="65"/>
      <c r="H94" s="65"/>
    </row>
    <row r="95" spans="1:10" x14ac:dyDescent="0.25">
      <c r="B95" s="96"/>
      <c r="C95" s="96"/>
      <c r="D95" s="96"/>
      <c r="E95" s="8"/>
      <c r="F95" s="8"/>
    </row>
    <row r="96" spans="1:10" ht="15.75" x14ac:dyDescent="0.25">
      <c r="A96" s="109" t="s">
        <v>103</v>
      </c>
      <c r="B96" s="109"/>
      <c r="C96" s="109"/>
      <c r="D96" s="109"/>
      <c r="E96" s="109"/>
      <c r="F96" s="109"/>
      <c r="G96" s="109"/>
      <c r="H96" s="88"/>
    </row>
    <row r="97" spans="1:8" ht="63" x14ac:dyDescent="0.25">
      <c r="A97" s="119" t="s">
        <v>120</v>
      </c>
      <c r="B97" s="119"/>
      <c r="C97" s="119"/>
      <c r="D97" s="119"/>
      <c r="E97" s="119"/>
      <c r="F97" s="97" t="s">
        <v>117</v>
      </c>
      <c r="G97" s="93" t="s">
        <v>118</v>
      </c>
      <c r="H97" s="93" t="s">
        <v>121</v>
      </c>
    </row>
    <row r="98" spans="1:8" x14ac:dyDescent="0.25">
      <c r="A98" s="128" t="s">
        <v>123</v>
      </c>
      <c r="B98" s="128"/>
      <c r="C98" s="128"/>
      <c r="D98" s="128"/>
      <c r="E98" s="128"/>
      <c r="F98" s="87">
        <v>0.7</v>
      </c>
      <c r="G98" s="8">
        <f>F98*$F$94</f>
        <v>70</v>
      </c>
      <c r="H98" s="7">
        <f>($G$14+$K$26+$J$35)*G98</f>
        <v>53265.2</v>
      </c>
    </row>
    <row r="99" spans="1:8" x14ac:dyDescent="0.25">
      <c r="A99" s="121" t="s">
        <v>113</v>
      </c>
      <c r="B99" s="129"/>
      <c r="C99" s="129"/>
      <c r="D99" s="129"/>
      <c r="E99" s="129"/>
      <c r="F99" s="87">
        <v>0.3</v>
      </c>
      <c r="G99" s="8">
        <f t="shared" ref="G99:G102" si="1">F99*$F$94</f>
        <v>30</v>
      </c>
      <c r="H99" s="7">
        <f>($G$12+$K$26+$J$36)*G99</f>
        <v>57249.21428571429</v>
      </c>
    </row>
    <row r="100" spans="1:8" x14ac:dyDescent="0.25">
      <c r="A100" s="121" t="s">
        <v>114</v>
      </c>
      <c r="B100" s="121"/>
      <c r="C100" s="121"/>
      <c r="D100" s="121"/>
      <c r="E100" s="121"/>
      <c r="F100" s="87">
        <v>0</v>
      </c>
      <c r="G100" s="8">
        <f t="shared" si="1"/>
        <v>0</v>
      </c>
      <c r="H100" s="7">
        <f>($G$15+$K$26+$J$36)*G100</f>
        <v>0</v>
      </c>
    </row>
    <row r="101" spans="1:8" x14ac:dyDescent="0.25">
      <c r="A101" s="121" t="s">
        <v>116</v>
      </c>
      <c r="B101" s="121"/>
      <c r="C101" s="121"/>
      <c r="D101" s="121"/>
      <c r="E101" s="121"/>
      <c r="F101" s="87">
        <v>0</v>
      </c>
      <c r="G101" s="8">
        <f t="shared" si="1"/>
        <v>0</v>
      </c>
      <c r="H101" s="7">
        <f>($G$17+$K$27+$J$37)*G101</f>
        <v>0</v>
      </c>
    </row>
    <row r="102" spans="1:8" x14ac:dyDescent="0.25">
      <c r="A102" s="121" t="s">
        <v>115</v>
      </c>
      <c r="B102" s="121"/>
      <c r="C102" s="121"/>
      <c r="D102" s="121"/>
      <c r="E102" s="121"/>
      <c r="F102" s="87">
        <v>0</v>
      </c>
      <c r="G102" s="8">
        <f t="shared" si="1"/>
        <v>0</v>
      </c>
      <c r="H102" s="7">
        <f>($G$18+$K$28+$J$38)*G102</f>
        <v>0</v>
      </c>
    </row>
    <row r="103" spans="1:8" x14ac:dyDescent="0.25">
      <c r="A103" s="120" t="s">
        <v>142</v>
      </c>
      <c r="B103" s="120"/>
      <c r="C103" s="120"/>
      <c r="D103" s="120"/>
      <c r="E103" s="120"/>
      <c r="F103" s="120"/>
      <c r="G103" s="120"/>
      <c r="H103" s="7">
        <f>SUM(H98:H102)</f>
        <v>110514.41428571429</v>
      </c>
    </row>
    <row r="104" spans="1:8" x14ac:dyDescent="0.25">
      <c r="A104" s="79"/>
      <c r="B104" s="80"/>
      <c r="C104" s="96"/>
      <c r="D104" s="96"/>
      <c r="E104" s="10"/>
      <c r="F104" s="10"/>
    </row>
    <row r="105" spans="1:8" ht="15.75" x14ac:dyDescent="0.25">
      <c r="A105" s="109" t="s">
        <v>112</v>
      </c>
      <c r="B105" s="109"/>
      <c r="C105" s="109"/>
      <c r="D105" s="109"/>
      <c r="E105" s="109"/>
      <c r="F105" s="109"/>
      <c r="G105" s="109"/>
      <c r="H105" s="88"/>
    </row>
    <row r="106" spans="1:8" ht="63" x14ac:dyDescent="0.25">
      <c r="A106" s="119" t="s">
        <v>120</v>
      </c>
      <c r="B106" s="119"/>
      <c r="C106" s="119"/>
      <c r="D106" s="119"/>
      <c r="E106" s="119"/>
      <c r="F106" s="97" t="s">
        <v>117</v>
      </c>
      <c r="G106" s="93" t="s">
        <v>118</v>
      </c>
      <c r="H106" s="94" t="s">
        <v>121</v>
      </c>
    </row>
    <row r="107" spans="1:8" x14ac:dyDescent="0.25">
      <c r="A107" s="110" t="s">
        <v>123</v>
      </c>
      <c r="B107" s="110"/>
      <c r="C107" s="110"/>
      <c r="D107" s="110"/>
      <c r="E107" s="110"/>
      <c r="F107" s="87">
        <v>0.68</v>
      </c>
      <c r="G107" s="8">
        <f>F107*$F$94</f>
        <v>68</v>
      </c>
      <c r="H107" s="7">
        <f>($G$14+$K$26+$J$35)*G107</f>
        <v>51743.337142857141</v>
      </c>
    </row>
    <row r="108" spans="1:8" x14ac:dyDescent="0.25">
      <c r="A108" s="110" t="s">
        <v>113</v>
      </c>
      <c r="B108" s="111"/>
      <c r="C108" s="111"/>
      <c r="D108" s="111"/>
      <c r="E108" s="111"/>
      <c r="F108" s="87">
        <v>0.2</v>
      </c>
      <c r="G108" s="8">
        <f t="shared" ref="G108:G111" si="2">F108*$F$94</f>
        <v>20</v>
      </c>
      <c r="H108" s="7">
        <f>($G$12+$K$26+$J$36)*G108</f>
        <v>38166.142857142855</v>
      </c>
    </row>
    <row r="109" spans="1:8" x14ac:dyDescent="0.25">
      <c r="A109" s="110" t="s">
        <v>114</v>
      </c>
      <c r="B109" s="110"/>
      <c r="C109" s="110"/>
      <c r="D109" s="110"/>
      <c r="E109" s="110"/>
      <c r="F109" s="87">
        <v>0</v>
      </c>
      <c r="G109" s="8">
        <f t="shared" si="2"/>
        <v>0</v>
      </c>
      <c r="H109" s="7">
        <f>($G$15+$K$26+$J$36)*G109</f>
        <v>0</v>
      </c>
    </row>
    <row r="110" spans="1:8" x14ac:dyDescent="0.25">
      <c r="A110" s="110" t="s">
        <v>116</v>
      </c>
      <c r="B110" s="110"/>
      <c r="C110" s="110"/>
      <c r="D110" s="110"/>
      <c r="E110" s="110"/>
      <c r="F110" s="87">
        <v>0.02</v>
      </c>
      <c r="G110" s="8">
        <f t="shared" si="2"/>
        <v>2</v>
      </c>
      <c r="H110" s="7">
        <f>($G$17+$K$27+$J$37)*G110</f>
        <v>9025.1200000000008</v>
      </c>
    </row>
    <row r="111" spans="1:8" x14ac:dyDescent="0.25">
      <c r="A111" s="110" t="s">
        <v>115</v>
      </c>
      <c r="B111" s="110"/>
      <c r="C111" s="110"/>
      <c r="D111" s="110"/>
      <c r="E111" s="110"/>
      <c r="F111" s="87">
        <v>0.1</v>
      </c>
      <c r="G111" s="8">
        <f t="shared" si="2"/>
        <v>10</v>
      </c>
      <c r="H111" s="7">
        <f>($G$18+$K$28+$J$38)*G111</f>
        <v>32567.999999999996</v>
      </c>
    </row>
    <row r="112" spans="1:8" x14ac:dyDescent="0.25">
      <c r="A112" s="120" t="s">
        <v>131</v>
      </c>
      <c r="B112" s="120"/>
      <c r="C112" s="120"/>
      <c r="D112" s="120"/>
      <c r="E112" s="120"/>
      <c r="F112" s="120"/>
      <c r="G112" s="120"/>
      <c r="H112" s="7">
        <f>SUM(H107:H111)</f>
        <v>131502.59999999998</v>
      </c>
    </row>
    <row r="114" spans="1:8" x14ac:dyDescent="0.25">
      <c r="A114" s="166" t="s">
        <v>129</v>
      </c>
      <c r="B114" s="166"/>
      <c r="C114" s="166"/>
      <c r="D114" s="166"/>
      <c r="E114" s="166"/>
      <c r="F114" s="166"/>
      <c r="G114" s="166"/>
      <c r="H114" s="7">
        <f>H112-H103</f>
        <v>20988.18571428569</v>
      </c>
    </row>
    <row r="116" spans="1:8" ht="30.75" customHeight="1" x14ac:dyDescent="0.25">
      <c r="A116" s="159" t="s">
        <v>141</v>
      </c>
      <c r="B116" s="159"/>
      <c r="C116" s="159"/>
      <c r="D116" s="159"/>
      <c r="E116" s="159"/>
      <c r="F116" s="159"/>
      <c r="G116" s="159"/>
      <c r="H116" s="159"/>
    </row>
  </sheetData>
  <mergeCells count="102">
    <mergeCell ref="A10:G10"/>
    <mergeCell ref="A12:A13"/>
    <mergeCell ref="F12:F13"/>
    <mergeCell ref="G12:G13"/>
    <mergeCell ref="A15:A16"/>
    <mergeCell ref="F15:F16"/>
    <mergeCell ref="G15:G16"/>
    <mergeCell ref="A8:J8"/>
    <mergeCell ref="B4:D4"/>
    <mergeCell ref="E4:F4"/>
    <mergeCell ref="B5:D5"/>
    <mergeCell ref="B6:D6"/>
    <mergeCell ref="E5:F6"/>
    <mergeCell ref="J23:J25"/>
    <mergeCell ref="K23:K25"/>
    <mergeCell ref="B24:C24"/>
    <mergeCell ref="A23:A25"/>
    <mergeCell ref="A30:J30"/>
    <mergeCell ref="A32:G32"/>
    <mergeCell ref="A17:A18"/>
    <mergeCell ref="A20:J20"/>
    <mergeCell ref="A22:K22"/>
    <mergeCell ref="B23:C23"/>
    <mergeCell ref="D23:D25"/>
    <mergeCell ref="E23:E25"/>
    <mergeCell ref="F23:F25"/>
    <mergeCell ref="G23:G25"/>
    <mergeCell ref="H23:H25"/>
    <mergeCell ref="I23:I25"/>
    <mergeCell ref="A43:F43"/>
    <mergeCell ref="A33:A34"/>
    <mergeCell ref="B33:C33"/>
    <mergeCell ref="D33:E33"/>
    <mergeCell ref="F33:G33"/>
    <mergeCell ref="B35:B38"/>
    <mergeCell ref="C35:C37"/>
    <mergeCell ref="D35:D38"/>
    <mergeCell ref="E35:E37"/>
    <mergeCell ref="A41:J41"/>
    <mergeCell ref="H33:I33"/>
    <mergeCell ref="J33:J34"/>
    <mergeCell ref="B50:D50"/>
    <mergeCell ref="B53:D53"/>
    <mergeCell ref="B54:D54"/>
    <mergeCell ref="B55:D55"/>
    <mergeCell ref="B56:D56"/>
    <mergeCell ref="B57:D57"/>
    <mergeCell ref="A44:A46"/>
    <mergeCell ref="B44:D44"/>
    <mergeCell ref="E44:F44"/>
    <mergeCell ref="E45:F45"/>
    <mergeCell ref="B48:D48"/>
    <mergeCell ref="B45:D46"/>
    <mergeCell ref="A66:D66"/>
    <mergeCell ref="A67:D67"/>
    <mergeCell ref="B52:D52"/>
    <mergeCell ref="B58:D58"/>
    <mergeCell ref="B59:D59"/>
    <mergeCell ref="B61:D61"/>
    <mergeCell ref="B62:D62"/>
    <mergeCell ref="B63:D63"/>
    <mergeCell ref="B65:D65"/>
    <mergeCell ref="B75:D75"/>
    <mergeCell ref="B76:D76"/>
    <mergeCell ref="B77:D77"/>
    <mergeCell ref="B78:D78"/>
    <mergeCell ref="B79:D79"/>
    <mergeCell ref="A70:J70"/>
    <mergeCell ref="A72:F72"/>
    <mergeCell ref="B73:D73"/>
    <mergeCell ref="E73:F73"/>
    <mergeCell ref="B74:D74"/>
    <mergeCell ref="B85:D85"/>
    <mergeCell ref="B86:D86"/>
    <mergeCell ref="B87:D87"/>
    <mergeCell ref="B88:D88"/>
    <mergeCell ref="A89:D89"/>
    <mergeCell ref="B80:D80"/>
    <mergeCell ref="B81:D81"/>
    <mergeCell ref="B82:D82"/>
    <mergeCell ref="B83:D83"/>
    <mergeCell ref="B84:D84"/>
    <mergeCell ref="A116:H116"/>
    <mergeCell ref="A108:E108"/>
    <mergeCell ref="A109:E109"/>
    <mergeCell ref="A110:E110"/>
    <mergeCell ref="A111:E111"/>
    <mergeCell ref="A101:E101"/>
    <mergeCell ref="A102:E102"/>
    <mergeCell ref="A105:G105"/>
    <mergeCell ref="A92:J92"/>
    <mergeCell ref="A99:E99"/>
    <mergeCell ref="A100:E100"/>
    <mergeCell ref="A114:G114"/>
    <mergeCell ref="A94:E94"/>
    <mergeCell ref="A96:G96"/>
    <mergeCell ref="A97:E97"/>
    <mergeCell ref="A98:E98"/>
    <mergeCell ref="A103:G103"/>
    <mergeCell ref="A106:E106"/>
    <mergeCell ref="A107:E107"/>
    <mergeCell ref="A112:G112"/>
  </mergeCells>
  <conditionalFormatting sqref="E66:F66 F67">
    <cfRule type="cellIs" dxfId="6" priority="6" operator="lessThan">
      <formula>0</formula>
    </cfRule>
    <cfRule type="cellIs" dxfId="5" priority="7" operator="greaterThan">
      <formula>0</formula>
    </cfRule>
  </conditionalFormatting>
  <conditionalFormatting sqref="E89">
    <cfRule type="cellIs" dxfId="4" priority="5" operator="greaterThan">
      <formula>0</formula>
    </cfRule>
  </conditionalFormatting>
  <conditionalFormatting sqref="F89">
    <cfRule type="cellIs" dxfId="3" priority="4" operator="greaterThan">
      <formula>0</formula>
    </cfRule>
  </conditionalFormatting>
  <conditionalFormatting sqref="E89:F89">
    <cfRule type="cellIs" dxfId="2" priority="3" operator="lessThan">
      <formula>0</formula>
    </cfRule>
  </conditionalFormatting>
  <conditionalFormatting sqref="H114">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'Background sheet -please keep'!$A$1:$A$4</xm:f>
          </x14:formula1>
          <xm:sqref>A48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7" sqref="A7:A9"/>
    </sheetView>
  </sheetViews>
  <sheetFormatPr defaultRowHeight="15" x14ac:dyDescent="0.25"/>
  <cols>
    <col min="1" max="1" width="34.140625" customWidth="1"/>
  </cols>
  <sheetData>
    <row r="1" spans="1:1" x14ac:dyDescent="0.25">
      <c r="A1" t="s">
        <v>36</v>
      </c>
    </row>
    <row r="2" spans="1:1" x14ac:dyDescent="0.25">
      <c r="A2" t="s">
        <v>7</v>
      </c>
    </row>
    <row r="3" spans="1:1" x14ac:dyDescent="0.25">
      <c r="A3" t="s">
        <v>28</v>
      </c>
    </row>
    <row r="4" spans="1:1" x14ac:dyDescent="0.25">
      <c r="A4" t="s">
        <v>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5691CB87DDBD64C8FD32887379E2DE8" ma:contentTypeVersion="21" ma:contentTypeDescription="Create a new document." ma:contentTypeScope="" ma:versionID="bc62939c1b9ec51d9cf0c8c46e90be38">
  <xsd:schema xmlns:xsd="http://www.w3.org/2001/XMLSchema" xmlns:xs="http://www.w3.org/2001/XMLSchema" xmlns:p="http://schemas.microsoft.com/office/2006/metadata/properties" xmlns:ns2="661984a6-da6b-4af6-b4e6-6f7afbeb6463" xmlns:ns3="1022d36a-6a71-4d72-80e6-4c293b40d898" targetNamespace="http://schemas.microsoft.com/office/2006/metadata/properties" ma:root="true" ma:fieldsID="18ea0c83e7f4aef3e764f39f7f191d07" ns2:_="" ns3:_="">
    <xsd:import namespace="661984a6-da6b-4af6-b4e6-6f7afbeb6463"/>
    <xsd:import namespace="1022d36a-6a71-4d72-80e6-4c293b40d898"/>
    <xsd:element name="properties">
      <xsd:complexType>
        <xsd:sequence>
          <xsd:element name="documentManagement">
            <xsd:complexType>
              <xsd:all>
                <xsd:element ref="ns2:MigrationWizId" minOccurs="0"/>
                <xsd:element ref="ns2:MigrationWizIdPermissions" minOccurs="0"/>
                <xsd:element ref="ns2:MigrationWizIdVersion" minOccurs="0"/>
                <xsd:element ref="ns2:MigrationWizIdPermissionLevels" minOccurs="0"/>
                <xsd:element ref="ns2:MigrationWizIdDocumentLibraryPermissions" minOccurs="0"/>
                <xsd:element ref="ns2:MigrationWizIdSecurityGroups"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2:MediaServiceLocation"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1984a6-da6b-4af6-b4e6-6f7afbeb6463"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Version" ma:index="10" nillable="true" ma:displayName="MigrationWizIdVersion" ma:internalName="MigrationWizIdVersion">
      <xsd:simpleType>
        <xsd:restriction base="dms:Text"/>
      </xsd:simpleType>
    </xsd:element>
    <xsd:element name="MigrationWizIdPermissionLevels" ma:index="11" nillable="true" ma:displayName="MigrationWizIdPermissionLevels" ma:internalName="MigrationWizIdPermissionLevels">
      <xsd:simpleType>
        <xsd:restriction base="dms:Text"/>
      </xsd:simpleType>
    </xsd:element>
    <xsd:element name="MigrationWizIdDocumentLibraryPermissions" ma:index="12" nillable="true" ma:displayName="MigrationWizIdDocumentLibraryPermissions" ma:internalName="MigrationWizIdDocumentLibraryPermissions">
      <xsd:simpleType>
        <xsd:restriction base="dms:Text"/>
      </xsd:simpleType>
    </xsd:element>
    <xsd:element name="MigrationWizIdSecurityGroups" ma:index="13" nillable="true" ma:displayName="MigrationWizIdSecurityGroups" ma:internalName="MigrationWizIdSecurityGroups">
      <xsd:simpleType>
        <xsd:restriction base="dms:Text"/>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1caf2c84-180d-4652-98d8-3773f236d385"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DateTaken" ma:index="24" nillable="true" ma:displayName="MediaServiceDateTaken" ma:hidden="true" ma:indexed="true" ma:internalName="MediaServiceDateTaken" ma:readOnly="true">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Location" ma:index="26" nillable="true" ma:displayName="Location" ma:description="" ma:indexed="true" ma:internalName="MediaServiceLocatio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LengthInSeconds" ma:index="2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022d36a-6a71-4d72-80e6-4c293b40d898"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def0c68a-87ea-4aa7-85bc-500b21e2a8f0}" ma:internalName="TaxCatchAll" ma:showField="CatchAllData" ma:web="1022d36a-6a71-4d72-80e6-4c293b40d8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igrationWizIdDocumentLibraryPermissions xmlns="661984a6-da6b-4af6-b4e6-6f7afbeb6463" xsi:nil="true"/>
    <MigrationWizIdSecurityGroups xmlns="661984a6-da6b-4af6-b4e6-6f7afbeb6463" xsi:nil="true"/>
    <MigrationWizId xmlns="661984a6-da6b-4af6-b4e6-6f7afbeb6463" xsi:nil="true"/>
    <MigrationWizIdVersion xmlns="661984a6-da6b-4af6-b4e6-6f7afbeb6463" xsi:nil="true"/>
    <TaxCatchAll xmlns="1022d36a-6a71-4d72-80e6-4c293b40d898" xsi:nil="true"/>
    <MigrationWizIdPermissions xmlns="661984a6-da6b-4af6-b4e6-6f7afbeb6463" xsi:nil="true"/>
    <lcf76f155ced4ddcb4097134ff3c332f xmlns="661984a6-da6b-4af6-b4e6-6f7afbeb6463">
      <Terms xmlns="http://schemas.microsoft.com/office/infopath/2007/PartnerControls"/>
    </lcf76f155ced4ddcb4097134ff3c332f>
    <MigrationWizIdPermissionLevels xmlns="661984a6-da6b-4af6-b4e6-6f7afbeb6463" xsi:nil="true"/>
  </documentManagement>
</p:properties>
</file>

<file path=customXml/itemProps1.xml><?xml version="1.0" encoding="utf-8"?>
<ds:datastoreItem xmlns:ds="http://schemas.openxmlformats.org/officeDocument/2006/customXml" ds:itemID="{75529BEB-905F-4871-AA9F-1FFE354F6034}"/>
</file>

<file path=customXml/itemProps2.xml><?xml version="1.0" encoding="utf-8"?>
<ds:datastoreItem xmlns:ds="http://schemas.openxmlformats.org/officeDocument/2006/customXml" ds:itemID="{FF16CD42-2ABF-4B3C-8ECB-6187EE9CA3EF}"/>
</file>

<file path=customXml/itemProps3.xml><?xml version="1.0" encoding="utf-8"?>
<ds:datastoreItem xmlns:ds="http://schemas.openxmlformats.org/officeDocument/2006/customXml" ds:itemID="{C07D226C-43ED-4B25-94D4-AC478A5D3E4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Prison</vt:lpstr>
      <vt:lpstr>Community</vt:lpstr>
      <vt:lpstr>Background sheet -please keep</vt:lpstr>
    </vt:vector>
  </TitlesOfParts>
  <Company>NHS NELCSU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tans</dc:creator>
  <cp:lastModifiedBy>Alvey, Alison</cp:lastModifiedBy>
  <dcterms:created xsi:type="dcterms:W3CDTF">2020-02-25T09:34:55Z</dcterms:created>
  <dcterms:modified xsi:type="dcterms:W3CDTF">2021-04-22T14:14:52Z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0x01010040A9C4598DB58649BA0DF4AC50B1CAF6</vt:lpwstr>
  </property>
  <property fmtid="{D5CDD505-2E9C-101B-9397-08002B2CF9AE}" pid="3" name="Order">
    <vt:r8>152000</vt:r8>
  </property>
</Properties>
</file>