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andy\projects\young-people-treatment-unit-cost\"/>
    </mc:Choice>
  </mc:AlternateContent>
  <xr:revisionPtr revIDLastSave="0" documentId="8_{EA8BDA50-4EFD-485C-9339-C5834D976910}" xr6:coauthVersionLast="47" xr6:coauthVersionMax="47" xr10:uidLastSave="{00000000-0000-0000-0000-000000000000}"/>
  <workbookProtection workbookAlgorithmName="SHA-512" workbookHashValue="w/Lnozde4RDnvZhA0miWdjPWkxKM0xrke/3XIehMI29vqmSsZzLpceEE/pR6ssZzNoyxVsFRdeK/28onDpORHA==" workbookSaltValue="Z48kxhFMfNlz5pHreh5Psw==" workbookSpinCount="100000" lockStructure="1"/>
  <bookViews>
    <workbookView xWindow="12" yWindow="12" windowWidth="23028" windowHeight="12948" firstSheet="1" activeTab="1" xr2:uid="{BF470BF5-BD99-4482-85DE-1F0B3700D03A}"/>
  </bookViews>
  <sheets>
    <sheet name="QA Log" sheetId="26" state="veryHidden" r:id="rId1"/>
    <sheet name="Front sheet" sheetId="11" r:id="rId2"/>
    <sheet name="Part 1 - Social cost-benefit" sheetId="21" r:id="rId3"/>
    <sheet name="Benefit tool" sheetId="25" r:id="rId4"/>
    <sheet name="Worked examples" sheetId="18" r:id="rId5"/>
    <sheet name="Sheet4" sheetId="23" state="veryHidden" r:id="rId6"/>
    <sheet name="Part 2 - UC database" sheetId="20" r:id="rId7"/>
    <sheet name="Social, YP &amp; kinship care" sheetId="6" r:id="rId8"/>
    <sheet name="Education" sheetId="7" r:id="rId9"/>
    <sheet name="Disorders" sheetId="8" r:id="rId10"/>
    <sheet name="Homelessness" sheetId="9" r:id="rId11"/>
    <sheet name="NHS &amp; LA treatment" sheetId="10" r:id="rId12"/>
    <sheet name="DA &amp; crime" sheetId="1" r:id="rId13"/>
    <sheet name="Part 3 - Annexes" sheetId="22" r:id="rId14"/>
    <sheet name="A1 GDP deflator" sheetId="2" r:id="rId15"/>
    <sheet name="A2 Discount" sheetId="17" r:id="rId16"/>
    <sheet name="A3 Market forces" sheetId="16" r:id="rId17"/>
    <sheet name="Kinship carers calcs" sheetId="5" state="veryHidden" r:id="rId18"/>
    <sheet name="Perinatal MH QALY calcs" sheetId="3" state="veryHidden" r:id="rId19"/>
    <sheet name="FASD calcs" sheetId="12" state="veryHidden" r:id="rId20"/>
    <sheet name="Crime cost calcs" sheetId="4" state="veryHidden" r:id="rId21"/>
  </sheets>
  <definedNames>
    <definedName name="_200506">'A1 GDP deflator'!$D$61</definedName>
    <definedName name="_201213">'A1 GDP deflator'!$D$68</definedName>
    <definedName name="_201516">'A1 GDP deflator'!$D$71</definedName>
    <definedName name="_201617">'A1 GDP deflator'!$D$72</definedName>
    <definedName name="_201718">'A1 GDP deflator'!$D$73</definedName>
    <definedName name="_201819">'A1 GDP deflator'!$D$74</definedName>
    <definedName name="_201920">'A1 GDP deflator'!$D$75</definedName>
    <definedName name="_202021">'A1 GDP deflator'!$D$76</definedName>
    <definedName name="_xlnm._FilterDatabase" localSheetId="12" hidden="1">'DA &amp; crime'!$C$4:$D$5</definedName>
    <definedName name="_xlnm._FilterDatabase" localSheetId="9" hidden="1">Disorders!$C$4:$D$28</definedName>
    <definedName name="_xlnm._FilterDatabase" localSheetId="8" hidden="1">Education!$C$4:$D$5</definedName>
    <definedName name="_xlnm._FilterDatabase" localSheetId="10" hidden="1">Homelessness!$C$4:$D$5</definedName>
    <definedName name="_xlnm._FilterDatabase" localSheetId="11" hidden="1">'NHS &amp; LA treatment'!$C$4:$D$5</definedName>
    <definedName name="_xlnm._FilterDatabase" localSheetId="7" hidden="1">'Social, YP &amp; kinship care'!$C$4:$D$5</definedName>
    <definedName name="_GoBack" localSheetId="1">'Front sheet'!$H$6</definedName>
    <definedName name="Disc">'Perinatal MH QALY calcs'!$C$2</definedName>
    <definedName name="Disc2">'Perinatal MH QALY calcs'!$C$3</definedName>
    <definedName name="_xlnm.Print_Area" localSheetId="14">'A1 GDP deflator'!$A$59:$H$74</definedName>
    <definedName name="QALYDisc">'Perinatal MH QALY calcs'!$D$2</definedName>
    <definedName name="QALYDisc2">'Perinatal MH QALY calcs'!$D$3</definedName>
    <definedName name="Select">Sheet4!$D$3:$D$5</definedName>
    <definedName name="y_n">Sheet4!$D$4:$D$5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6" i="2" l="1"/>
  <c r="M330" i="18" l="1"/>
  <c r="F11" i="9" l="1"/>
  <c r="K47" i="25"/>
  <c r="K46" i="25"/>
  <c r="K45" i="25"/>
  <c r="K44" i="25"/>
  <c r="K43" i="25"/>
  <c r="K42" i="25"/>
  <c r="F10" i="7" l="1"/>
  <c r="F17" i="7"/>
  <c r="H50" i="25" l="1"/>
  <c r="K49" i="25"/>
  <c r="K48" i="25"/>
  <c r="D47" i="25"/>
  <c r="D46" i="25"/>
  <c r="D45" i="25"/>
  <c r="D44" i="25"/>
  <c r="D43" i="25"/>
  <c r="D42" i="25"/>
  <c r="M36" i="25"/>
  <c r="D29" i="25"/>
  <c r="D28" i="25"/>
  <c r="L25" i="25"/>
  <c r="I25" i="25"/>
  <c r="H25" i="25"/>
  <c r="F338" i="18"/>
  <c r="K338" i="18" s="1"/>
  <c r="M75" i="18"/>
  <c r="M164" i="18"/>
  <c r="M247" i="18"/>
  <c r="S44" i="1"/>
  <c r="K343" i="18"/>
  <c r="H344" i="18"/>
  <c r="K342" i="18"/>
  <c r="K341" i="18"/>
  <c r="K340" i="18"/>
  <c r="K339" i="18"/>
  <c r="K337" i="18"/>
  <c r="J336" i="18"/>
  <c r="J320" i="18"/>
  <c r="J333" i="18" s="1"/>
  <c r="L319" i="18"/>
  <c r="I319" i="18"/>
  <c r="H319" i="18"/>
  <c r="F255" i="18"/>
  <c r="K255" i="18" s="1"/>
  <c r="J253" i="18"/>
  <c r="K260" i="18"/>
  <c r="K259" i="18"/>
  <c r="K258" i="18"/>
  <c r="K257" i="18"/>
  <c r="K256" i="18"/>
  <c r="K254" i="18"/>
  <c r="J237" i="18"/>
  <c r="L236" i="18"/>
  <c r="I236" i="18"/>
  <c r="H236" i="18"/>
  <c r="J250" i="18" l="1"/>
  <c r="J251" i="18"/>
  <c r="K261" i="18"/>
  <c r="K50" i="25"/>
  <c r="E53" i="25" s="1"/>
  <c r="J332" i="18"/>
  <c r="J334" i="18"/>
  <c r="J249" i="18"/>
  <c r="K344" i="18"/>
  <c r="E347" i="18" s="1"/>
  <c r="K177" i="18" l="1"/>
  <c r="K176" i="18"/>
  <c r="K175" i="18"/>
  <c r="K174" i="18"/>
  <c r="K173" i="18"/>
  <c r="K172" i="18"/>
  <c r="K171" i="18"/>
  <c r="K170" i="18"/>
  <c r="L153" i="18"/>
  <c r="I153" i="18"/>
  <c r="H153" i="18"/>
  <c r="H89" i="18"/>
  <c r="K178" i="18" l="1"/>
  <c r="K86" i="18" l="1"/>
  <c r="K85" i="18"/>
  <c r="K84" i="18"/>
  <c r="K83" i="18"/>
  <c r="K82" i="18"/>
  <c r="K81" i="18"/>
  <c r="K88" i="18"/>
  <c r="K87" i="18"/>
  <c r="L64" i="18"/>
  <c r="I64" i="18"/>
  <c r="H64" i="18"/>
  <c r="K89" i="18" l="1"/>
  <c r="E92" i="18" s="1"/>
  <c r="K27" i="8" l="1"/>
  <c r="F27" i="8"/>
  <c r="K5" i="8" l="1"/>
  <c r="O5" i="8" s="1"/>
  <c r="E18" i="20" l="1"/>
  <c r="E13" i="20"/>
  <c r="C13" i="5" l="1"/>
  <c r="C18" i="5"/>
  <c r="C8" i="5"/>
  <c r="C6" i="5"/>
  <c r="I37" i="4" l="1"/>
  <c r="J37" i="4" s="1"/>
  <c r="R6" i="4"/>
  <c r="K25" i="10" l="1"/>
  <c r="K24" i="10"/>
  <c r="K23" i="10"/>
  <c r="K21" i="10"/>
  <c r="K22" i="10"/>
  <c r="K20" i="10"/>
  <c r="K5" i="10" l="1"/>
  <c r="O5" i="10" s="1"/>
  <c r="I18" i="1"/>
  <c r="N18" i="1" s="1"/>
  <c r="H18" i="1"/>
  <c r="G22" i="1"/>
  <c r="F22" i="1" s="1"/>
  <c r="I21" i="1"/>
  <c r="N21" i="1"/>
  <c r="K21" i="1" s="1"/>
  <c r="H20" i="1"/>
  <c r="G19" i="1"/>
  <c r="F19" i="1" s="1"/>
  <c r="F21" i="1"/>
  <c r="I49" i="4"/>
  <c r="J49" i="4" s="1"/>
  <c r="I48" i="4"/>
  <c r="J48" i="4" s="1"/>
  <c r="I47" i="4"/>
  <c r="J47" i="4" s="1"/>
  <c r="I46" i="4"/>
  <c r="J46" i="4" s="1"/>
  <c r="I45" i="4"/>
  <c r="J45" i="4" s="1"/>
  <c r="I44" i="4"/>
  <c r="J44" i="4" s="1"/>
  <c r="I38" i="4"/>
  <c r="I39" i="4"/>
  <c r="J39" i="4" s="1"/>
  <c r="I40" i="4"/>
  <c r="J40" i="4" s="1"/>
  <c r="I41" i="4"/>
  <c r="J41" i="4" s="1"/>
  <c r="I42" i="4"/>
  <c r="J42" i="4" s="1"/>
  <c r="I43" i="4"/>
  <c r="J43" i="4" s="1"/>
  <c r="F16" i="1"/>
  <c r="I12" i="1"/>
  <c r="N12" i="1" s="1"/>
  <c r="H12" i="1"/>
  <c r="F15" i="1"/>
  <c r="F14" i="1"/>
  <c r="F13" i="1"/>
  <c r="F17" i="1" l="1"/>
  <c r="G12" i="1"/>
  <c r="F12" i="1" s="1"/>
  <c r="G18" i="1"/>
  <c r="J38" i="4"/>
  <c r="F20" i="1"/>
  <c r="H23" i="1"/>
  <c r="N15" i="1"/>
  <c r="F39" i="1"/>
  <c r="I38" i="1"/>
  <c r="N38" i="1" s="1"/>
  <c r="H38" i="1"/>
  <c r="G38" i="1"/>
  <c r="F42" i="1"/>
  <c r="N41" i="1"/>
  <c r="D37" i="1"/>
  <c r="K15" i="1" l="1"/>
  <c r="O32" i="25"/>
  <c r="O243" i="18"/>
  <c r="O71" i="18"/>
  <c r="O326" i="18"/>
  <c r="O160" i="18"/>
  <c r="F18" i="1"/>
  <c r="F23" i="1"/>
  <c r="F38" i="1"/>
  <c r="F40" i="1"/>
  <c r="F43" i="1"/>
  <c r="F41" i="1"/>
  <c r="K41" i="1"/>
  <c r="K5" i="1" l="1"/>
  <c r="O5" i="1" s="1"/>
  <c r="O7" i="7"/>
  <c r="F10" i="9"/>
  <c r="F7" i="9" s="1"/>
  <c r="G9" i="9"/>
  <c r="G8" i="9"/>
  <c r="K5" i="9"/>
  <c r="O5" i="9" s="1"/>
  <c r="G7" i="9" l="1"/>
  <c r="F16" i="7" l="1"/>
  <c r="F11" i="7"/>
  <c r="F6" i="7" s="1"/>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6" i="3"/>
  <c r="G16" i="7" l="1"/>
  <c r="G10" i="7"/>
  <c r="F28" i="8"/>
  <c r="F26" i="8"/>
  <c r="F25" i="8"/>
  <c r="F24" i="8"/>
  <c r="F23" i="8" l="1"/>
  <c r="K5" i="7"/>
  <c r="O5" i="7" s="1"/>
  <c r="G16" i="6"/>
  <c r="G17" i="6"/>
  <c r="G18" i="6"/>
  <c r="G19" i="6"/>
  <c r="G23" i="8" l="1"/>
  <c r="G14" i="6"/>
  <c r="G13" i="6"/>
  <c r="G10" i="6"/>
  <c r="G12" i="6"/>
  <c r="G11" i="6"/>
  <c r="G9" i="6"/>
  <c r="G8" i="6"/>
  <c r="G7" i="6"/>
  <c r="G20" i="8" l="1"/>
  <c r="F21" i="8"/>
  <c r="Z22" i="8"/>
  <c r="Z23" i="8" s="1"/>
  <c r="F22" i="8"/>
  <c r="G12" i="10"/>
  <c r="G13" i="10"/>
  <c r="J13" i="10"/>
  <c r="J14" i="10" s="1"/>
  <c r="J15" i="10" s="1"/>
  <c r="J16" i="10" s="1"/>
  <c r="J17" i="10" s="1"/>
  <c r="J18" i="10" s="1"/>
  <c r="G14" i="10"/>
  <c r="G15" i="10"/>
  <c r="G16" i="10"/>
  <c r="G17" i="10"/>
  <c r="G18" i="10"/>
  <c r="G19" i="10"/>
  <c r="G21" i="8" l="1"/>
  <c r="G22" i="8"/>
  <c r="K20" i="3"/>
  <c r="Z81" i="3"/>
  <c r="Z80" i="3" s="1"/>
  <c r="Z79" i="3" s="1"/>
  <c r="Z78" i="3" s="1"/>
  <c r="Z77" i="3" s="1"/>
  <c r="Z76" i="3" s="1"/>
  <c r="Z75" i="3" s="1"/>
  <c r="Z74" i="3" s="1"/>
  <c r="Z73" i="3" s="1"/>
  <c r="Z72" i="3" s="1"/>
  <c r="Z71" i="3" s="1"/>
  <c r="Z70" i="3" s="1"/>
  <c r="Z69" i="3" s="1"/>
  <c r="Z68" i="3" s="1"/>
  <c r="Z67" i="3" s="1"/>
  <c r="Z66" i="3" s="1"/>
  <c r="Z65" i="3" s="1"/>
  <c r="Z64" i="3" s="1"/>
  <c r="Z63" i="3" s="1"/>
  <c r="Z62" i="3" s="1"/>
  <c r="Z61" i="3" s="1"/>
  <c r="Z60" i="3" s="1"/>
  <c r="Z59" i="3" s="1"/>
  <c r="Z58" i="3" s="1"/>
  <c r="Z57" i="3" s="1"/>
  <c r="Z56" i="3" s="1"/>
  <c r="Z55" i="3" s="1"/>
  <c r="Z54" i="3" s="1"/>
  <c r="Z53" i="3" s="1"/>
  <c r="Z52" i="3" s="1"/>
  <c r="Z51" i="3" s="1"/>
  <c r="Z50" i="3" s="1"/>
  <c r="Z49" i="3" s="1"/>
  <c r="Z48" i="3" s="1"/>
  <c r="Z47" i="3" s="1"/>
  <c r="Z46" i="3" s="1"/>
  <c r="Z45" i="3" s="1"/>
  <c r="Z44" i="3" s="1"/>
  <c r="Z43" i="3" s="1"/>
  <c r="Z42" i="3" s="1"/>
  <c r="Z41" i="3" s="1"/>
  <c r="Z40" i="3" s="1"/>
  <c r="Z39" i="3" s="1"/>
  <c r="Z38" i="3" s="1"/>
  <c r="Z37" i="3" s="1"/>
  <c r="Z36" i="3" s="1"/>
  <c r="Z35" i="3" s="1"/>
  <c r="Z34" i="3" s="1"/>
  <c r="Z33" i="3" s="1"/>
  <c r="Z32" i="3" s="1"/>
  <c r="Z31" i="3" s="1"/>
  <c r="Z30" i="3" s="1"/>
  <c r="Z29" i="3" s="1"/>
  <c r="Z28" i="3" s="1"/>
  <c r="Z27" i="3" s="1"/>
  <c r="Z26" i="3" s="1"/>
  <c r="Z25" i="3" s="1"/>
  <c r="Z24" i="3" s="1"/>
  <c r="Z23" i="3" s="1"/>
  <c r="Z22" i="3" s="1"/>
  <c r="Z21" i="3" s="1"/>
  <c r="Z20" i="3" s="1"/>
  <c r="Z19" i="3" s="1"/>
  <c r="Z18" i="3" s="1"/>
  <c r="Z17" i="3" s="1"/>
  <c r="Z16" i="3" s="1"/>
  <c r="Z15" i="3" s="1"/>
  <c r="Z14" i="3" s="1"/>
  <c r="Z13" i="3" s="1"/>
  <c r="Z12" i="3" s="1"/>
  <c r="Z11" i="3" s="1"/>
  <c r="Z10" i="3" s="1"/>
  <c r="Z9" i="3" s="1"/>
  <c r="Z8" i="3" s="1"/>
  <c r="Z7" i="3" s="1"/>
  <c r="Z6" i="3" s="1"/>
  <c r="AA24" i="3" s="1"/>
  <c r="T81" i="3"/>
  <c r="T80" i="3" s="1"/>
  <c r="T79" i="3" s="1"/>
  <c r="T78" i="3" s="1"/>
  <c r="T77" i="3" s="1"/>
  <c r="T76" i="3" s="1"/>
  <c r="T75" i="3" s="1"/>
  <c r="T74" i="3" s="1"/>
  <c r="T73" i="3" s="1"/>
  <c r="T72" i="3" s="1"/>
  <c r="T71" i="3" s="1"/>
  <c r="T70" i="3" s="1"/>
  <c r="T69" i="3" s="1"/>
  <c r="T68" i="3" s="1"/>
  <c r="T67" i="3" s="1"/>
  <c r="T66" i="3" s="1"/>
  <c r="T65" i="3" s="1"/>
  <c r="T64" i="3" s="1"/>
  <c r="T63" i="3" s="1"/>
  <c r="T62" i="3" s="1"/>
  <c r="T61" i="3" s="1"/>
  <c r="T60" i="3" s="1"/>
  <c r="T59" i="3" s="1"/>
  <c r="T58" i="3" s="1"/>
  <c r="T57" i="3" s="1"/>
  <c r="T56" i="3" s="1"/>
  <c r="T55" i="3" s="1"/>
  <c r="T54" i="3" s="1"/>
  <c r="T53" i="3" s="1"/>
  <c r="T52" i="3" s="1"/>
  <c r="T51" i="3" s="1"/>
  <c r="T50" i="3" s="1"/>
  <c r="T49" i="3" s="1"/>
  <c r="T48" i="3" s="1"/>
  <c r="T47" i="3" s="1"/>
  <c r="T46" i="3" s="1"/>
  <c r="T45" i="3" s="1"/>
  <c r="T44" i="3" s="1"/>
  <c r="T43" i="3" s="1"/>
  <c r="T42" i="3" s="1"/>
  <c r="T41" i="3" s="1"/>
  <c r="T40" i="3" s="1"/>
  <c r="T39" i="3" s="1"/>
  <c r="T38" i="3" s="1"/>
  <c r="T37" i="3" s="1"/>
  <c r="T36" i="3" s="1"/>
  <c r="T35" i="3" s="1"/>
  <c r="T34" i="3" s="1"/>
  <c r="T33" i="3" s="1"/>
  <c r="T32" i="3" s="1"/>
  <c r="T31" i="3" s="1"/>
  <c r="T30" i="3" s="1"/>
  <c r="T29" i="3" s="1"/>
  <c r="T28" i="3" s="1"/>
  <c r="T27" i="3" s="1"/>
  <c r="T26" i="3" s="1"/>
  <c r="T25" i="3" s="1"/>
  <c r="T24" i="3" s="1"/>
  <c r="T23" i="3" s="1"/>
  <c r="T22" i="3" s="1"/>
  <c r="T21" i="3" s="1"/>
  <c r="T20" i="3" s="1"/>
  <c r="T19" i="3" s="1"/>
  <c r="T18" i="3" s="1"/>
  <c r="T17" i="3" s="1"/>
  <c r="T16" i="3" s="1"/>
  <c r="T15" i="3" s="1"/>
  <c r="T14" i="3" s="1"/>
  <c r="T13" i="3" s="1"/>
  <c r="T12" i="3" s="1"/>
  <c r="T11" i="3" s="1"/>
  <c r="T10" i="3" s="1"/>
  <c r="T9" i="3" s="1"/>
  <c r="T8" i="3" s="1"/>
  <c r="T7" i="3" s="1"/>
  <c r="T6" i="3" s="1"/>
  <c r="U24" i="3" s="1"/>
  <c r="R81" i="3"/>
  <c r="D40" i="12"/>
  <c r="D39" i="12"/>
  <c r="D38" i="12"/>
  <c r="D37" i="12"/>
  <c r="AA23" i="3" l="1"/>
  <c r="AA22" i="3" s="1"/>
  <c r="AA21" i="3" s="1"/>
  <c r="AA20" i="3" s="1"/>
  <c r="AA19" i="3" s="1"/>
  <c r="AA18" i="3" s="1"/>
  <c r="AA17" i="3" s="1"/>
  <c r="AA16" i="3" s="1"/>
  <c r="AA15" i="3" s="1"/>
  <c r="AA14" i="3" s="1"/>
  <c r="AA13" i="3" s="1"/>
  <c r="AA12" i="3" s="1"/>
  <c r="AA11" i="3" s="1"/>
  <c r="AA10" i="3" s="1"/>
  <c r="AA9" i="3" s="1"/>
  <c r="AA8" i="3" s="1"/>
  <c r="AA7" i="3" s="1"/>
  <c r="AA6" i="3" s="1"/>
  <c r="U23" i="3"/>
  <c r="U22" i="3" s="1"/>
  <c r="U21" i="3" s="1"/>
  <c r="U20" i="3" s="1"/>
  <c r="U19" i="3" s="1"/>
  <c r="U18" i="3" s="1"/>
  <c r="U17" i="3" s="1"/>
  <c r="U16" i="3" s="1"/>
  <c r="U15" i="3" s="1"/>
  <c r="U14" i="3" s="1"/>
  <c r="U13" i="3" s="1"/>
  <c r="U12" i="3" s="1"/>
  <c r="U11" i="3" s="1"/>
  <c r="U10" i="3" s="1"/>
  <c r="U9" i="3" s="1"/>
  <c r="U8" i="3" s="1"/>
  <c r="U7" i="3" s="1"/>
  <c r="U6" i="3" s="1"/>
  <c r="R80" i="3"/>
  <c r="R79" i="3" s="1"/>
  <c r="R78" i="3" s="1"/>
  <c r="R77" i="3" s="1"/>
  <c r="R76" i="3" s="1"/>
  <c r="R75" i="3" s="1"/>
  <c r="R74" i="3" s="1"/>
  <c r="R73" i="3" s="1"/>
  <c r="R72" i="3" s="1"/>
  <c r="R71" i="3" s="1"/>
  <c r="R70" i="3" s="1"/>
  <c r="R69" i="3" s="1"/>
  <c r="R68" i="3" s="1"/>
  <c r="R67" i="3" s="1"/>
  <c r="R66" i="3" s="1"/>
  <c r="R65" i="3" s="1"/>
  <c r="R64" i="3" s="1"/>
  <c r="R63" i="3" s="1"/>
  <c r="R62" i="3" s="1"/>
  <c r="R61" i="3" s="1"/>
  <c r="R60" i="3" s="1"/>
  <c r="R59" i="3" s="1"/>
  <c r="R58" i="3" s="1"/>
  <c r="R57" i="3" s="1"/>
  <c r="R56" i="3" s="1"/>
  <c r="X81" i="3"/>
  <c r="X80" i="3" s="1"/>
  <c r="X79" i="3" s="1"/>
  <c r="X78" i="3" s="1"/>
  <c r="X77" i="3" s="1"/>
  <c r="X76" i="3" s="1"/>
  <c r="X75" i="3" s="1"/>
  <c r="X74" i="3" s="1"/>
  <c r="X73" i="3" s="1"/>
  <c r="X72" i="3" s="1"/>
  <c r="X71" i="3" s="1"/>
  <c r="X70" i="3" s="1"/>
  <c r="X69" i="3" s="1"/>
  <c r="X68" i="3" s="1"/>
  <c r="X67" i="3" s="1"/>
  <c r="X66" i="3" s="1"/>
  <c r="X65" i="3" s="1"/>
  <c r="X64" i="3" s="1"/>
  <c r="X63" i="3" s="1"/>
  <c r="X62" i="3" s="1"/>
  <c r="X61" i="3" s="1"/>
  <c r="X60" i="3" s="1"/>
  <c r="X59" i="3" s="1"/>
  <c r="X58" i="3" s="1"/>
  <c r="X57" i="3" s="1"/>
  <c r="X56" i="3" s="1"/>
  <c r="X55" i="3" s="1"/>
  <c r="X54" i="3" s="1"/>
  <c r="X53" i="3" s="1"/>
  <c r="X52" i="3" s="1"/>
  <c r="X51" i="3" s="1"/>
  <c r="X50" i="3" s="1"/>
  <c r="X49" i="3" s="1"/>
  <c r="X48" i="3" s="1"/>
  <c r="X47" i="3" s="1"/>
  <c r="X46" i="3" s="1"/>
  <c r="X45" i="3" s="1"/>
  <c r="X44" i="3" s="1"/>
  <c r="X43" i="3" s="1"/>
  <c r="X42" i="3" s="1"/>
  <c r="X41" i="3" s="1"/>
  <c r="X40" i="3" s="1"/>
  <c r="X39" i="3" s="1"/>
  <c r="X38" i="3" s="1"/>
  <c r="X37" i="3" s="1"/>
  <c r="X36" i="3" s="1"/>
  <c r="X35" i="3" s="1"/>
  <c r="X34" i="3" s="1"/>
  <c r="X33" i="3" s="1"/>
  <c r="X32" i="3" s="1"/>
  <c r="X31" i="3" s="1"/>
  <c r="X30" i="3" s="1"/>
  <c r="X29" i="3" s="1"/>
  <c r="X28" i="3" s="1"/>
  <c r="X27" i="3" s="1"/>
  <c r="X26" i="3" s="1"/>
  <c r="X25" i="3" s="1"/>
  <c r="X24" i="3" s="1"/>
  <c r="X23" i="3" s="1"/>
  <c r="X22" i="3" s="1"/>
  <c r="X21" i="3" s="1"/>
  <c r="R55" i="3" l="1"/>
  <c r="R54" i="3" s="1"/>
  <c r="R53" i="3" s="1"/>
  <c r="R52" i="3" s="1"/>
  <c r="R51" i="3" s="1"/>
  <c r="R50" i="3" s="1"/>
  <c r="R49" i="3" s="1"/>
  <c r="R48" i="3" s="1"/>
  <c r="R47" i="3" s="1"/>
  <c r="R46" i="3" s="1"/>
  <c r="R45" i="3" s="1"/>
  <c r="R44" i="3" s="1"/>
  <c r="R43" i="3" s="1"/>
  <c r="R42" i="3" s="1"/>
  <c r="R41" i="3" s="1"/>
  <c r="R40" i="3" s="1"/>
  <c r="R39" i="3" s="1"/>
  <c r="R38" i="3" s="1"/>
  <c r="R37" i="3" s="1"/>
  <c r="R36" i="3" s="1"/>
  <c r="R35" i="3" s="1"/>
  <c r="R34" i="3" s="1"/>
  <c r="R33" i="3" s="1"/>
  <c r="R32" i="3" s="1"/>
  <c r="R31" i="3" s="1"/>
  <c r="R30" i="3" s="1"/>
  <c r="R29" i="3" s="1"/>
  <c r="R28" i="3" s="1"/>
  <c r="R27" i="3" s="1"/>
  <c r="R26" i="3" s="1"/>
  <c r="R25" i="3" s="1"/>
  <c r="R24" i="3" s="1"/>
  <c r="R23" i="3" s="1"/>
  <c r="R22" i="3" s="1"/>
  <c r="R21" i="3" s="1"/>
  <c r="R20" i="3" s="1"/>
  <c r="R19" i="3" s="1"/>
  <c r="J15" i="8"/>
  <c r="J16" i="8" s="1"/>
  <c r="J17" i="8" s="1"/>
  <c r="R18" i="3" l="1"/>
  <c r="R17" i="3" s="1"/>
  <c r="R16" i="3" s="1"/>
  <c r="R15" i="3" s="1"/>
  <c r="R14" i="3" s="1"/>
  <c r="R13" i="3" s="1"/>
  <c r="R12" i="3" s="1"/>
  <c r="R11" i="3" s="1"/>
  <c r="R10" i="3" s="1"/>
  <c r="R9" i="3" s="1"/>
  <c r="R8" i="3" s="1"/>
  <c r="R7" i="3" s="1"/>
  <c r="J19" i="8"/>
  <c r="J18" i="8"/>
  <c r="G7" i="7" l="1"/>
  <c r="F20" i="6" l="1"/>
  <c r="K20" i="6" s="1"/>
  <c r="G11" i="10"/>
  <c r="G10" i="10"/>
  <c r="G9" i="10"/>
  <c r="G8" i="10"/>
  <c r="G7" i="10"/>
  <c r="G6" i="10"/>
  <c r="G6" i="9"/>
  <c r="I15" i="9"/>
  <c r="U14" i="9"/>
  <c r="G14" i="9"/>
  <c r="G13" i="9"/>
  <c r="H12" i="9"/>
  <c r="U14" i="7"/>
  <c r="G13" i="7"/>
  <c r="G11" i="7"/>
  <c r="G6" i="6"/>
  <c r="G15" i="6"/>
  <c r="K5" i="6"/>
  <c r="O5" i="6" s="1"/>
  <c r="M20" i="6" l="1"/>
  <c r="O20" i="6" s="1"/>
  <c r="N18" i="25"/>
  <c r="N312" i="18"/>
  <c r="N229" i="18"/>
  <c r="N146" i="18"/>
  <c r="N57" i="18"/>
  <c r="I11" i="9"/>
  <c r="I10" i="9"/>
  <c r="G11" i="9"/>
  <c r="H11" i="9"/>
  <c r="F12" i="7"/>
  <c r="G6" i="7"/>
  <c r="H20" i="6"/>
  <c r="G17" i="7"/>
  <c r="I16" i="3"/>
  <c r="I20" i="3" s="1"/>
  <c r="H16" i="3"/>
  <c r="G16" i="3"/>
  <c r="I7" i="9" l="1"/>
  <c r="G12" i="7"/>
  <c r="R6" i="3"/>
  <c r="S24" i="3" s="1"/>
  <c r="I37" i="1"/>
  <c r="N37" i="1" s="1"/>
  <c r="H37" i="1"/>
  <c r="G37" i="1"/>
  <c r="S23" i="3" l="1"/>
  <c r="F37" i="1"/>
  <c r="C11" i="5" l="1"/>
  <c r="C19" i="5" l="1"/>
  <c r="F35" i="1"/>
  <c r="N34" i="1"/>
  <c r="F33" i="1"/>
  <c r="H31" i="1"/>
  <c r="F29" i="1"/>
  <c r="N28" i="1"/>
  <c r="I6" i="1"/>
  <c r="F27" i="1"/>
  <c r="F26" i="1"/>
  <c r="I31" i="1"/>
  <c r="N31" i="1" s="1"/>
  <c r="I25" i="1"/>
  <c r="N25" i="1" s="1"/>
  <c r="H25" i="1"/>
  <c r="O246" i="18" l="1"/>
  <c r="O35" i="25"/>
  <c r="O329" i="18"/>
  <c r="O163" i="18"/>
  <c r="O74" i="18"/>
  <c r="O245" i="18"/>
  <c r="O328" i="18"/>
  <c r="O34" i="25"/>
  <c r="O162" i="18"/>
  <c r="O73" i="18"/>
  <c r="N6" i="1"/>
  <c r="H21" i="6"/>
  <c r="F28" i="1"/>
  <c r="F34" i="1"/>
  <c r="F6" i="1"/>
  <c r="F32" i="1"/>
  <c r="G25" i="1"/>
  <c r="F25" i="1" l="1"/>
  <c r="G31" i="1"/>
  <c r="F30" i="1" l="1"/>
  <c r="F36" i="1"/>
  <c r="F31" i="1"/>
  <c r="F10" i="1" l="1"/>
  <c r="F9" i="1"/>
  <c r="I9" i="1"/>
  <c r="N9" i="1" s="1"/>
  <c r="H8" i="1"/>
  <c r="G7" i="1"/>
  <c r="C3" i="3"/>
  <c r="K15" i="3"/>
  <c r="O324" i="18" l="1"/>
  <c r="O241" i="18"/>
  <c r="O30" i="25"/>
  <c r="O158" i="18"/>
  <c r="O69" i="18"/>
  <c r="V18" i="3"/>
  <c r="V17" i="3" s="1"/>
  <c r="V16" i="3" s="1"/>
  <c r="V15" i="3" s="1"/>
  <c r="V14" i="3" s="1"/>
  <c r="V13" i="3" s="1"/>
  <c r="V12" i="3" s="1"/>
  <c r="V11" i="3" s="1"/>
  <c r="V10" i="3" s="1"/>
  <c r="V9" i="3" s="1"/>
  <c r="V8" i="3" s="1"/>
  <c r="V7" i="3" s="1"/>
  <c r="V6" i="3" s="1"/>
  <c r="W19" i="3" s="1"/>
  <c r="X20" i="3"/>
  <c r="X19" i="3" s="1"/>
  <c r="X18" i="3" s="1"/>
  <c r="X17" i="3" s="1"/>
  <c r="X16" i="3" s="1"/>
  <c r="X15" i="3" s="1"/>
  <c r="X14" i="3" s="1"/>
  <c r="X13" i="3" s="1"/>
  <c r="X12" i="3" s="1"/>
  <c r="X11" i="3" s="1"/>
  <c r="X10" i="3" s="1"/>
  <c r="X9" i="3" s="1"/>
  <c r="X8" i="3" s="1"/>
  <c r="X7" i="3" s="1"/>
  <c r="X6" i="3" s="1"/>
  <c r="Y24" i="3" s="1"/>
  <c r="K14" i="3"/>
  <c r="K13" i="3" s="1"/>
  <c r="K12" i="3" s="1"/>
  <c r="K11" i="3" s="1"/>
  <c r="K10" i="3" s="1"/>
  <c r="K9" i="3" s="1"/>
  <c r="K8" i="3" s="1"/>
  <c r="K7" i="3" s="1"/>
  <c r="K6" i="3" s="1"/>
  <c r="L6" i="3" s="1"/>
  <c r="L16" i="3" s="1"/>
  <c r="L20" i="3" s="1"/>
  <c r="Q20" i="6"/>
  <c r="P7" i="7"/>
  <c r="N18" i="3"/>
  <c r="N17" i="3" s="1"/>
  <c r="N16" i="3" s="1"/>
  <c r="N15" i="3" s="1"/>
  <c r="N14" i="3" s="1"/>
  <c r="N13" i="3" s="1"/>
  <c r="N12" i="3" s="1"/>
  <c r="N11" i="3" s="1"/>
  <c r="P23" i="3"/>
  <c r="P22" i="3" s="1"/>
  <c r="P21" i="3" s="1"/>
  <c r="P20" i="3" s="1"/>
  <c r="P19" i="3" s="1"/>
  <c r="P18" i="3" s="1"/>
  <c r="P17" i="3" s="1"/>
  <c r="P16" i="3" s="1"/>
  <c r="P15" i="3" s="1"/>
  <c r="P14" i="3" s="1"/>
  <c r="P13" i="3" s="1"/>
  <c r="P12" i="3" s="1"/>
  <c r="P11" i="3" s="1"/>
  <c r="P10" i="3" s="1"/>
  <c r="P9" i="3" s="1"/>
  <c r="P8" i="3" s="1"/>
  <c r="P7" i="3" s="1"/>
  <c r="H15" i="3"/>
  <c r="H14" i="3" s="1"/>
  <c r="H13" i="3" s="1"/>
  <c r="H12" i="3" s="1"/>
  <c r="H11" i="3" s="1"/>
  <c r="H10" i="3" s="1"/>
  <c r="H9" i="3" s="1"/>
  <c r="H8" i="3" s="1"/>
  <c r="H7" i="3" s="1"/>
  <c r="H6" i="3" s="1"/>
  <c r="I15" i="3"/>
  <c r="I14" i="3" s="1"/>
  <c r="I13" i="3" s="1"/>
  <c r="I12" i="3" s="1"/>
  <c r="I11" i="3" s="1"/>
  <c r="I10" i="3" s="1"/>
  <c r="I9" i="3" s="1"/>
  <c r="I8" i="3" s="1"/>
  <c r="I7" i="3" s="1"/>
  <c r="I6" i="3" s="1"/>
  <c r="J6" i="3" s="1"/>
  <c r="G15" i="3"/>
  <c r="G14" i="3" s="1"/>
  <c r="G13" i="3" s="1"/>
  <c r="G12" i="3" s="1"/>
  <c r="G11" i="3" s="1"/>
  <c r="G10" i="3" s="1"/>
  <c r="G9" i="3" s="1"/>
  <c r="G8" i="3" s="1"/>
  <c r="G7" i="3" s="1"/>
  <c r="G6" i="3" s="1"/>
  <c r="G10" i="1"/>
  <c r="F8" i="1"/>
  <c r="F11" i="1" s="1"/>
  <c r="H11" i="1" s="1"/>
  <c r="N14" i="8" l="1"/>
  <c r="R15" i="8"/>
  <c r="N16" i="8"/>
  <c r="Y23" i="3"/>
  <c r="Y22" i="3" s="1"/>
  <c r="Y21" i="3" s="1"/>
  <c r="Y20" i="3" s="1"/>
  <c r="Y19" i="3" s="1"/>
  <c r="Y18" i="3" s="1"/>
  <c r="Y17" i="3" s="1"/>
  <c r="Y16" i="3" s="1"/>
  <c r="Y15" i="3" s="1"/>
  <c r="Y14" i="3" s="1"/>
  <c r="Y13" i="3" s="1"/>
  <c r="Y12" i="3" s="1"/>
  <c r="Y11" i="3" s="1"/>
  <c r="Y10" i="3" s="1"/>
  <c r="Y9" i="3" s="1"/>
  <c r="Y8" i="3" s="1"/>
  <c r="Y7" i="3" s="1"/>
  <c r="Y6" i="3" s="1"/>
  <c r="W18" i="3"/>
  <c r="W17" i="3" s="1"/>
  <c r="W16" i="3" s="1"/>
  <c r="W15" i="3" s="1"/>
  <c r="W14" i="3" s="1"/>
  <c r="W13" i="3" s="1"/>
  <c r="W12" i="3" s="1"/>
  <c r="W11" i="3" s="1"/>
  <c r="W10" i="3" s="1"/>
  <c r="W9" i="3" s="1"/>
  <c r="W8" i="3" s="1"/>
  <c r="W7" i="3" s="1"/>
  <c r="W6" i="3" s="1"/>
  <c r="P6" i="3"/>
  <c r="Q24" i="3" s="1"/>
  <c r="N10" i="3"/>
  <c r="N9" i="3" s="1"/>
  <c r="N8" i="3" s="1"/>
  <c r="O317" i="18" l="1"/>
  <c r="O23" i="25"/>
  <c r="O234" i="18"/>
  <c r="O151" i="18"/>
  <c r="O62" i="18"/>
  <c r="N15" i="8"/>
  <c r="Q23" i="3"/>
  <c r="Q22" i="3" s="1"/>
  <c r="Q21" i="3" s="1"/>
  <c r="Q20" i="3" s="1"/>
  <c r="Q19" i="3" s="1"/>
  <c r="Q18" i="3" s="1"/>
  <c r="Q17" i="3" s="1"/>
  <c r="Q16" i="3" s="1"/>
  <c r="Q15" i="3" s="1"/>
  <c r="Q14" i="3" s="1"/>
  <c r="Q13" i="3" s="1"/>
  <c r="Q12" i="3" s="1"/>
  <c r="Q11" i="3" s="1"/>
  <c r="Q10" i="3" s="1"/>
  <c r="Q9" i="3" s="1"/>
  <c r="Q8" i="3" s="1"/>
  <c r="Q7" i="3" s="1"/>
  <c r="Q6" i="3" s="1"/>
  <c r="N7" i="3"/>
  <c r="N6" i="3" s="1"/>
  <c r="O19" i="3" s="1"/>
  <c r="S22" i="3" l="1"/>
  <c r="S21" i="3" s="1"/>
  <c r="S20" i="3" s="1"/>
  <c r="S19" i="3" s="1"/>
  <c r="S18" i="3" s="1"/>
  <c r="S17" i="3" s="1"/>
  <c r="S16" i="3" s="1"/>
  <c r="S15" i="3" s="1"/>
  <c r="S14" i="3" s="1"/>
  <c r="S13" i="3" s="1"/>
  <c r="S12" i="3" s="1"/>
  <c r="S11" i="3" s="1"/>
  <c r="S10" i="3" s="1"/>
  <c r="S9" i="3" s="1"/>
  <c r="S8" i="3" s="1"/>
  <c r="S7" i="3" s="1"/>
  <c r="S6" i="3" s="1"/>
  <c r="O18" i="3"/>
  <c r="O17" i="3" s="1"/>
  <c r="O16" i="3" s="1"/>
  <c r="O15" i="3" s="1"/>
  <c r="O14" i="3" s="1"/>
  <c r="O13" i="3" s="1"/>
  <c r="O12" i="3" s="1"/>
  <c r="O11" i="3" s="1"/>
  <c r="O10" i="3" s="1"/>
  <c r="O9" i="3" s="1"/>
  <c r="O8" i="3" s="1"/>
  <c r="O7" i="3" s="1"/>
  <c r="O6" i="3" s="1"/>
  <c r="L6" i="9" l="1"/>
  <c r="P19" i="8"/>
  <c r="Q13" i="8"/>
  <c r="K18" i="10"/>
  <c r="L18" i="10" s="1"/>
  <c r="L22" i="1"/>
  <c r="K22" i="1" s="1"/>
  <c r="M6" i="1"/>
  <c r="L6" i="1"/>
  <c r="M14" i="1"/>
  <c r="L19" i="1"/>
  <c r="K19" i="1" s="1"/>
  <c r="M18" i="1"/>
  <c r="M20" i="1"/>
  <c r="K20" i="1" s="1"/>
  <c r="M12" i="1"/>
  <c r="L13" i="1"/>
  <c r="L32" i="25" s="1"/>
  <c r="L16" i="1"/>
  <c r="M40" i="1"/>
  <c r="K40" i="1" s="1"/>
  <c r="M38" i="1"/>
  <c r="L18" i="1"/>
  <c r="L12" i="1"/>
  <c r="M17" i="1"/>
  <c r="K17" i="1" s="1"/>
  <c r="M23" i="1"/>
  <c r="K23" i="1" s="1"/>
  <c r="L38" i="1"/>
  <c r="L39" i="1"/>
  <c r="K39" i="1" s="1"/>
  <c r="L42" i="1"/>
  <c r="K42" i="1" s="1"/>
  <c r="K17" i="6"/>
  <c r="L17" i="6" s="1"/>
  <c r="K18" i="6"/>
  <c r="L18" i="6" s="1"/>
  <c r="K19" i="6"/>
  <c r="L19" i="6" s="1"/>
  <c r="K16" i="6"/>
  <c r="L16" i="6" s="1"/>
  <c r="K10" i="6"/>
  <c r="L10" i="6" s="1"/>
  <c r="H177" i="18" s="1"/>
  <c r="K11" i="6"/>
  <c r="L11" i="6" s="1"/>
  <c r="K12" i="6"/>
  <c r="L12" i="6" s="1"/>
  <c r="K13" i="6"/>
  <c r="L13" i="6" s="1"/>
  <c r="K14" i="6"/>
  <c r="L14" i="6" s="1"/>
  <c r="K15" i="6"/>
  <c r="L15" i="6" s="1"/>
  <c r="K9" i="6"/>
  <c r="L9" i="6" s="1"/>
  <c r="K8" i="6"/>
  <c r="L8" i="6" s="1"/>
  <c r="O15" i="7"/>
  <c r="P15" i="7" s="1"/>
  <c r="O14" i="7"/>
  <c r="Q14" i="7" s="1"/>
  <c r="Q12" i="7" s="1"/>
  <c r="O8" i="7"/>
  <c r="Q8" i="7" s="1"/>
  <c r="O9" i="7"/>
  <c r="P9" i="7" s="1"/>
  <c r="O10" i="7"/>
  <c r="Q10" i="7" s="1"/>
  <c r="K7" i="7"/>
  <c r="Q14" i="8"/>
  <c r="M14" i="8" s="1"/>
  <c r="P14" i="8"/>
  <c r="L14" i="8" s="1"/>
  <c r="K15" i="9"/>
  <c r="K12" i="9"/>
  <c r="K9" i="9"/>
  <c r="K8" i="9"/>
  <c r="P8" i="8"/>
  <c r="O8" i="8" s="1"/>
  <c r="L8" i="9"/>
  <c r="L9" i="9"/>
  <c r="K10" i="9"/>
  <c r="K10" i="7"/>
  <c r="L10" i="7" s="1"/>
  <c r="K16" i="7"/>
  <c r="O16" i="7" s="1"/>
  <c r="P16" i="7" s="1"/>
  <c r="L16" i="7"/>
  <c r="K23" i="8"/>
  <c r="K7" i="6"/>
  <c r="L7" i="6"/>
  <c r="H141" i="18" s="1"/>
  <c r="K12" i="10"/>
  <c r="L12" i="10" s="1"/>
  <c r="K13" i="10"/>
  <c r="L13" i="10" s="1"/>
  <c r="K14" i="10"/>
  <c r="L14" i="10" s="1"/>
  <c r="K15" i="10"/>
  <c r="L15" i="10" s="1"/>
  <c r="K16" i="10"/>
  <c r="L16" i="10" s="1"/>
  <c r="K17" i="10"/>
  <c r="L17" i="10" s="1"/>
  <c r="K19" i="10"/>
  <c r="L19" i="10" s="1"/>
  <c r="K21" i="8"/>
  <c r="K22" i="8"/>
  <c r="Q18" i="8"/>
  <c r="P18" i="8"/>
  <c r="Q11" i="8"/>
  <c r="P11" i="8"/>
  <c r="K28" i="8"/>
  <c r="Q19" i="8"/>
  <c r="M19" i="8" s="1"/>
  <c r="Q17" i="8"/>
  <c r="P17" i="8"/>
  <c r="P16" i="8"/>
  <c r="Q16" i="8"/>
  <c r="K11" i="10"/>
  <c r="L11" i="10" s="1"/>
  <c r="K10" i="10"/>
  <c r="L10" i="10" s="1"/>
  <c r="K9" i="10"/>
  <c r="L9" i="10" s="1"/>
  <c r="K8" i="10"/>
  <c r="L8" i="10" s="1"/>
  <c r="K7" i="10"/>
  <c r="L7" i="10" s="1"/>
  <c r="K6" i="10"/>
  <c r="L6" i="10" s="1"/>
  <c r="K6" i="9"/>
  <c r="K14" i="9"/>
  <c r="K13" i="9"/>
  <c r="P12" i="8"/>
  <c r="Q10" i="8"/>
  <c r="P10" i="8"/>
  <c r="K13" i="7"/>
  <c r="K6" i="6"/>
  <c r="L6" i="6"/>
  <c r="L11" i="7"/>
  <c r="L13" i="9"/>
  <c r="N15" i="9"/>
  <c r="N11" i="9" s="1"/>
  <c r="M12" i="9"/>
  <c r="L13" i="7"/>
  <c r="K17" i="7"/>
  <c r="O17" i="7" s="1"/>
  <c r="P17" i="7" s="1"/>
  <c r="K11" i="7"/>
  <c r="O11" i="7" s="1"/>
  <c r="L14" i="9"/>
  <c r="G20" i="3"/>
  <c r="H20" i="3"/>
  <c r="L17" i="7"/>
  <c r="N10" i="9"/>
  <c r="K24" i="1"/>
  <c r="L37" i="1"/>
  <c r="M37" i="1"/>
  <c r="M31" i="1"/>
  <c r="K21" i="6"/>
  <c r="L31" i="1"/>
  <c r="N8" i="8"/>
  <c r="M33" i="1"/>
  <c r="L32" i="1"/>
  <c r="M25" i="1"/>
  <c r="L29" i="1"/>
  <c r="M27" i="1"/>
  <c r="L35" i="1"/>
  <c r="L26" i="1"/>
  <c r="M30" i="1"/>
  <c r="L25" i="1"/>
  <c r="L7" i="1"/>
  <c r="M8" i="1"/>
  <c r="L10" i="1"/>
  <c r="M65" i="18" l="1"/>
  <c r="M26" i="25"/>
  <c r="M154" i="18"/>
  <c r="K6" i="1"/>
  <c r="L12" i="7"/>
  <c r="K38" i="1"/>
  <c r="J26" i="25"/>
  <c r="J38" i="25" s="1"/>
  <c r="J154" i="18"/>
  <c r="J65" i="18"/>
  <c r="M21" i="6"/>
  <c r="N230" i="18"/>
  <c r="N19" i="25"/>
  <c r="N313" i="18"/>
  <c r="N147" i="18"/>
  <c r="N58" i="18"/>
  <c r="H14" i="25"/>
  <c r="H308" i="18"/>
  <c r="H225" i="18"/>
  <c r="H142" i="18"/>
  <c r="H53" i="18"/>
  <c r="H13" i="25"/>
  <c r="H307" i="18"/>
  <c r="H224" i="18"/>
  <c r="H52" i="18"/>
  <c r="L26" i="25"/>
  <c r="H227" i="18"/>
  <c r="H16" i="25"/>
  <c r="H310" i="18"/>
  <c r="H55" i="18"/>
  <c r="H144" i="18"/>
  <c r="H311" i="18"/>
  <c r="H228" i="18"/>
  <c r="H17" i="25"/>
  <c r="H145" i="18"/>
  <c r="H56" i="18"/>
  <c r="L29" i="25"/>
  <c r="L323" i="18"/>
  <c r="L240" i="18"/>
  <c r="L157" i="18"/>
  <c r="L68" i="18"/>
  <c r="H226" i="18"/>
  <c r="H15" i="25"/>
  <c r="H260" i="18"/>
  <c r="H261" i="18" s="1"/>
  <c r="E264" i="18" s="1"/>
  <c r="H309" i="18"/>
  <c r="H178" i="18"/>
  <c r="E181" i="18" s="1"/>
  <c r="H143" i="18"/>
  <c r="H54" i="18"/>
  <c r="L239" i="18"/>
  <c r="L28" i="25"/>
  <c r="L322" i="18"/>
  <c r="L156" i="18"/>
  <c r="L67" i="18"/>
  <c r="I315" i="18"/>
  <c r="I21" i="25"/>
  <c r="I232" i="18"/>
  <c r="I149" i="18"/>
  <c r="I60" i="18"/>
  <c r="H21" i="25"/>
  <c r="H232" i="18"/>
  <c r="H315" i="18"/>
  <c r="H149" i="18"/>
  <c r="H60" i="18"/>
  <c r="L21" i="25"/>
  <c r="L232" i="18"/>
  <c r="L315" i="18"/>
  <c r="L149" i="18"/>
  <c r="L60" i="18"/>
  <c r="L314" i="18"/>
  <c r="L231" i="18"/>
  <c r="L20" i="25"/>
  <c r="L148" i="18"/>
  <c r="L59" i="18"/>
  <c r="H20" i="25"/>
  <c r="H314" i="18"/>
  <c r="H231" i="18"/>
  <c r="H148" i="18"/>
  <c r="H59" i="18"/>
  <c r="M320" i="18"/>
  <c r="M237" i="18"/>
  <c r="O26" i="25"/>
  <c r="O320" i="18"/>
  <c r="O237" i="18"/>
  <c r="O154" i="18"/>
  <c r="O65" i="18"/>
  <c r="L320" i="18"/>
  <c r="L237" i="18"/>
  <c r="L154" i="18"/>
  <c r="L65" i="18"/>
  <c r="N317" i="18"/>
  <c r="N23" i="25"/>
  <c r="N234" i="18"/>
  <c r="N151" i="18"/>
  <c r="N62" i="18"/>
  <c r="M329" i="18"/>
  <c r="M246" i="18"/>
  <c r="M35" i="25"/>
  <c r="M163" i="18"/>
  <c r="M74" i="18"/>
  <c r="L35" i="25"/>
  <c r="L329" i="18"/>
  <c r="L246" i="18"/>
  <c r="L163" i="18"/>
  <c r="L74" i="18"/>
  <c r="L328" i="18"/>
  <c r="L245" i="18"/>
  <c r="L34" i="25"/>
  <c r="L162" i="18"/>
  <c r="L73" i="18"/>
  <c r="N34" i="25"/>
  <c r="N245" i="18"/>
  <c r="N328" i="18"/>
  <c r="N162" i="18"/>
  <c r="N73" i="18"/>
  <c r="M328" i="18"/>
  <c r="M245" i="18"/>
  <c r="M34" i="25"/>
  <c r="M162" i="18"/>
  <c r="M73" i="18"/>
  <c r="K16" i="1"/>
  <c r="M160" i="18"/>
  <c r="M326" i="18"/>
  <c r="M243" i="18"/>
  <c r="M71" i="18"/>
  <c r="M32" i="25"/>
  <c r="K13" i="1"/>
  <c r="L71" i="18"/>
  <c r="L160" i="18"/>
  <c r="L326" i="18"/>
  <c r="L243" i="18"/>
  <c r="K14" i="1"/>
  <c r="N326" i="18"/>
  <c r="N243" i="18"/>
  <c r="N32" i="25"/>
  <c r="N71" i="18"/>
  <c r="N160" i="18"/>
  <c r="M30" i="25"/>
  <c r="M324" i="18"/>
  <c r="M241" i="18"/>
  <c r="M158" i="18"/>
  <c r="M69" i="18"/>
  <c r="L324" i="18"/>
  <c r="L241" i="18"/>
  <c r="L30" i="25"/>
  <c r="L158" i="18"/>
  <c r="L69" i="18"/>
  <c r="L11" i="9"/>
  <c r="R7" i="8"/>
  <c r="K11" i="9"/>
  <c r="K18" i="1"/>
  <c r="K37" i="1"/>
  <c r="M43" i="1"/>
  <c r="K43" i="1" s="1"/>
  <c r="N9" i="8"/>
  <c r="K9" i="8" s="1"/>
  <c r="O9" i="8"/>
  <c r="N7" i="9"/>
  <c r="M6" i="8"/>
  <c r="L6" i="8"/>
  <c r="O6" i="7"/>
  <c r="P11" i="7"/>
  <c r="P6" i="7" s="1"/>
  <c r="M11" i="9"/>
  <c r="O13" i="7"/>
  <c r="K12" i="7"/>
  <c r="O10" i="8"/>
  <c r="Q7" i="8"/>
  <c r="O12" i="8"/>
  <c r="O13" i="8"/>
  <c r="M16" i="8"/>
  <c r="M15" i="8" s="1"/>
  <c r="Q15" i="8"/>
  <c r="L16" i="8"/>
  <c r="P15" i="8"/>
  <c r="O16" i="8"/>
  <c r="O17" i="8"/>
  <c r="L19" i="8"/>
  <c r="O19" i="8"/>
  <c r="M24" i="8"/>
  <c r="K26" i="8"/>
  <c r="L24" i="8"/>
  <c r="K25" i="8"/>
  <c r="O11" i="8"/>
  <c r="O18" i="8"/>
  <c r="K20" i="8"/>
  <c r="L7" i="9"/>
  <c r="L8" i="8"/>
  <c r="P7" i="8"/>
  <c r="L7" i="7"/>
  <c r="K6" i="7"/>
  <c r="Q6" i="7"/>
  <c r="K12" i="1"/>
  <c r="K9" i="1"/>
  <c r="K10" i="1"/>
  <c r="K7" i="1"/>
  <c r="K8" i="1"/>
  <c r="K25" i="1"/>
  <c r="M36" i="1"/>
  <c r="N163" i="18" s="1"/>
  <c r="K29" i="1"/>
  <c r="K26" i="1"/>
  <c r="K35" i="1"/>
  <c r="K28" i="1"/>
  <c r="K27" i="1"/>
  <c r="K33" i="1"/>
  <c r="K31" i="1"/>
  <c r="K30" i="1"/>
  <c r="K34" i="1"/>
  <c r="K32" i="1"/>
  <c r="J167" i="18" l="1"/>
  <c r="J168" i="18"/>
  <c r="J166" i="18"/>
  <c r="J40" i="25"/>
  <c r="J39" i="25"/>
  <c r="J79" i="18"/>
  <c r="J78" i="18"/>
  <c r="J77" i="18"/>
  <c r="O150" i="18"/>
  <c r="O167" i="18" s="1"/>
  <c r="O233" i="18"/>
  <c r="O251" i="18" s="1"/>
  <c r="I20" i="25"/>
  <c r="I231" i="18"/>
  <c r="I314" i="18"/>
  <c r="I148" i="18"/>
  <c r="I59" i="18"/>
  <c r="L234" i="18"/>
  <c r="L317" i="18"/>
  <c r="L23" i="25"/>
  <c r="L151" i="18"/>
  <c r="L62" i="18"/>
  <c r="O22" i="25"/>
  <c r="O38" i="25" s="1"/>
  <c r="L233" i="18"/>
  <c r="L22" i="25"/>
  <c r="L316" i="18"/>
  <c r="L150" i="18"/>
  <c r="L61" i="18"/>
  <c r="O61" i="18"/>
  <c r="O316" i="18"/>
  <c r="N329" i="18"/>
  <c r="N246" i="18"/>
  <c r="N74" i="18"/>
  <c r="N35" i="25"/>
  <c r="L6" i="7"/>
  <c r="K19" i="8"/>
  <c r="O15" i="8"/>
  <c r="L7" i="8"/>
  <c r="N7" i="8"/>
  <c r="K8" i="8"/>
  <c r="O7" i="8"/>
  <c r="K24" i="8"/>
  <c r="L15" i="8"/>
  <c r="K16" i="8"/>
  <c r="M7" i="8"/>
  <c r="O12" i="7"/>
  <c r="P13" i="7"/>
  <c r="P12" i="7" s="1"/>
  <c r="K7" i="9"/>
  <c r="K36" i="1"/>
  <c r="M11" i="1"/>
  <c r="L24" i="1"/>
  <c r="J16" i="3"/>
  <c r="J20" i="3" s="1"/>
  <c r="O14" i="8"/>
  <c r="K14" i="8" s="1"/>
  <c r="J9" i="3"/>
  <c r="J11" i="3"/>
  <c r="J13" i="3"/>
  <c r="J10" i="3"/>
  <c r="J7" i="3"/>
  <c r="J15" i="3"/>
  <c r="J8" i="3"/>
  <c r="J12" i="3"/>
  <c r="J14" i="3"/>
  <c r="L14" i="3"/>
  <c r="L7" i="3"/>
  <c r="L11" i="3"/>
  <c r="L15" i="3"/>
  <c r="L10" i="3"/>
  <c r="L8" i="3"/>
  <c r="L12" i="3"/>
  <c r="L9" i="3"/>
  <c r="L13" i="3"/>
  <c r="O250" i="18" l="1"/>
  <c r="O168" i="18"/>
  <c r="O166" i="18"/>
  <c r="O249" i="18"/>
  <c r="M327" i="18"/>
  <c r="M244" i="18"/>
  <c r="M33" i="25"/>
  <c r="M38" i="25" s="1"/>
  <c r="M161" i="18"/>
  <c r="M72" i="18"/>
  <c r="O40" i="25"/>
  <c r="O39" i="25"/>
  <c r="O332" i="18"/>
  <c r="O333" i="18"/>
  <c r="O334" i="18"/>
  <c r="O79" i="18"/>
  <c r="O77" i="18"/>
  <c r="O78" i="18"/>
  <c r="N324" i="18"/>
  <c r="N241" i="18"/>
  <c r="N30" i="25"/>
  <c r="N38" i="25" s="1"/>
  <c r="N158" i="18"/>
  <c r="N69" i="18"/>
  <c r="K11" i="1"/>
  <c r="K7" i="8"/>
  <c r="K15" i="8"/>
  <c r="O6" i="8"/>
  <c r="N6" i="8"/>
  <c r="K6" i="8" s="1"/>
  <c r="L22" i="8"/>
  <c r="L21" i="8"/>
  <c r="L23" i="8"/>
  <c r="L20" i="8"/>
  <c r="N250" i="18" l="1"/>
  <c r="N251" i="18"/>
  <c r="M167" i="18"/>
  <c r="M168" i="18"/>
  <c r="M166" i="18"/>
  <c r="M39" i="25"/>
  <c r="M40" i="25"/>
  <c r="M77" i="18"/>
  <c r="M79" i="18"/>
  <c r="M78" i="18"/>
  <c r="H235" i="18"/>
  <c r="H24" i="25"/>
  <c r="H38" i="25" s="1"/>
  <c r="H318" i="18"/>
  <c r="H152" i="18"/>
  <c r="H63" i="18"/>
  <c r="I24" i="25"/>
  <c r="I38" i="25" s="1"/>
  <c r="I318" i="18"/>
  <c r="I235" i="18"/>
  <c r="I152" i="18"/>
  <c r="I63" i="18"/>
  <c r="L235" i="18"/>
  <c r="L24" i="25"/>
  <c r="L38" i="25" s="1"/>
  <c r="L318" i="18"/>
  <c r="L152" i="18"/>
  <c r="L166" i="18" s="1"/>
  <c r="L63" i="18"/>
  <c r="N77" i="18"/>
  <c r="N79" i="18"/>
  <c r="N78" i="18"/>
  <c r="N334" i="18"/>
  <c r="N332" i="18"/>
  <c r="N333" i="18"/>
  <c r="N167" i="18"/>
  <c r="N166" i="18"/>
  <c r="N168" i="18"/>
  <c r="N249" i="18"/>
  <c r="N39" i="25"/>
  <c r="N40" i="25"/>
  <c r="I250" i="18" l="1"/>
  <c r="I251" i="18"/>
  <c r="H249" i="18"/>
  <c r="H250" i="18"/>
  <c r="H251" i="18"/>
  <c r="L251" i="18"/>
  <c r="L250" i="18"/>
  <c r="L39" i="25"/>
  <c r="L40" i="25"/>
  <c r="I249" i="18"/>
  <c r="H166" i="18"/>
  <c r="H168" i="18"/>
  <c r="H167" i="18"/>
  <c r="L77" i="18"/>
  <c r="L79" i="18"/>
  <c r="L78" i="18"/>
  <c r="L249" i="18"/>
  <c r="I333" i="18"/>
  <c r="I334" i="18"/>
  <c r="I332" i="18"/>
  <c r="H332" i="18"/>
  <c r="H334" i="18"/>
  <c r="H333" i="18"/>
  <c r="H40" i="25"/>
  <c r="H39" i="25"/>
  <c r="L168" i="18"/>
  <c r="L167" i="18"/>
  <c r="I77" i="18"/>
  <c r="I79" i="18"/>
  <c r="I78" i="18"/>
  <c r="I39" i="25"/>
  <c r="I40" i="25"/>
  <c r="L332" i="18"/>
  <c r="L333" i="18"/>
  <c r="L334" i="18"/>
  <c r="I168" i="18"/>
  <c r="I167" i="18"/>
  <c r="I166" i="18"/>
  <c r="H78" i="18"/>
  <c r="H77" i="18"/>
  <c r="H79" i="18"/>
  <c r="E58" i="25" l="1"/>
  <c r="E57" i="25"/>
  <c r="E54" i="25"/>
  <c r="E55" i="25"/>
  <c r="E268" i="18"/>
  <c r="E98" i="18"/>
  <c r="E95" i="18"/>
  <c r="E96" i="18"/>
  <c r="E351" i="18"/>
  <c r="E350" i="18"/>
  <c r="E348" i="18"/>
  <c r="E352" i="18"/>
  <c r="E349" i="18"/>
  <c r="E353" i="18"/>
  <c r="E267" i="18"/>
  <c r="E265" i="18"/>
  <c r="E269" i="18"/>
  <c r="E266" i="18"/>
  <c r="E270" i="18"/>
  <c r="E185" i="18"/>
  <c r="E182" i="18"/>
  <c r="E184" i="18"/>
  <c r="E186" i="18"/>
  <c r="E183" i="18"/>
  <c r="E187" i="18"/>
  <c r="E97" i="18"/>
  <c r="E93" i="18"/>
  <c r="E94" i="18"/>
  <c r="E56" i="25"/>
  <c r="E5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D13" authorId="0" shapeId="0" xr:uid="{B9A44D6F-3054-4B32-9F51-1332799341ED}">
      <text>
        <r>
          <rPr>
            <sz val="9"/>
            <color indexed="81"/>
            <rFont val="Tahoma"/>
            <family val="2"/>
          </rPr>
          <t xml:space="preserve">
When a child is/was looked after or it is highly probable that they would become looked after</t>
        </r>
      </text>
    </comment>
    <comment ref="D14" authorId="0" shapeId="0" xr:uid="{1D150BDC-8BE8-4F37-A223-696677341054}">
      <text>
        <r>
          <rPr>
            <sz val="9"/>
            <color indexed="81"/>
            <rFont val="Tahoma"/>
            <family val="2"/>
          </rPr>
          <t xml:space="preserve">
When a child is/was on a child protection plan or it is highly probable that they would be on a child protection plan</t>
        </r>
      </text>
    </comment>
    <comment ref="D15" authorId="0" shapeId="0" xr:uid="{EF93195C-3587-481F-A050-6F0FA68676AE}">
      <text>
        <r>
          <rPr>
            <sz val="9"/>
            <color indexed="81"/>
            <rFont val="Tahoma"/>
            <family val="2"/>
          </rPr>
          <t xml:space="preserve">
When a child is/was on a child in need plan or it is highly probable that they would be on a child in need plan</t>
        </r>
      </text>
    </comment>
    <comment ref="D16" authorId="0" shapeId="0" xr:uid="{DFC21CF5-E769-4AB8-B907-4C802B8F6894}">
      <text>
        <r>
          <rPr>
            <sz val="9"/>
            <color indexed="81"/>
            <rFont val="Tahoma"/>
            <family val="2"/>
          </rPr>
          <t xml:space="preserve">
When a child is/was receiving or it is highly probable that they would be in receipt of early help</t>
        </r>
      </text>
    </comment>
    <comment ref="D17" authorId="0" shapeId="0" xr:uid="{3F7017FB-EDFA-4602-B5D7-0CB9D3459FF5}">
      <text>
        <r>
          <rPr>
            <sz val="9"/>
            <color indexed="81"/>
            <rFont val="Tahoma"/>
            <family val="2"/>
          </rPr>
          <t xml:space="preserve">
When a child is/ was receiving support as part of the Troubled Families programme</t>
        </r>
      </text>
    </comment>
    <comment ref="D18" authorId="0" shapeId="0" xr:uid="{68AAAE05-04E5-482A-B581-8C9792586250}">
      <text>
        <r>
          <rPr>
            <sz val="9"/>
            <color indexed="81"/>
            <rFont val="Tahoma"/>
            <family val="2"/>
          </rPr>
          <t xml:space="preserve">
When a young person in the family, e.g. elder sibling, is taking on carer responsibilities for younger siblings and/or parents. </t>
        </r>
      </text>
    </comment>
    <comment ref="D19" authorId="0" shapeId="0" xr:uid="{261C9927-0512-4EC5-97FC-D981DA2D4971}">
      <text>
        <r>
          <rPr>
            <sz val="9"/>
            <color indexed="81"/>
            <rFont val="Tahoma"/>
            <family val="2"/>
          </rPr>
          <t xml:space="preserve">
When a child is/was living with grandparents, other family members/ connected adults.</t>
        </r>
      </text>
    </comment>
    <comment ref="D20" authorId="0" shapeId="0" xr:uid="{EC188737-ABFD-490A-BCD6-F144DC868563}">
      <text>
        <r>
          <rPr>
            <sz val="9"/>
            <color indexed="81"/>
            <rFont val="Tahoma"/>
            <family val="2"/>
          </rPr>
          <t xml:space="preserve">
Instances where a child is either permanently or temporarily removed from school (up to 45 school days in one school year) or at significant risk of being excluded.</t>
        </r>
      </text>
    </comment>
    <comment ref="H20" authorId="0" shapeId="0" xr:uid="{BB716FCD-BB76-4A49-BBB4-392A67545503}">
      <text>
        <r>
          <rPr>
            <sz val="9"/>
            <color indexed="81"/>
            <rFont val="Tahoma"/>
            <family val="2"/>
          </rPr>
          <t xml:space="preserve">
£2,200 is for residential/ foster care associated with school exclusion</t>
        </r>
      </text>
    </comment>
    <comment ref="D21" authorId="0" shapeId="0" xr:uid="{8B1F53B3-8D4E-4417-B3D9-43CD72534996}">
      <text>
        <r>
          <rPr>
            <sz val="9"/>
            <color indexed="81"/>
            <rFont val="Tahoma"/>
            <family val="2"/>
          </rPr>
          <t xml:space="preserve">
Instances where a child does not attend school or leave school early without permission/ legitimate reason.</t>
        </r>
      </text>
    </comment>
    <comment ref="H21" authorId="0" shapeId="0" xr:uid="{E7A7BF7A-9E73-4B68-930F-12E6D34ADE2F}">
      <text>
        <r>
          <rPr>
            <sz val="9"/>
            <color indexed="81"/>
            <rFont val="Tahoma"/>
            <family val="2"/>
          </rPr>
          <t xml:space="preserve"> £2,600 is for residential/ foster care associated with school truancy</t>
        </r>
      </text>
    </comment>
    <comment ref="D22" authorId="0" shapeId="0" xr:uid="{2B961128-527D-4472-8A9E-28CDC24E0949}">
      <text>
        <r>
          <rPr>
            <sz val="9"/>
            <color indexed="81"/>
            <rFont val="Tahoma"/>
            <family val="2"/>
          </rPr>
          <t xml:space="preserve">
Cases when a mother is experiencing/ has experienced depression and/ or anxiety during pregnancy or up to one year after the birth of a child. </t>
        </r>
      </text>
    </comment>
    <comment ref="D23" authorId="0" shapeId="0" xr:uid="{555B2DC4-2305-44AE-83C7-D5A6EC96C1C0}">
      <text>
        <r>
          <rPr>
            <sz val="9"/>
            <color indexed="81"/>
            <rFont val="Tahoma"/>
            <family val="2"/>
          </rPr>
          <t xml:space="preserve">
Cases when a mother is experiencing/ has experienced depression and/ or anxiety during pregnancy or up to one year after the birth of a child. </t>
        </r>
      </text>
    </comment>
    <comment ref="D24" authorId="0" shapeId="0" xr:uid="{C2B4B778-AFC3-4708-BC98-7A430342F9C8}">
      <text>
        <r>
          <rPr>
            <sz val="9"/>
            <color indexed="81"/>
            <rFont val="Tahoma"/>
            <family val="2"/>
          </rPr>
          <t xml:space="preserve">
According to NICE, conduct disorder refers to “a persistent (several months or longer) pattern of antisocial behaviour where a child or young person repeatedly carries out aggressive acts that may cause them distress and/or social impairment, and upset other people”.</t>
        </r>
      </text>
    </comment>
    <comment ref="D25" authorId="0" shapeId="0" xr:uid="{45A80045-39DC-4726-81A3-6339A7F8F839}">
      <text>
        <r>
          <rPr>
            <sz val="9"/>
            <color indexed="81"/>
            <rFont val="Tahoma"/>
            <family val="2"/>
          </rPr>
          <t xml:space="preserve">
When it is highly probable that a mother would have been drinking problematically throughout pregnancy were it not for intervention.</t>
        </r>
      </text>
    </comment>
    <comment ref="D26" authorId="0" shapeId="0" xr:uid="{88CB3F68-B866-4E98-BF9B-33A72B11D7F8}">
      <text>
        <r>
          <rPr>
            <sz val="9"/>
            <color indexed="81"/>
            <rFont val="Tahoma"/>
            <family val="2"/>
          </rPr>
          <t xml:space="preserve">
When a family were homeless, or at risk of homelessness. Homelessness refers to rough sleeping, the statutory homeless and the hidden homeless (such as those in hostels, B&amp;Bs, squats or on the floors/ sofas or friends and family). At risk of homelessness could include, but is not limited to, those living with significant financial pressures and/or escaping a violent relationship.</t>
        </r>
      </text>
    </comment>
    <comment ref="J26" authorId="0" shapeId="0" xr:uid="{F041810C-4EE5-4CC7-98E9-10E0C34EF9AE}">
      <text>
        <r>
          <rPr>
            <sz val="9"/>
            <color indexed="81"/>
            <rFont val="Tahoma"/>
            <family val="2"/>
          </rPr>
          <t xml:space="preserve">
Cost per family, not individual</t>
        </r>
      </text>
    </comment>
    <comment ref="D27" authorId="0" shapeId="0" xr:uid="{8D82B025-B3E5-4EE0-8E33-937A04AC9D83}">
      <text>
        <r>
          <rPr>
            <sz val="9"/>
            <color indexed="81"/>
            <rFont val="Tahoma"/>
            <family val="2"/>
          </rPr>
          <t xml:space="preserve">
Cases of NHS treatment for physical and mental health problems/ events, e.g. A&amp;E attendance.</t>
        </r>
      </text>
    </comment>
    <comment ref="D30" authorId="0" shapeId="0" xr:uid="{BFC0FD5C-CCA7-4D7C-AD8C-2BBE0CD54E76}">
      <text>
        <r>
          <rPr>
            <sz val="9"/>
            <color indexed="81"/>
            <rFont val="Tahoma"/>
            <family val="2"/>
          </rPr>
          <t xml:space="preserve">
When there is evidence of domestic abuse in the family prior to intervention. Domestic abuse includes physical violence, coercive control and ‘gaslighting’, economic abuse, online abuse, threats and intimidation, emotional abuse and sexual abuse. Note: current costs exist for adult victims only.</t>
        </r>
      </text>
    </comment>
    <comment ref="E30" authorId="0" shapeId="0" xr:uid="{6F620102-8792-4413-88BB-7825DA0B5BAE}">
      <text>
        <r>
          <rPr>
            <sz val="9"/>
            <color indexed="81"/>
            <rFont val="Tahoma"/>
            <family val="2"/>
          </rPr>
          <t xml:space="preserve">
Only costs for adult survivors exist</t>
        </r>
      </text>
    </comment>
    <comment ref="D31" authorId="0" shapeId="0" xr:uid="{4DE62181-9E1B-43FC-A8BF-9CE6253D0C5F}">
      <text>
        <r>
          <rPr>
            <sz val="9"/>
            <color indexed="81"/>
            <rFont val="Tahoma"/>
            <family val="2"/>
          </rPr>
          <t xml:space="preserve">
Instances of crimes committed crimes, irrespective of whether the offender was arrested for the crime. Not all unit costs of crime are included in the database; the most common among people with problem alcohol and drug use are.</t>
        </r>
      </text>
    </comment>
    <comment ref="L32" authorId="0" shapeId="0" xr:uid="{594E9061-1A70-420D-9481-29CE7D66C737}">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32" authorId="0" shapeId="0" xr:uid="{9A377214-ED53-43CE-A35D-61E36179042B}">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N32" authorId="0" shapeId="0" xr:uid="{5573E7AB-BF91-41B3-9EA8-3DDB4A1354E7}">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O32" authorId="0" shapeId="0" xr:uid="{2D6FEC1B-6EB9-4975-AB04-23AF51109876}">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33" authorId="0" shapeId="0" xr:uid="{8EF50923-FCCD-482F-915B-43F4490161AE}">
      <text>
        <r>
          <rPr>
            <sz val="9"/>
            <color indexed="81"/>
            <rFont val="Tahoma"/>
            <family val="2"/>
          </rPr>
          <t xml:space="preserve">
Using a multiplier of 100 to get annual cost taken from VfM tool available from ndtms.net i.e. a shoplifter is likely to commit 100 shoplifting offences in a year.</t>
        </r>
      </text>
    </comment>
    <comment ref="L34" authorId="0" shapeId="0" xr:uid="{CA512409-B2FF-4202-B644-771A64AC3375}">
      <text>
        <r>
          <rPr>
            <sz val="9"/>
            <color indexed="81"/>
            <rFont val="Tahoma"/>
            <family val="2"/>
          </rPr>
          <t xml:space="preserve">
Using a multiplier of 15 to get annual cost taken from VfM tool available from ndtms.net i.e. a robber is likely to commit 15 robberies in a year</t>
        </r>
      </text>
    </comment>
    <comment ref="M34" authorId="0" shapeId="0" xr:uid="{A96890B1-2E5F-465A-B867-1E5B5B1FD4A9}">
      <text>
        <r>
          <rPr>
            <sz val="9"/>
            <color indexed="81"/>
            <rFont val="Tahoma"/>
            <family val="2"/>
          </rPr>
          <t xml:space="preserve">
Using a multiplier of 15 to get annual cost taken from VfM tool available from ndtms.net i.e. a robber is likely to commit 15 robberies in a year</t>
        </r>
      </text>
    </comment>
    <comment ref="N34" authorId="0" shapeId="0" xr:uid="{B972E9C6-267A-493A-A1F6-5429587D52E3}">
      <text>
        <r>
          <rPr>
            <sz val="9"/>
            <color indexed="81"/>
            <rFont val="Tahoma"/>
            <family val="2"/>
          </rPr>
          <t xml:space="preserve">
Using a multiplier of 15 to get annual cost taken from VfM tool available from ndtms.net i.e. a robber is likely to commit 15 robberies in a year</t>
        </r>
      </text>
    </comment>
    <comment ref="O34" authorId="0" shapeId="0" xr:uid="{28229686-E674-4A01-BA8E-72115825B711}">
      <text>
        <r>
          <rPr>
            <sz val="9"/>
            <color indexed="81"/>
            <rFont val="Tahoma"/>
            <family val="2"/>
          </rPr>
          <t xml:space="preserve">
Using a multiplier of 15 to get annual cost taken from VfM tool available from ndtms.net i.e. a robber is likely to commit 15 robberies in a year</t>
        </r>
      </text>
    </comment>
    <comment ref="L35" authorId="0" shapeId="0" xr:uid="{9B92487D-015F-4DB0-8861-E4A5C2B43E78}">
      <text>
        <r>
          <rPr>
            <sz val="9"/>
            <color indexed="81"/>
            <rFont val="Tahoma"/>
            <family val="2"/>
          </rPr>
          <t xml:space="preserve">
Using a multiplier of 25 to get annual cost taken from VfM tool available from ndtms.net i.e. a house burglar is likely to commit 25 house burglaries in a year</t>
        </r>
      </text>
    </comment>
    <comment ref="M35" authorId="0" shapeId="0" xr:uid="{615E8624-A4D9-4968-B5E5-F354D48085CB}">
      <text>
        <r>
          <rPr>
            <sz val="9"/>
            <color indexed="81"/>
            <rFont val="Tahoma"/>
            <family val="2"/>
          </rPr>
          <t xml:space="preserve">
Using a multiplier of 25 to get annual cost taken from VfM tool available from ndtms.net i.e. a house burglar is likely to commit 25 house burglaries in a year</t>
        </r>
      </text>
    </comment>
    <comment ref="N35" authorId="0" shapeId="0" xr:uid="{1759D15D-7091-4D5B-A76F-ECF0BDF42FEF}">
      <text>
        <r>
          <rPr>
            <sz val="9"/>
            <color indexed="81"/>
            <rFont val="Tahoma"/>
            <family val="2"/>
          </rPr>
          <t xml:space="preserve">
Using a multiplier of 25 to get annual cost taken from VfM tool available from ndtms.net i.e. a house burglar is likely to commit 25 house burglaries in a year</t>
        </r>
      </text>
    </comment>
    <comment ref="O35" authorId="0" shapeId="0" xr:uid="{B4F8999A-4DAF-447B-86BA-1C21088F12EC}">
      <text>
        <r>
          <rPr>
            <sz val="9"/>
            <color indexed="81"/>
            <rFont val="Tahoma"/>
            <family val="2"/>
          </rPr>
          <t>Using a multiplier of 25 to get annual cost taken from VfM tool available from ndtms.net i.e. a house burglar is likely to commit 25 house burglaries in a year</t>
        </r>
      </text>
    </comment>
    <comment ref="D36" authorId="0" shapeId="0" xr:uid="{E73602E6-97A3-4DC2-AF08-D40F99D7F092}">
      <text>
        <r>
          <rPr>
            <sz val="9"/>
            <color indexed="81"/>
            <rFont val="Tahoma"/>
            <family val="2"/>
          </rPr>
          <t xml:space="preserve">
Number to be added is per family, rather than per adult
</t>
        </r>
      </text>
    </comment>
    <comment ref="M36" authorId="0" shapeId="0" xr:uid="{E1BB24E0-0497-4938-98FC-0ED8B03AD296}">
      <text>
        <r>
          <rPr>
            <sz val="9"/>
            <color indexed="81"/>
            <rFont val="Tahoma"/>
            <family val="2"/>
          </rPr>
          <t xml:space="preserve">
Using a multiplier of 6 based on average violent offences committed in a year to get annual cost taken from VfM tool available from ndtms.net</t>
        </r>
      </text>
    </comment>
    <comment ref="D41" authorId="0" shapeId="0" xr:uid="{FAFE62FB-4968-4B90-A114-1CD7B9A880D1}">
      <text>
        <r>
          <rPr>
            <sz val="9"/>
            <color indexed="81"/>
            <rFont val="Tahoma"/>
            <family val="2"/>
          </rPr>
          <t xml:space="preserve">
Where a member of the family is/was receiving specialist treatment for alcohol and/or drug dependency.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D52" authorId="0" shapeId="0" xr:uid="{C2DDF534-1BF5-4513-ABC6-BE466D5DC532}">
      <text>
        <r>
          <rPr>
            <sz val="9"/>
            <color indexed="81"/>
            <rFont val="Tahoma"/>
            <family val="2"/>
          </rPr>
          <t xml:space="preserve">
When a child is/was receiving or it is highly probable that they would be looked after</t>
        </r>
      </text>
    </comment>
    <comment ref="D53" authorId="0" shapeId="0" xr:uid="{EA1693BB-3798-4558-A2CE-5D357AFC198E}">
      <text>
        <r>
          <rPr>
            <sz val="9"/>
            <color indexed="81"/>
            <rFont val="Tahoma"/>
            <family val="2"/>
          </rPr>
          <t xml:space="preserve">
When a child is/was on a child protection plan or it is highly probable that they would be on a child protection plan</t>
        </r>
      </text>
    </comment>
    <comment ref="D54" authorId="0" shapeId="0" xr:uid="{A42E7A33-0348-47E7-9B10-08BB0698F992}">
      <text>
        <r>
          <rPr>
            <sz val="9"/>
            <color indexed="81"/>
            <rFont val="Tahoma"/>
            <family val="2"/>
          </rPr>
          <t xml:space="preserve">
When a child is/was receiving or it is highly probable that they would be on a child in need plan</t>
        </r>
      </text>
    </comment>
    <comment ref="D55" authorId="0" shapeId="0" xr:uid="{588DE5BD-5B5A-48E8-ADD2-E9E57FB8C36C}">
      <text>
        <r>
          <rPr>
            <sz val="9"/>
            <color indexed="81"/>
            <rFont val="Tahoma"/>
            <family val="2"/>
          </rPr>
          <t xml:space="preserve">
When a child is/was receiving or it is highly probable that they would be in receipt of early help</t>
        </r>
      </text>
    </comment>
    <comment ref="D56" authorId="0" shapeId="0" xr:uid="{06BCC10B-F08E-41AB-B1F9-1D285EE97F0E}">
      <text>
        <r>
          <rPr>
            <sz val="9"/>
            <color indexed="81"/>
            <rFont val="Tahoma"/>
            <family val="2"/>
          </rPr>
          <t xml:space="preserve">
When a child is/ was receiving support as part of the Troubled Families programme</t>
        </r>
      </text>
    </comment>
    <comment ref="D57" authorId="0" shapeId="0" xr:uid="{EB4FDDDE-44E6-4505-94D9-0C4680A61216}">
      <text>
        <r>
          <rPr>
            <sz val="9"/>
            <color indexed="81"/>
            <rFont val="Tahoma"/>
            <family val="2"/>
          </rPr>
          <t xml:space="preserve">
When a young person in the family, e.g. elder sibling, is taking on carer responsibilities for younger siblings and/or parents. </t>
        </r>
      </text>
    </comment>
    <comment ref="D58" authorId="0" shapeId="0" xr:uid="{87C4DCE6-311C-47E9-99A5-9DF77954F3D6}">
      <text>
        <r>
          <rPr>
            <sz val="9"/>
            <color indexed="81"/>
            <rFont val="Tahoma"/>
            <family val="2"/>
          </rPr>
          <t xml:space="preserve">
When a child is/was living with grandparents, other family members/ connected adults.</t>
        </r>
      </text>
    </comment>
    <comment ref="D59" authorId="0" shapeId="0" xr:uid="{2CBFA81C-D428-4072-B7A7-E7B7489B34DD}">
      <text>
        <r>
          <rPr>
            <sz val="9"/>
            <color indexed="81"/>
            <rFont val="Tahoma"/>
            <family val="2"/>
          </rPr>
          <t xml:space="preserve">
Instances where a child is either permanently or temporarily removed from school (up to 45 school days in one school year) or at significant risk of being excluded.</t>
        </r>
      </text>
    </comment>
    <comment ref="H59" authorId="0" shapeId="0" xr:uid="{BE67DDEC-6C98-4C6A-B4CC-48E2D44802D4}">
      <text>
        <r>
          <rPr>
            <sz val="9"/>
            <color indexed="81"/>
            <rFont val="Tahoma"/>
            <family val="2"/>
          </rPr>
          <t xml:space="preserve">
£2,200 is for residential/ foster care associated with school exclusion</t>
        </r>
      </text>
    </comment>
    <comment ref="D60" authorId="0" shapeId="0" xr:uid="{653E7DB2-B924-49F4-AA26-9B84F29A8028}">
      <text>
        <r>
          <rPr>
            <sz val="9"/>
            <color indexed="81"/>
            <rFont val="Tahoma"/>
            <family val="2"/>
          </rPr>
          <t xml:space="preserve">
Instances where a child does not attend school or leave school early without permission/ legitimate reason.</t>
        </r>
      </text>
    </comment>
    <comment ref="H60" authorId="0" shapeId="0" xr:uid="{08252ED2-9D39-429E-B3E0-4B20DB5EC67F}">
      <text>
        <r>
          <rPr>
            <sz val="9"/>
            <color indexed="81"/>
            <rFont val="Tahoma"/>
            <family val="2"/>
          </rPr>
          <t xml:space="preserve"> £2,600 is for residential/ foster care associated with school truancy</t>
        </r>
      </text>
    </comment>
    <comment ref="D61" authorId="0" shapeId="0" xr:uid="{F0DE591E-D7D5-4352-B853-D91667E9A358}">
      <text>
        <r>
          <rPr>
            <sz val="9"/>
            <color indexed="81"/>
            <rFont val="Tahoma"/>
            <family val="2"/>
          </rPr>
          <t xml:space="preserve">
Cases when a mother is experiencing/ has experienced depression and/ or anxiety during pregnancy or up to one year after the birth of a child. </t>
        </r>
      </text>
    </comment>
    <comment ref="D62" authorId="0" shapeId="0" xr:uid="{1748AE70-E71E-481E-BC57-DB890921C779}">
      <text>
        <r>
          <rPr>
            <sz val="9"/>
            <color indexed="81"/>
            <rFont val="Tahoma"/>
            <family val="2"/>
          </rPr>
          <t xml:space="preserve">
Cases when a mother is experiencing/ has experienced depression and/ or anxiety during pregnancy or up to one year after the birth of a child. </t>
        </r>
      </text>
    </comment>
    <comment ref="D63" authorId="0" shapeId="0" xr:uid="{DDC815DF-2F72-4AAC-B910-4B6F53326664}">
      <text>
        <r>
          <rPr>
            <sz val="9"/>
            <color indexed="81"/>
            <rFont val="Tahoma"/>
            <family val="2"/>
          </rPr>
          <t xml:space="preserve">
According to NICE, conduct disorder refers to “a persistent (several months or longer) pattern of antisocial behaviour where a child or young person repeatedly carries out aggressive acts that may cause them distress and/or social impairment, and upset other people”.</t>
        </r>
      </text>
    </comment>
    <comment ref="D64" authorId="0" shapeId="0" xr:uid="{71DCDF34-723D-4384-8ABB-564D9537C8B3}">
      <text>
        <r>
          <rPr>
            <sz val="9"/>
            <color indexed="81"/>
            <rFont val="Tahoma"/>
            <family val="2"/>
          </rPr>
          <t xml:space="preserve">
When it is highly probable that a mother would have been drinking problematically throughout pregnancy were it not for intervention.</t>
        </r>
      </text>
    </comment>
    <comment ref="H64" authorId="0" shapeId="0" xr:uid="{B976ABC9-B016-47D5-A796-E50EC95778D0}">
      <text>
        <r>
          <rPr>
            <sz val="9"/>
            <color indexed="81"/>
            <rFont val="Tahoma"/>
            <family val="2"/>
          </rPr>
          <t xml:space="preserve">
Cost of residential care only</t>
        </r>
      </text>
    </comment>
    <comment ref="D65" authorId="0" shapeId="0" xr:uid="{94C62216-8C18-4680-9328-68D4C1DCE3B0}">
      <text>
        <r>
          <rPr>
            <sz val="9"/>
            <color indexed="81"/>
            <rFont val="Tahoma"/>
            <family val="2"/>
          </rPr>
          <t xml:space="preserve">
When a family were homeless, or at risk of homelessness. Homelessness refers to rough sleeping, the statutory homeless and the hidden homeless (such as those in hostels, B&amp;Bs, squats or on the floors/ sofas or friends and family). At risk of homelessness could include, but is not limited to, those living with significant financial pressures and/or escaping a violent relationship.</t>
        </r>
      </text>
    </comment>
    <comment ref="J65" authorId="0" shapeId="0" xr:uid="{695A9738-2C0F-4956-9E59-D6CC95C1C922}">
      <text>
        <r>
          <rPr>
            <sz val="9"/>
            <color indexed="81"/>
            <rFont val="Tahoma"/>
            <family val="2"/>
          </rPr>
          <t xml:space="preserve">
Cost per family, not individual</t>
        </r>
      </text>
    </comment>
    <comment ref="D66" authorId="0" shapeId="0" xr:uid="{829A7BE9-896C-4099-974B-BC69CE6E8667}">
      <text>
        <r>
          <rPr>
            <sz val="9"/>
            <color indexed="81"/>
            <rFont val="Tahoma"/>
            <family val="2"/>
          </rPr>
          <t xml:space="preserve">
Cases of NHS treatment for physical and mental health problems/ events, e.g. A&amp;E attendance.</t>
        </r>
      </text>
    </comment>
    <comment ref="D69" authorId="0" shapeId="0" xr:uid="{D7D3A307-8C3C-4A63-9554-16C426F0577D}">
      <text>
        <r>
          <rPr>
            <sz val="9"/>
            <color indexed="81"/>
            <rFont val="Tahoma"/>
            <family val="2"/>
          </rPr>
          <t xml:space="preserve">
When there is evidence of domestic abuse in the family prior to intervention. Domestic abuse includes physical violence, coercive control and ‘gaslighting’, economic abuse, online abuse, threats and intimidation, emotional abuse and sexual abuse. Note: current costs exist for adult victims only.</t>
        </r>
      </text>
    </comment>
    <comment ref="E69" authorId="0" shapeId="0" xr:uid="{DFFFDE40-04AB-47D0-AF80-5E0B64BABB3B}">
      <text>
        <r>
          <rPr>
            <sz val="9"/>
            <color indexed="81"/>
            <rFont val="Tahoma"/>
            <family val="2"/>
          </rPr>
          <t xml:space="preserve">
Only costs for adult survivors exist</t>
        </r>
      </text>
    </comment>
    <comment ref="D70" authorId="0" shapeId="0" xr:uid="{B1298851-2A1D-4906-9104-D076E023F7F5}">
      <text>
        <r>
          <rPr>
            <sz val="9"/>
            <color indexed="81"/>
            <rFont val="Tahoma"/>
            <family val="2"/>
          </rPr>
          <t xml:space="preserve">
Instances of crimes committed crimes, irrespective of whether the offender was arrested for the crime. Not all unit costs of crime are included in the database; the most common among people with problem alcohol and drug use are.</t>
        </r>
      </text>
    </comment>
    <comment ref="L71" authorId="0" shapeId="0" xr:uid="{80F071B6-64B2-4576-BDE8-A4C497812650}">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71" authorId="0" shapeId="0" xr:uid="{7B3305AB-6F7C-44F4-BB9D-B8DB01286435}">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N71" authorId="0" shapeId="0" xr:uid="{E5EC86BE-6B37-4FCA-87D1-1543EDCCB539}">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O71" authorId="0" shapeId="0" xr:uid="{957389B5-7E61-4E29-B2B2-64A19491DBA9}">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72" authorId="0" shapeId="0" xr:uid="{73527C38-9FA2-4F2D-BD68-17FC353176FC}">
      <text>
        <r>
          <rPr>
            <sz val="9"/>
            <color indexed="81"/>
            <rFont val="Tahoma"/>
            <family val="2"/>
          </rPr>
          <t xml:space="preserve">
Using a multiplier of 100 to get annual cost taken from VfM tool available from ndtms.net i.e. a shoplifter is likely to commit 100 shoplifting offences in a year.</t>
        </r>
      </text>
    </comment>
    <comment ref="L73" authorId="0" shapeId="0" xr:uid="{73FF4B6B-0AB6-4712-B400-098493030A59}">
      <text>
        <r>
          <rPr>
            <sz val="9"/>
            <color indexed="81"/>
            <rFont val="Tahoma"/>
            <family val="2"/>
          </rPr>
          <t xml:space="preserve">
Using a multiplier of 15 to get annual cost taken from VfM tool available from ndtms.net i.e. a robber is likely to commit 15 robberies in a year</t>
        </r>
      </text>
    </comment>
    <comment ref="M73" authorId="0" shapeId="0" xr:uid="{1F2CBC37-7FFE-421B-BB61-C8925AFB3265}">
      <text>
        <r>
          <rPr>
            <sz val="9"/>
            <color indexed="81"/>
            <rFont val="Tahoma"/>
            <family val="2"/>
          </rPr>
          <t xml:space="preserve">
Using a multiplier of 15 to get annual cost taken from VfM tool available from ndtms.net i.e. a robber is likely to commit 15 robberies in a year</t>
        </r>
      </text>
    </comment>
    <comment ref="N73" authorId="0" shapeId="0" xr:uid="{8D068A42-6A12-476B-9709-C40A5F530392}">
      <text>
        <r>
          <rPr>
            <sz val="9"/>
            <color indexed="81"/>
            <rFont val="Tahoma"/>
            <family val="2"/>
          </rPr>
          <t xml:space="preserve">
Using a multiplier of 15 to get annual cost taken from VfM tool available from ndtms.net i.e. a robber is likely to commit 15 robberies in a year</t>
        </r>
      </text>
    </comment>
    <comment ref="O73" authorId="0" shapeId="0" xr:uid="{27318E6C-DECF-4909-B3EE-2630D1F32426}">
      <text>
        <r>
          <rPr>
            <sz val="9"/>
            <color indexed="81"/>
            <rFont val="Tahoma"/>
            <family val="2"/>
          </rPr>
          <t xml:space="preserve">
Using a multiplier of 15 to get annual cost taken from VfM tool available from ndtms.net i.e. a robber is likely to commit 15 robberies in a year</t>
        </r>
      </text>
    </comment>
    <comment ref="L74" authorId="0" shapeId="0" xr:uid="{DA878137-E3E3-4FAD-84CD-5EA3AC396CC0}">
      <text>
        <r>
          <rPr>
            <sz val="9"/>
            <color indexed="81"/>
            <rFont val="Tahoma"/>
            <family val="2"/>
          </rPr>
          <t xml:space="preserve">
Using a multiplier of 25 to get annual cost taken from VfM tool available from ndtms.net i.e. a house burglar is likely to commit 25 house burglaries in a year</t>
        </r>
      </text>
    </comment>
    <comment ref="M74" authorId="0" shapeId="0" xr:uid="{F90770A9-95DB-489D-9053-D27A1EC925F8}">
      <text>
        <r>
          <rPr>
            <sz val="9"/>
            <color indexed="81"/>
            <rFont val="Tahoma"/>
            <family val="2"/>
          </rPr>
          <t xml:space="preserve">
Using a multiplier of 25 to get annual cost taken from VfM tool available from ndtms.net i.e. a house burglar is likely to commit 25 house burglaries in a year</t>
        </r>
      </text>
    </comment>
    <comment ref="N74" authorId="0" shapeId="0" xr:uid="{6D6C3186-40BB-428F-8A23-312C69C261A6}">
      <text>
        <r>
          <rPr>
            <sz val="9"/>
            <color indexed="81"/>
            <rFont val="Tahoma"/>
            <family val="2"/>
          </rPr>
          <t xml:space="preserve">
Using a multiplier of 25 to get annual cost taken from VfM tool available from ndtms.net i.e. a house burglar is likely to commit 25 house burglaries in a year</t>
        </r>
      </text>
    </comment>
    <comment ref="O74" authorId="0" shapeId="0" xr:uid="{8F3DDC4D-029D-4ED9-A863-E75335FCC693}">
      <text>
        <r>
          <rPr>
            <sz val="9"/>
            <color indexed="81"/>
            <rFont val="Tahoma"/>
            <family val="2"/>
          </rPr>
          <t>Using a multiplier of 25 to get annual cost taken from VfM tool available from ndtms.net i.e. a house burglar is likely to commit 25 house burglaries in a year</t>
        </r>
      </text>
    </comment>
    <comment ref="D75" authorId="0" shapeId="0" xr:uid="{E430EEAB-1CAB-453D-8D78-88CB3F85E563}">
      <text>
        <r>
          <rPr>
            <sz val="9"/>
            <color indexed="81"/>
            <rFont val="Tahoma"/>
            <family val="2"/>
          </rPr>
          <t xml:space="preserve">
Number to be added is per family, rather than per adult
</t>
        </r>
      </text>
    </comment>
    <comment ref="M75" authorId="0" shapeId="0" xr:uid="{685ED43B-3BA9-42B6-8042-04F4CF83D848}">
      <text>
        <r>
          <rPr>
            <sz val="9"/>
            <color indexed="81"/>
            <rFont val="Tahoma"/>
            <family val="2"/>
          </rPr>
          <t xml:space="preserve">
Using a multiplier of 6 based on average violent offences committed in ayear to get annual cost taken from VfM tool available from ndtms.net</t>
        </r>
      </text>
    </comment>
    <comment ref="D80" authorId="0" shapeId="0" xr:uid="{753FB532-EE76-49AD-81E4-02886AC4CE29}">
      <text>
        <r>
          <rPr>
            <sz val="9"/>
            <color indexed="81"/>
            <rFont val="Tahoma"/>
            <family val="2"/>
          </rPr>
          <t xml:space="preserve">
Where a member of the family is/was receiving specialist treatment for alcohol and/or drug dependency. </t>
        </r>
      </text>
    </comment>
    <comment ref="D141" authorId="0" shapeId="0" xr:uid="{9CA469D8-1D5A-43F4-A563-F4FCD8F5E358}">
      <text>
        <r>
          <rPr>
            <sz val="9"/>
            <color indexed="81"/>
            <rFont val="Tahoma"/>
            <family val="2"/>
          </rPr>
          <t xml:space="preserve">
When a child is/was receiving or it is highly probable that they would be looked after</t>
        </r>
      </text>
    </comment>
    <comment ref="D142" authorId="0" shapeId="0" xr:uid="{C9AE2B0F-3D38-49DF-AEE7-5EE8FA13D86F}">
      <text>
        <r>
          <rPr>
            <sz val="9"/>
            <color indexed="81"/>
            <rFont val="Tahoma"/>
            <family val="2"/>
          </rPr>
          <t xml:space="preserve">
When a child is/was receiving or it is highly probable that they would be on a child protection plan</t>
        </r>
      </text>
    </comment>
    <comment ref="D143" authorId="0" shapeId="0" xr:uid="{8432FDC1-9297-4978-9B83-647654BAE04E}">
      <text>
        <r>
          <rPr>
            <sz val="9"/>
            <color indexed="81"/>
            <rFont val="Tahoma"/>
            <family val="2"/>
          </rPr>
          <t xml:space="preserve">
When a child is/was receiving or it is highly probable that they would be on a child in need plan</t>
        </r>
      </text>
    </comment>
    <comment ref="D144" authorId="0" shapeId="0" xr:uid="{2F5DA420-524E-4DAE-B2D1-A465EF97C0A4}">
      <text>
        <r>
          <rPr>
            <sz val="9"/>
            <color indexed="81"/>
            <rFont val="Tahoma"/>
            <family val="2"/>
          </rPr>
          <t xml:space="preserve">
When a child is/was receiving or it is highly probable that they would be in receipt of early help</t>
        </r>
      </text>
    </comment>
    <comment ref="D145" authorId="0" shapeId="0" xr:uid="{1E3CE4EB-0285-4DCA-8247-060E1A03A72E}">
      <text>
        <r>
          <rPr>
            <sz val="9"/>
            <color indexed="81"/>
            <rFont val="Tahoma"/>
            <family val="2"/>
          </rPr>
          <t xml:space="preserve">
When a child is/ was receiving support as part of the Troubled Families programme</t>
        </r>
      </text>
    </comment>
    <comment ref="D146" authorId="0" shapeId="0" xr:uid="{12AB911B-800E-4326-99E0-3A4A1091F9DE}">
      <text>
        <r>
          <rPr>
            <sz val="9"/>
            <color indexed="81"/>
            <rFont val="Tahoma"/>
            <family val="2"/>
          </rPr>
          <t xml:space="preserve">
When a young person in the family, e.g. elder sibling, is taking on carer responsibilities for younger siblings and/or parents. </t>
        </r>
      </text>
    </comment>
    <comment ref="D147" authorId="0" shapeId="0" xr:uid="{3FD8C5CB-734A-418F-87ED-8AA38F5D37AA}">
      <text>
        <r>
          <rPr>
            <sz val="9"/>
            <color indexed="81"/>
            <rFont val="Tahoma"/>
            <family val="2"/>
          </rPr>
          <t xml:space="preserve">
When a child is/was living with grandparents, other family members/ connected adults.</t>
        </r>
      </text>
    </comment>
    <comment ref="D148" authorId="0" shapeId="0" xr:uid="{CC1250FB-71C4-4D55-8402-6DC7DE86DB90}">
      <text>
        <r>
          <rPr>
            <sz val="9"/>
            <color indexed="81"/>
            <rFont val="Tahoma"/>
            <family val="2"/>
          </rPr>
          <t xml:space="preserve">
Instances where a child is either permanently or temporarily removed from school (up to 45 school days in one school year) or at significant risk of being excluded.</t>
        </r>
      </text>
    </comment>
    <comment ref="H148" authorId="0" shapeId="0" xr:uid="{51160F19-C868-4E0D-BEC5-19CF517FEE53}">
      <text>
        <r>
          <rPr>
            <sz val="9"/>
            <color indexed="81"/>
            <rFont val="Tahoma"/>
            <family val="2"/>
          </rPr>
          <t xml:space="preserve">
£2,200 is for residential/ foster care associated with school exclusion</t>
        </r>
      </text>
    </comment>
    <comment ref="D149" authorId="0" shapeId="0" xr:uid="{F03C3E57-7CAC-441C-AEA5-2A16B87E96D4}">
      <text>
        <r>
          <rPr>
            <sz val="9"/>
            <color indexed="81"/>
            <rFont val="Tahoma"/>
            <family val="2"/>
          </rPr>
          <t xml:space="preserve">
Instances where a child does not attend school or leave school early without permission/ legitimate reason.</t>
        </r>
      </text>
    </comment>
    <comment ref="H149" authorId="0" shapeId="0" xr:uid="{37DB4986-0BF2-41FC-BAC0-AB99B07E3C04}">
      <text>
        <r>
          <rPr>
            <sz val="9"/>
            <color indexed="81"/>
            <rFont val="Tahoma"/>
            <family val="2"/>
          </rPr>
          <t xml:space="preserve"> £2,600 is for residential/ foster care associated with school truancy</t>
        </r>
      </text>
    </comment>
    <comment ref="D150" authorId="0" shapeId="0" xr:uid="{1042561F-711D-4B44-8A92-40BE064EEF05}">
      <text>
        <r>
          <rPr>
            <sz val="9"/>
            <color indexed="81"/>
            <rFont val="Tahoma"/>
            <family val="2"/>
          </rPr>
          <t xml:space="preserve">
Cases when a mother is experiencing/ has experienced depression and/ or anxiety during pregnancy or up to one year after the birth of a child. </t>
        </r>
      </text>
    </comment>
    <comment ref="D151" authorId="0" shapeId="0" xr:uid="{00DCD317-4C45-4039-9814-1AABDE4207B9}">
      <text>
        <r>
          <rPr>
            <sz val="9"/>
            <color indexed="81"/>
            <rFont val="Tahoma"/>
            <family val="2"/>
          </rPr>
          <t xml:space="preserve">
Cases when a mother is experiencing/ has experienced depression and/ or anxiety during pregnancy or up to one year after the birth of a child. </t>
        </r>
      </text>
    </comment>
    <comment ref="D152" authorId="0" shapeId="0" xr:uid="{CA3E0632-7E72-41AD-ACE1-B994A4B74999}">
      <text>
        <r>
          <rPr>
            <sz val="9"/>
            <color indexed="81"/>
            <rFont val="Tahoma"/>
            <family val="2"/>
          </rPr>
          <t xml:space="preserve">
According to NICE, conduct disorder refers to “a persistent (several months or longer) pattern of antisocial behaviour where a child or young person repeatedly carries out aggressive acts that may cause them distress and/or social impairment, and upset other people”.</t>
        </r>
      </text>
    </comment>
    <comment ref="D153" authorId="0" shapeId="0" xr:uid="{DF852925-5DA1-40BD-9355-B77AD25573D1}">
      <text>
        <r>
          <rPr>
            <sz val="9"/>
            <color indexed="81"/>
            <rFont val="Tahoma"/>
            <family val="2"/>
          </rPr>
          <t xml:space="preserve">
When it is highly probable that a mother would have been drinking problematically throughout pregnancy were it not for intervention.</t>
        </r>
      </text>
    </comment>
    <comment ref="H153" authorId="0" shapeId="0" xr:uid="{0585B6AD-17C5-4B75-8E19-11C07D29E0ED}">
      <text>
        <r>
          <rPr>
            <sz val="9"/>
            <color indexed="81"/>
            <rFont val="Tahoma"/>
            <family val="2"/>
          </rPr>
          <t xml:space="preserve">
Cost of residential care only</t>
        </r>
      </text>
    </comment>
    <comment ref="D154" authorId="0" shapeId="0" xr:uid="{3D6F8C6E-74ED-4E71-8D4C-2C54AE6E2EEA}">
      <text>
        <r>
          <rPr>
            <sz val="9"/>
            <color indexed="81"/>
            <rFont val="Tahoma"/>
            <family val="2"/>
          </rPr>
          <t xml:space="preserve">
When a family were homeless, or at risk of homelessness. Homelessness refers to rough sleeping, the statutory homeless and the hidden homeless (such as those in hostels, B&amp;Bs, squats or on the floors/ sofas or friends and family). At risk of homelessness could include, but is not limited to, those living with significant financial pressures and/or escaping a violent relationship.</t>
        </r>
      </text>
    </comment>
    <comment ref="J154" authorId="0" shapeId="0" xr:uid="{54B8EB07-B318-4943-AE76-3518830FF38D}">
      <text>
        <r>
          <rPr>
            <sz val="9"/>
            <color indexed="81"/>
            <rFont val="Tahoma"/>
            <family val="2"/>
          </rPr>
          <t xml:space="preserve">
Cost per family, not individual</t>
        </r>
      </text>
    </comment>
    <comment ref="D155" authorId="0" shapeId="0" xr:uid="{6C036532-0835-4328-8A5C-A814730D2EA0}">
      <text>
        <r>
          <rPr>
            <sz val="9"/>
            <color indexed="81"/>
            <rFont val="Tahoma"/>
            <family val="2"/>
          </rPr>
          <t xml:space="preserve">
Cases of NHS treatment for physical and mental health problems/ events, e.g. A&amp;E attendance.</t>
        </r>
      </text>
    </comment>
    <comment ref="D158" authorId="0" shapeId="0" xr:uid="{4EFF3667-D289-487A-8E44-AC304D9C050E}">
      <text>
        <r>
          <rPr>
            <sz val="9"/>
            <color indexed="81"/>
            <rFont val="Tahoma"/>
            <family val="2"/>
          </rPr>
          <t xml:space="preserve">
When there is evidence of domestic abuse in the family prior to intervention. Domestic abuse includes physical violence, coercive control and ‘gaslighting’, economic abuse, online abuse, threats and intimidation, emotional abuse and sexual abuse. Note: current costs exist for adult victims only.</t>
        </r>
      </text>
    </comment>
    <comment ref="E158" authorId="0" shapeId="0" xr:uid="{5151CADD-5215-4B64-84B2-995A503E0609}">
      <text>
        <r>
          <rPr>
            <sz val="9"/>
            <color indexed="81"/>
            <rFont val="Tahoma"/>
            <family val="2"/>
          </rPr>
          <t xml:space="preserve">
Only costs for adult survivors exist</t>
        </r>
      </text>
    </comment>
    <comment ref="D159" authorId="0" shapeId="0" xr:uid="{B20560D0-8C23-410B-B207-E27625554467}">
      <text>
        <r>
          <rPr>
            <sz val="9"/>
            <color indexed="81"/>
            <rFont val="Tahoma"/>
            <family val="2"/>
          </rPr>
          <t xml:space="preserve">
Instances of crimes committed crimes, irrespective of whether the offender was arrested for the crime. Not all unit costs of crime are included in the database; the most common among people with problem alcohol and drug use are.</t>
        </r>
      </text>
    </comment>
    <comment ref="L160" authorId="0" shapeId="0" xr:uid="{36759CC7-1C13-407E-B7CB-23F13C16AA75}">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160" authorId="0" shapeId="0" xr:uid="{30EC225A-83DE-4EC8-8379-E7ECC50678E9}">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N160" authorId="0" shapeId="0" xr:uid="{EA09621F-3FE4-4E99-9616-6E89E5C79CD2}">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O160" authorId="0" shapeId="0" xr:uid="{BAB527EE-61B5-4588-9850-4553BB0C2346}">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161" authorId="0" shapeId="0" xr:uid="{1FA490F2-91AF-4CF3-BCD2-9FF7C72A79B3}">
      <text>
        <r>
          <rPr>
            <sz val="9"/>
            <color indexed="81"/>
            <rFont val="Tahoma"/>
            <family val="2"/>
          </rPr>
          <t xml:space="preserve">
Using a multiplier of 100 to get annual cost taken from VfM tool available from ndtms.net i.e. a shoplifter is likely to commit 100 shoplifting offences in a year.</t>
        </r>
      </text>
    </comment>
    <comment ref="L162" authorId="0" shapeId="0" xr:uid="{63B4A113-A404-41FE-9F78-C94D715ECA11}">
      <text>
        <r>
          <rPr>
            <sz val="9"/>
            <color indexed="81"/>
            <rFont val="Tahoma"/>
            <family val="2"/>
          </rPr>
          <t xml:space="preserve">
Using a multiplier of 15 to get annual cost taken from VfM tool available from ndtms.net i.e. a robber is likely to commit 15 robberies in a year</t>
        </r>
      </text>
    </comment>
    <comment ref="M162" authorId="0" shapeId="0" xr:uid="{B742ECF0-6D96-41A4-A9FA-DA5785D23245}">
      <text>
        <r>
          <rPr>
            <sz val="9"/>
            <color indexed="81"/>
            <rFont val="Tahoma"/>
            <family val="2"/>
          </rPr>
          <t xml:space="preserve">
Using a multiplier of 15 to get annual cost taken from VfM tool available from ndtms.net i.e. a robber is likely to commit 15 robberies in a year</t>
        </r>
      </text>
    </comment>
    <comment ref="N162" authorId="0" shapeId="0" xr:uid="{B9339B2C-DE48-446A-A5CA-147D07BDB894}">
      <text>
        <r>
          <rPr>
            <sz val="9"/>
            <color indexed="81"/>
            <rFont val="Tahoma"/>
            <family val="2"/>
          </rPr>
          <t xml:space="preserve">
Using a multiplier of 15 to get annual cost taken from VfM tool available from ndtms.net i.e. a robber is likely to commit 15 robberies in a year</t>
        </r>
      </text>
    </comment>
    <comment ref="O162" authorId="0" shapeId="0" xr:uid="{37ED4D08-DCCC-4C63-9053-D42174BBF279}">
      <text>
        <r>
          <rPr>
            <sz val="9"/>
            <color indexed="81"/>
            <rFont val="Tahoma"/>
            <family val="2"/>
          </rPr>
          <t xml:space="preserve">
Using a multiplier of 15 to get annual cost taken from VfM tool available from ndtms.net i.e. a robber is likely to commit 15 robberies in a year</t>
        </r>
      </text>
    </comment>
    <comment ref="L163" authorId="0" shapeId="0" xr:uid="{E0E80CE6-D64B-4B98-A738-A49DBC723F37}">
      <text>
        <r>
          <rPr>
            <sz val="9"/>
            <color indexed="81"/>
            <rFont val="Tahoma"/>
            <family val="2"/>
          </rPr>
          <t xml:space="preserve">
Using a multiplier of 25 to get annual cost taken from VfM tool available from ndtms.net i.e. a house burglar is likely to commit 25 house burglaries in a year</t>
        </r>
      </text>
    </comment>
    <comment ref="M163" authorId="0" shapeId="0" xr:uid="{BE59A3B2-5055-488E-988B-F78DDABA9A24}">
      <text>
        <r>
          <rPr>
            <sz val="9"/>
            <color indexed="81"/>
            <rFont val="Tahoma"/>
            <family val="2"/>
          </rPr>
          <t xml:space="preserve">
Using a multiplier of 25 to get annual cost taken from VfM tool available from ndtms.net i.e. a house burglar is likely to commit 25 house burglaries in a year</t>
        </r>
      </text>
    </comment>
    <comment ref="N163" authorId="0" shapeId="0" xr:uid="{CD427176-F9B9-48EF-8355-07CC2C232C2B}">
      <text>
        <r>
          <rPr>
            <sz val="9"/>
            <color indexed="81"/>
            <rFont val="Tahoma"/>
            <family val="2"/>
          </rPr>
          <t xml:space="preserve">
Using a multiplier of 25 to get annual cost taken from VfM tool available from ndtms.net i.e. a house burglar is likely to commit 25 house burglaries in a year</t>
        </r>
      </text>
    </comment>
    <comment ref="O163" authorId="0" shapeId="0" xr:uid="{452FD314-7A74-4F63-8674-236CEC53A2D5}">
      <text>
        <r>
          <rPr>
            <sz val="9"/>
            <color indexed="81"/>
            <rFont val="Tahoma"/>
            <family val="2"/>
          </rPr>
          <t>Using a multiplier of 25 to get annual cost taken from VfM tool available from ndtms.net i.e. a house burglar is likely to commit 25 house burglaries in a year</t>
        </r>
      </text>
    </comment>
    <comment ref="D164" authorId="0" shapeId="0" xr:uid="{F0474291-319E-4AFC-BE20-BFFA4DD454B1}">
      <text>
        <r>
          <rPr>
            <sz val="9"/>
            <color indexed="81"/>
            <rFont val="Tahoma"/>
            <family val="2"/>
          </rPr>
          <t xml:space="preserve">
Number to be added is per family, rather than per adult
</t>
        </r>
      </text>
    </comment>
    <comment ref="M164" authorId="0" shapeId="0" xr:uid="{A04D9637-2EB4-41A0-958F-71849FF94116}">
      <text>
        <r>
          <rPr>
            <sz val="9"/>
            <color indexed="81"/>
            <rFont val="Tahoma"/>
            <family val="2"/>
          </rPr>
          <t xml:space="preserve">
Using a multiplier of 6 based on average violent offences committed in ayear to get annual cost taken from VfM tool available from ndtms.net</t>
        </r>
      </text>
    </comment>
    <comment ref="D169" authorId="0" shapeId="0" xr:uid="{816FD59A-401F-494E-AD47-9785664CB78D}">
      <text>
        <r>
          <rPr>
            <sz val="9"/>
            <color indexed="81"/>
            <rFont val="Tahoma"/>
            <family val="2"/>
          </rPr>
          <t xml:space="preserve">
Where a member of the family is/was receiving specialist treatment for alcohol and/or drug dependency. </t>
        </r>
      </text>
    </comment>
    <comment ref="D224" authorId="0" shapeId="0" xr:uid="{4D522BBC-0726-4538-9DE5-A52F42B4F0C8}">
      <text>
        <r>
          <rPr>
            <sz val="9"/>
            <color indexed="81"/>
            <rFont val="Tahoma"/>
            <family val="2"/>
          </rPr>
          <t xml:space="preserve">
When a child is/was receiving or it is highly probable that they would be looked after</t>
        </r>
      </text>
    </comment>
    <comment ref="D225" authorId="0" shapeId="0" xr:uid="{EE9EB718-A194-4369-B370-FE0AC0B3D490}">
      <text>
        <r>
          <rPr>
            <sz val="9"/>
            <color indexed="81"/>
            <rFont val="Tahoma"/>
            <family val="2"/>
          </rPr>
          <t xml:space="preserve">
When a child is/was receiving or it is highly probable that they would be on a child protection plan</t>
        </r>
      </text>
    </comment>
    <comment ref="D226" authorId="0" shapeId="0" xr:uid="{292DA7DC-5692-49D4-8EB9-19C465BCF47A}">
      <text>
        <r>
          <rPr>
            <sz val="9"/>
            <color indexed="81"/>
            <rFont val="Tahoma"/>
            <family val="2"/>
          </rPr>
          <t xml:space="preserve">
When a child is/was receiving or it is highly probable that they would be on a child in need plan</t>
        </r>
      </text>
    </comment>
    <comment ref="D227" authorId="0" shapeId="0" xr:uid="{B039176F-E7F9-4673-9804-3542F0E51F68}">
      <text>
        <r>
          <rPr>
            <sz val="9"/>
            <color indexed="81"/>
            <rFont val="Tahoma"/>
            <family val="2"/>
          </rPr>
          <t xml:space="preserve">
When a child is/was receiving or it is highly probable that they would be in receipt of early help</t>
        </r>
      </text>
    </comment>
    <comment ref="D228" authorId="0" shapeId="0" xr:uid="{9528661B-8287-4F64-85A0-5E1AC4560EAB}">
      <text>
        <r>
          <rPr>
            <sz val="9"/>
            <color indexed="81"/>
            <rFont val="Tahoma"/>
            <family val="2"/>
          </rPr>
          <t xml:space="preserve">
When a child is/ was receiving support as part of the Troubled Families programme</t>
        </r>
      </text>
    </comment>
    <comment ref="D229" authorId="0" shapeId="0" xr:uid="{5B1E8AB0-24E3-4EA3-BFC3-D2DD693ACF59}">
      <text>
        <r>
          <rPr>
            <sz val="9"/>
            <color indexed="81"/>
            <rFont val="Tahoma"/>
            <family val="2"/>
          </rPr>
          <t xml:space="preserve">
When a young person in the family, e.g. elder sibling, is taking on carer responsibilities for younger siblings and/or parents. </t>
        </r>
      </text>
    </comment>
    <comment ref="D230" authorId="0" shapeId="0" xr:uid="{EDD1E9C5-CEAA-469B-975F-D41F8637863E}">
      <text>
        <r>
          <rPr>
            <sz val="9"/>
            <color indexed="81"/>
            <rFont val="Tahoma"/>
            <family val="2"/>
          </rPr>
          <t xml:space="preserve">
When a child is/was living with grandparents, other family members/ connected adults.</t>
        </r>
      </text>
    </comment>
    <comment ref="D231" authorId="0" shapeId="0" xr:uid="{BC908C97-B4A9-4E42-AFA2-65074DDC63F1}">
      <text>
        <r>
          <rPr>
            <sz val="9"/>
            <color indexed="81"/>
            <rFont val="Tahoma"/>
            <family val="2"/>
          </rPr>
          <t xml:space="preserve">
Instances where a child is either permanently or temporarily removed from school (up to 45 school days in one school year) or at significant risk of being excluded.</t>
        </r>
      </text>
    </comment>
    <comment ref="H231" authorId="0" shapeId="0" xr:uid="{B8592888-7681-43B9-9F81-212329F9D9F6}">
      <text>
        <r>
          <rPr>
            <sz val="9"/>
            <color indexed="81"/>
            <rFont val="Tahoma"/>
            <family val="2"/>
          </rPr>
          <t xml:space="preserve">
£2,200 is for residential/ foster care associated with school exclusion</t>
        </r>
      </text>
    </comment>
    <comment ref="D232" authorId="0" shapeId="0" xr:uid="{E294F2CA-9784-41F5-80D9-21BA914EE8C8}">
      <text>
        <r>
          <rPr>
            <sz val="9"/>
            <color indexed="81"/>
            <rFont val="Tahoma"/>
            <family val="2"/>
          </rPr>
          <t xml:space="preserve">
Instances where a child does not attend school or leave school early without permission/ legitimate reason.</t>
        </r>
      </text>
    </comment>
    <comment ref="H232" authorId="0" shapeId="0" xr:uid="{CD5ACC3B-A0AC-4C9D-B614-BCE2C20FD551}">
      <text>
        <r>
          <rPr>
            <sz val="9"/>
            <color indexed="81"/>
            <rFont val="Tahoma"/>
            <family val="2"/>
          </rPr>
          <t xml:space="preserve"> £2,600 is for residential/ foster care associated with school truancy</t>
        </r>
      </text>
    </comment>
    <comment ref="D233" authorId="0" shapeId="0" xr:uid="{1FF5A8E3-37BD-4628-8105-08B799AB723D}">
      <text>
        <r>
          <rPr>
            <sz val="9"/>
            <color indexed="81"/>
            <rFont val="Tahoma"/>
            <family val="2"/>
          </rPr>
          <t xml:space="preserve">
Cases when a mother is experiencing/ has experienced depression and/ or anxiety during pregnancy or up to one year after the birth of a child. </t>
        </r>
      </text>
    </comment>
    <comment ref="D234" authorId="0" shapeId="0" xr:uid="{3786A52C-7B77-4CD5-8DF3-B7E4C14319F5}">
      <text>
        <r>
          <rPr>
            <sz val="9"/>
            <color indexed="81"/>
            <rFont val="Tahoma"/>
            <family val="2"/>
          </rPr>
          <t xml:space="preserve">
Cases when a mother is experiencing/ has experienced depression and/ or anxiety during pregnancy or up to one year after the birth of a child. </t>
        </r>
      </text>
    </comment>
    <comment ref="D235" authorId="0" shapeId="0" xr:uid="{CCEBF337-F86F-483B-AF4E-D5F3FEFD6988}">
      <text>
        <r>
          <rPr>
            <sz val="9"/>
            <color indexed="81"/>
            <rFont val="Tahoma"/>
            <family val="2"/>
          </rPr>
          <t xml:space="preserve">
According to NICE, conduct disorder refers to “a persistent (several months or longer) pattern of antisocial behaviour where a child or young person repeatedly carries out aggressive acts that may cause them distress and/or social impairment, and upset other people”.</t>
        </r>
      </text>
    </comment>
    <comment ref="D236" authorId="0" shapeId="0" xr:uid="{E4BB2AA3-F830-4F6D-8D30-45C4E1FE5EA8}">
      <text>
        <r>
          <rPr>
            <sz val="9"/>
            <color indexed="81"/>
            <rFont val="Tahoma"/>
            <family val="2"/>
          </rPr>
          <t xml:space="preserve">
When it is highly probable that a mother would have been drinking problematically throughout pregnancy were it not for intervention.</t>
        </r>
      </text>
    </comment>
    <comment ref="H236" authorId="0" shapeId="0" xr:uid="{F51D2EDB-5F5F-4EFA-B9C9-A6EDB09492F6}">
      <text>
        <r>
          <rPr>
            <sz val="9"/>
            <color indexed="81"/>
            <rFont val="Tahoma"/>
            <family val="2"/>
          </rPr>
          <t xml:space="preserve">
Cost of residential care only</t>
        </r>
      </text>
    </comment>
    <comment ref="D237" authorId="0" shapeId="0" xr:uid="{B2C52991-AA1D-4C7F-8DFE-0487DA2A910D}">
      <text>
        <r>
          <rPr>
            <sz val="9"/>
            <color indexed="81"/>
            <rFont val="Tahoma"/>
            <family val="2"/>
          </rPr>
          <t xml:space="preserve">
When a family were homeless, or at risk of homelessness. Homelessness refers to rough sleeping, the statutory homeless and the hidden homeless (such as those in hostels, B&amp;Bs, squats or on the floors/ sofas or friends and family). At risk of homelessness could include, but is not limited to, those living with significant financial pressures and/or escaping a violent relationship.</t>
        </r>
      </text>
    </comment>
    <comment ref="J237" authorId="0" shapeId="0" xr:uid="{353F5AB4-6AA6-4439-938C-8F9942EBB1BD}">
      <text>
        <r>
          <rPr>
            <sz val="9"/>
            <color indexed="81"/>
            <rFont val="Tahoma"/>
            <family val="2"/>
          </rPr>
          <t xml:space="preserve">
Cost per family, not individual</t>
        </r>
      </text>
    </comment>
    <comment ref="D238" authorId="0" shapeId="0" xr:uid="{0B522713-C1D9-4521-957A-996C4C29493F}">
      <text>
        <r>
          <rPr>
            <sz val="9"/>
            <color indexed="81"/>
            <rFont val="Tahoma"/>
            <family val="2"/>
          </rPr>
          <t xml:space="preserve">
Cases of NHS treatment for physical and mental health problems/ events, e.g. A&amp;E attendance.</t>
        </r>
      </text>
    </comment>
    <comment ref="D241" authorId="0" shapeId="0" xr:uid="{1C5848CD-30F8-44BA-B088-60FAAE3A44C8}">
      <text>
        <r>
          <rPr>
            <sz val="9"/>
            <color indexed="81"/>
            <rFont val="Tahoma"/>
            <family val="2"/>
          </rPr>
          <t xml:space="preserve">
When there is evidence of domestic abuse in the family prior to intervention. Domestic abuse includes physical violence, coercive control and ‘gaslighting’, economic abuse, online abuse, threats and intimidation, emotional abuse and sexual abuse. Note: current costs exist for adult victims only.</t>
        </r>
      </text>
    </comment>
    <comment ref="E241" authorId="0" shapeId="0" xr:uid="{4F5E3F74-5331-4BCD-9862-F81950CE3E4A}">
      <text>
        <r>
          <rPr>
            <sz val="9"/>
            <color indexed="81"/>
            <rFont val="Tahoma"/>
            <family val="2"/>
          </rPr>
          <t xml:space="preserve">
Only costs for adult survivors exist</t>
        </r>
      </text>
    </comment>
    <comment ref="D242" authorId="0" shapeId="0" xr:uid="{31A8CE73-4E95-469A-AB37-E4F895B1F085}">
      <text>
        <r>
          <rPr>
            <sz val="9"/>
            <color indexed="81"/>
            <rFont val="Tahoma"/>
            <family val="2"/>
          </rPr>
          <t xml:space="preserve">
Instances of crimes committed crimes, irrespective of whether the offender was arrested for the crime. Not all unit costs of crime are included in the database; the most common among people with problem alcohol and drug use are.</t>
        </r>
      </text>
    </comment>
    <comment ref="L243" authorId="0" shapeId="0" xr:uid="{7FCB91FF-3019-4154-8C66-43385288A8F2}">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243" authorId="0" shapeId="0" xr:uid="{FE840C9D-FC89-4679-9DD7-16084F0F96BE}">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N243" authorId="0" shapeId="0" xr:uid="{67055D0C-0E77-459B-BD46-C4A1E30A3D51}">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O243" authorId="0" shapeId="0" xr:uid="{048CDA3E-F9E9-4ADD-B8D9-59AA0012F867}">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244" authorId="0" shapeId="0" xr:uid="{4EA3D28D-6B8B-4E44-815C-B2649F4DF13E}">
      <text>
        <r>
          <rPr>
            <sz val="9"/>
            <color indexed="81"/>
            <rFont val="Tahoma"/>
            <family val="2"/>
          </rPr>
          <t xml:space="preserve">
Using a multiplier of 100 to get annual cost taken from VfM tool available from ndtms.net i.e. a shoplifter is likely to commit 100 shoplifting offences in a year.</t>
        </r>
      </text>
    </comment>
    <comment ref="L245" authorId="0" shapeId="0" xr:uid="{26DC0F3B-978B-4E5D-8DE8-172800A9B4EE}">
      <text>
        <r>
          <rPr>
            <sz val="9"/>
            <color indexed="81"/>
            <rFont val="Tahoma"/>
            <family val="2"/>
          </rPr>
          <t xml:space="preserve">
Using a multiplier of 15 to get annual cost taken from VfM tool available from ndtms.net i.e. a robber is likely to commit 15 robberies in a year</t>
        </r>
      </text>
    </comment>
    <comment ref="M245" authorId="0" shapeId="0" xr:uid="{8ED7650B-8D7B-4CBF-A622-C3524EADD37A}">
      <text>
        <r>
          <rPr>
            <sz val="9"/>
            <color indexed="81"/>
            <rFont val="Tahoma"/>
            <family val="2"/>
          </rPr>
          <t xml:space="preserve">
Using a multiplier of 15 to get annual cost taken from VfM tool available from ndtms.net i.e. a robber is likely to commit 15 robberies in a year</t>
        </r>
      </text>
    </comment>
    <comment ref="N245" authorId="0" shapeId="0" xr:uid="{C9E5C6A1-4AA5-4DB9-ACE7-FF4A1AE381FB}">
      <text>
        <r>
          <rPr>
            <sz val="9"/>
            <color indexed="81"/>
            <rFont val="Tahoma"/>
            <family val="2"/>
          </rPr>
          <t xml:space="preserve">
Using a multiplier of 15 to get annual cost taken from VfM tool available from ndtms.net i.e. a robber is likely to commit 15 robberies in a year</t>
        </r>
      </text>
    </comment>
    <comment ref="O245" authorId="0" shapeId="0" xr:uid="{4DB5AC1E-38A2-4480-9295-3D35E996C864}">
      <text>
        <r>
          <rPr>
            <sz val="9"/>
            <color indexed="81"/>
            <rFont val="Tahoma"/>
            <family val="2"/>
          </rPr>
          <t xml:space="preserve">
Using a multiplier of 15 to get annual cost taken from VfM tool available from ndtms.net i.e. a robber is likely to commit 15 robberies in a year</t>
        </r>
      </text>
    </comment>
    <comment ref="L246" authorId="0" shapeId="0" xr:uid="{151F58A7-1C7F-49B7-94D1-BA69C75267B1}">
      <text>
        <r>
          <rPr>
            <sz val="9"/>
            <color indexed="81"/>
            <rFont val="Tahoma"/>
            <family val="2"/>
          </rPr>
          <t xml:space="preserve">
Using a multiplier of 25 to get annual cost taken from VfM tool available from ndtms.net i.e. a house burglar is likely to commit 25 house burglaries in a year</t>
        </r>
      </text>
    </comment>
    <comment ref="M246" authorId="0" shapeId="0" xr:uid="{018887E5-662B-4C20-914E-00B62484B04F}">
      <text>
        <r>
          <rPr>
            <sz val="9"/>
            <color indexed="81"/>
            <rFont val="Tahoma"/>
            <family val="2"/>
          </rPr>
          <t xml:space="preserve">
Using a multiplier of 25 to get annual cost taken from VfM tool available from ndtms.net i.e. a house burglar is likely to commit 25 house burglaries in a year</t>
        </r>
      </text>
    </comment>
    <comment ref="N246" authorId="0" shapeId="0" xr:uid="{FFB6A2DF-E28C-42C8-9241-EEA3C8F480A7}">
      <text>
        <r>
          <rPr>
            <sz val="9"/>
            <color indexed="81"/>
            <rFont val="Tahoma"/>
            <family val="2"/>
          </rPr>
          <t xml:space="preserve">
Using a multiplier of 25 to get annual cost taken from VfM tool available from ndtms.net i.e. a house burglar is likely to commit 25 house burglaries in a year</t>
        </r>
      </text>
    </comment>
    <comment ref="O246" authorId="0" shapeId="0" xr:uid="{8DC4E11A-6AD3-49DE-9866-E577921770F3}">
      <text>
        <r>
          <rPr>
            <sz val="9"/>
            <color indexed="81"/>
            <rFont val="Tahoma"/>
            <family val="2"/>
          </rPr>
          <t>Using a multiplier of 25 to get annual cost taken from VfM tool available from ndtms.net i.e. a house burglar is likely to commit 25 house burglaries in a year</t>
        </r>
      </text>
    </comment>
    <comment ref="D247" authorId="0" shapeId="0" xr:uid="{91775444-D5E0-48AE-88AF-4C333D681254}">
      <text>
        <r>
          <rPr>
            <sz val="9"/>
            <color indexed="81"/>
            <rFont val="Tahoma"/>
            <family val="2"/>
          </rPr>
          <t xml:space="preserve">
Number to be added is per family, rather than per adult
</t>
        </r>
      </text>
    </comment>
    <comment ref="M247" authorId="0" shapeId="0" xr:uid="{77253013-3A69-49F6-A9FB-9B93EEBE6594}">
      <text>
        <r>
          <rPr>
            <sz val="9"/>
            <color indexed="81"/>
            <rFont val="Tahoma"/>
            <family val="2"/>
          </rPr>
          <t xml:space="preserve">
Using a multiplier of 6 based on average violent offences committed in ayear to get annual cost taken from VfM tool available from ndtms.net</t>
        </r>
      </text>
    </comment>
    <comment ref="D252" authorId="0" shapeId="0" xr:uid="{F3097CFE-DC00-4703-BAE6-91F7AE02341E}">
      <text>
        <r>
          <rPr>
            <sz val="9"/>
            <color indexed="81"/>
            <rFont val="Tahoma"/>
            <family val="2"/>
          </rPr>
          <t xml:space="preserve">
Where a member of the family is/was receiving specialist treatment for alcohol and/or drug dependency. </t>
        </r>
      </text>
    </comment>
    <comment ref="D307" authorId="0" shapeId="0" xr:uid="{AF380338-A151-4104-A2ED-C91B90686C9B}">
      <text>
        <r>
          <rPr>
            <sz val="9"/>
            <color indexed="81"/>
            <rFont val="Tahoma"/>
            <family val="2"/>
          </rPr>
          <t xml:space="preserve">
When a child is/was receiving or it is highly probable that they would be looked after</t>
        </r>
      </text>
    </comment>
    <comment ref="D308" authorId="0" shapeId="0" xr:uid="{40C2CE8F-F19A-4680-AF92-6D844FBA1580}">
      <text>
        <r>
          <rPr>
            <sz val="9"/>
            <color indexed="81"/>
            <rFont val="Tahoma"/>
            <family val="2"/>
          </rPr>
          <t xml:space="preserve">
When a child is/was receiving or it is highly probable that they would be on a child protection plan</t>
        </r>
      </text>
    </comment>
    <comment ref="D309" authorId="0" shapeId="0" xr:uid="{4935BF7F-5407-4A24-81B4-79E869F13D89}">
      <text>
        <r>
          <rPr>
            <sz val="9"/>
            <color indexed="81"/>
            <rFont val="Tahoma"/>
            <family val="2"/>
          </rPr>
          <t xml:space="preserve">
When a child is/was receiving or it is highly probable that they would be on a child in need plan</t>
        </r>
      </text>
    </comment>
    <comment ref="D310" authorId="0" shapeId="0" xr:uid="{FE069172-277C-41E5-9FAD-FEC3E7B21F76}">
      <text>
        <r>
          <rPr>
            <sz val="9"/>
            <color indexed="81"/>
            <rFont val="Tahoma"/>
            <family val="2"/>
          </rPr>
          <t xml:space="preserve">
When a child is/was receiving or it is highly probable that they would be in receipt of early help</t>
        </r>
      </text>
    </comment>
    <comment ref="D311" authorId="0" shapeId="0" xr:uid="{D5997602-ECDE-4537-9870-5765AFC1A05F}">
      <text>
        <r>
          <rPr>
            <sz val="9"/>
            <color indexed="81"/>
            <rFont val="Tahoma"/>
            <family val="2"/>
          </rPr>
          <t xml:space="preserve">
When a child is/ was receiving support as part of the Troubled Families programme</t>
        </r>
      </text>
    </comment>
    <comment ref="D312" authorId="0" shapeId="0" xr:uid="{26B647B2-FAE1-4836-BCF9-45DCCB057C61}">
      <text>
        <r>
          <rPr>
            <sz val="9"/>
            <color indexed="81"/>
            <rFont val="Tahoma"/>
            <family val="2"/>
          </rPr>
          <t xml:space="preserve">
When a young person in the family, e.g. elder sibling, is taking on carer responsibilities for younger siblings and/or parents. </t>
        </r>
      </text>
    </comment>
    <comment ref="D313" authorId="0" shapeId="0" xr:uid="{D63A8CB6-AE64-40F3-980E-CE5616F685CA}">
      <text>
        <r>
          <rPr>
            <sz val="9"/>
            <color indexed="81"/>
            <rFont val="Tahoma"/>
            <family val="2"/>
          </rPr>
          <t xml:space="preserve">
When a child is/was living with grandparents, other family members/ connected adults.</t>
        </r>
      </text>
    </comment>
    <comment ref="D314" authorId="0" shapeId="0" xr:uid="{BB503F1E-68FA-4ADB-8309-EB6430B4B4D3}">
      <text>
        <r>
          <rPr>
            <sz val="9"/>
            <color indexed="81"/>
            <rFont val="Tahoma"/>
            <family val="2"/>
          </rPr>
          <t xml:space="preserve">
Instances where a child is either permanently or temporarily removed from school (up to 45 school days in one school year) or at significant risk of being excluded.</t>
        </r>
      </text>
    </comment>
    <comment ref="H314" authorId="0" shapeId="0" xr:uid="{8B4D724B-0C72-4048-92B5-347CE89DBFDE}">
      <text>
        <r>
          <rPr>
            <sz val="9"/>
            <color indexed="81"/>
            <rFont val="Tahoma"/>
            <family val="2"/>
          </rPr>
          <t xml:space="preserve">
£2,200 is for residential/ foster care associated with school exclusion</t>
        </r>
      </text>
    </comment>
    <comment ref="D315" authorId="0" shapeId="0" xr:uid="{B4304990-8BF0-4840-8AC6-25BB2DB9DEFF}">
      <text>
        <r>
          <rPr>
            <sz val="9"/>
            <color indexed="81"/>
            <rFont val="Tahoma"/>
            <family val="2"/>
          </rPr>
          <t xml:space="preserve">
Instances where a child does not attend school or leave school early without permission/ legitimate reason.</t>
        </r>
      </text>
    </comment>
    <comment ref="H315" authorId="0" shapeId="0" xr:uid="{9CEF4A70-D709-4ABB-AC02-1E99CAD07022}">
      <text>
        <r>
          <rPr>
            <sz val="9"/>
            <color indexed="81"/>
            <rFont val="Tahoma"/>
            <family val="2"/>
          </rPr>
          <t xml:space="preserve"> £2,600 is for residential/ foster care associated with school truancy</t>
        </r>
      </text>
    </comment>
    <comment ref="D316" authorId="0" shapeId="0" xr:uid="{B0698272-3FF6-438D-AE6F-62A5E25C6FAC}">
      <text>
        <r>
          <rPr>
            <sz val="9"/>
            <color indexed="81"/>
            <rFont val="Tahoma"/>
            <family val="2"/>
          </rPr>
          <t xml:space="preserve">
Cases when a mother is experiencing/ has experienced depression and/ or anxiety during pregnancy or up to one year after the birth of a child. </t>
        </r>
      </text>
    </comment>
    <comment ref="D317" authorId="0" shapeId="0" xr:uid="{B395B213-875C-4750-A108-93C2BB07742A}">
      <text>
        <r>
          <rPr>
            <sz val="9"/>
            <color indexed="81"/>
            <rFont val="Tahoma"/>
            <family val="2"/>
          </rPr>
          <t xml:space="preserve">
Cases when a mother is experiencing/ has experienced depression and/ or anxiety during pregnancy or up to one year after the birth of a child. </t>
        </r>
      </text>
    </comment>
    <comment ref="D318" authorId="0" shapeId="0" xr:uid="{567A2404-6423-4081-9E8D-46566BD53EC3}">
      <text>
        <r>
          <rPr>
            <sz val="9"/>
            <color indexed="81"/>
            <rFont val="Tahoma"/>
            <family val="2"/>
          </rPr>
          <t xml:space="preserve">
According to NICE, conduct disorder refers to “a persistent (several months or longer) pattern of antisocial behaviour where a child or young person repeatedly carries out aggressive acts that may cause them distress and/or social impairment, and upset other people”.</t>
        </r>
      </text>
    </comment>
    <comment ref="D319" authorId="0" shapeId="0" xr:uid="{6105FF64-1E31-4D84-979F-1E71011E3E99}">
      <text>
        <r>
          <rPr>
            <sz val="9"/>
            <color indexed="81"/>
            <rFont val="Tahoma"/>
            <family val="2"/>
          </rPr>
          <t xml:space="preserve">
When it is highly probable that a mother would have been drinking problematically throughout pregnancy were it not for intervention.</t>
        </r>
      </text>
    </comment>
    <comment ref="H319" authorId="0" shapeId="0" xr:uid="{0FC36825-CD4E-409C-AF1F-CD34C233FA08}">
      <text>
        <r>
          <rPr>
            <sz val="9"/>
            <color indexed="81"/>
            <rFont val="Tahoma"/>
            <family val="2"/>
          </rPr>
          <t xml:space="preserve">
Cost of residential care only</t>
        </r>
      </text>
    </comment>
    <comment ref="D320" authorId="0" shapeId="0" xr:uid="{A3FFF440-BCCA-47F7-92D8-4E05CA0ACB94}">
      <text>
        <r>
          <rPr>
            <sz val="9"/>
            <color indexed="81"/>
            <rFont val="Tahoma"/>
            <family val="2"/>
          </rPr>
          <t xml:space="preserve">
When a family were homeless, or at risk of homelessness. Homelessness refers to rough sleeping, the statutory homeless and the hidden homeless (such as those in hostels, B&amp;Bs, squats or on the floors/ sofas or friends and family). At risk of homelessness could include, but is not limited to, those living with significant financial pressures and/or escaping a violent relationship.</t>
        </r>
      </text>
    </comment>
    <comment ref="J320" authorId="0" shapeId="0" xr:uid="{29996ADF-C0F3-4FDE-A3E2-C63A6115637A}">
      <text>
        <r>
          <rPr>
            <sz val="9"/>
            <color indexed="81"/>
            <rFont val="Tahoma"/>
            <family val="2"/>
          </rPr>
          <t xml:space="preserve">
Cost per family, not individual</t>
        </r>
      </text>
    </comment>
    <comment ref="D321" authorId="0" shapeId="0" xr:uid="{F7A5310E-F629-42E0-8943-6A4871F2C279}">
      <text>
        <r>
          <rPr>
            <sz val="9"/>
            <color indexed="81"/>
            <rFont val="Tahoma"/>
            <family val="2"/>
          </rPr>
          <t xml:space="preserve">
Cases of NHS treatment for physical and mental health problems/ events, e.g. A&amp;E attendance.</t>
        </r>
      </text>
    </comment>
    <comment ref="D324" authorId="0" shapeId="0" xr:uid="{361287BB-23A0-4D71-91F4-6440BD51DD4E}">
      <text>
        <r>
          <rPr>
            <sz val="9"/>
            <color indexed="81"/>
            <rFont val="Tahoma"/>
            <family val="2"/>
          </rPr>
          <t xml:space="preserve">
When there is evidence of domestic abuse in the family prior to intervention. Domestic abuse includes physical violence, coercive control and ‘gaslighting’, economic abuse, online abuse, threats and intimidation, emotional abuse and sexual abuse. Note: current costs exist for adult victims only.</t>
        </r>
      </text>
    </comment>
    <comment ref="E324" authorId="0" shapeId="0" xr:uid="{36E857D2-ACAF-4286-9064-4DE3387EE16B}">
      <text>
        <r>
          <rPr>
            <sz val="9"/>
            <color indexed="81"/>
            <rFont val="Tahoma"/>
            <family val="2"/>
          </rPr>
          <t xml:space="preserve">
Only costs for adult survivors exist</t>
        </r>
      </text>
    </comment>
    <comment ref="D325" authorId="0" shapeId="0" xr:uid="{DCB95077-9A5F-4304-82A0-8CC55B0FBD8B}">
      <text>
        <r>
          <rPr>
            <sz val="9"/>
            <color indexed="81"/>
            <rFont val="Tahoma"/>
            <family val="2"/>
          </rPr>
          <t xml:space="preserve">
Instances of crimes committed crimes, irrespective of whether the offender was arrested for the crime. Not all unit costs of crime are included in the database; the most common among people with problem alcohol and drug use are.</t>
        </r>
      </text>
    </comment>
    <comment ref="L326" authorId="0" shapeId="0" xr:uid="{546E7CC8-C870-4631-8C95-FBDCC000BE78}">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326" authorId="0" shapeId="0" xr:uid="{DAFCBB23-0D55-4198-898A-384A74A14035}">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N326" authorId="0" shapeId="0" xr:uid="{1132F8AF-869C-4353-8161-F63FB8C0406F}">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O326" authorId="0" shapeId="0" xr:uid="{DF6E633F-EF13-4392-B557-EC15083081ED}">
      <text>
        <r>
          <rPr>
            <sz val="9"/>
            <color indexed="81"/>
            <rFont val="Tahoma"/>
            <family val="2"/>
          </rPr>
          <t xml:space="preserve">
Average of violence without injury and with injury and using a multiplier of 6 to get annual cost taken from VfM tool available from ndtms.net i.e. a violent offender is likely to commit 100 violent offences in a year.</t>
        </r>
      </text>
    </comment>
    <comment ref="M327" authorId="0" shapeId="0" xr:uid="{C516C8F1-7677-4200-A0A8-2A7F646C7A98}">
      <text>
        <r>
          <rPr>
            <sz val="9"/>
            <color indexed="81"/>
            <rFont val="Tahoma"/>
            <family val="2"/>
          </rPr>
          <t xml:space="preserve">
Using a multiplier of 100 to get annual cost taken from VfM tool available from ndtms.net i.e. a shoplifter is likely to commit 100 shoplifting offences in a year.</t>
        </r>
      </text>
    </comment>
    <comment ref="L328" authorId="0" shapeId="0" xr:uid="{CBD60E76-0FCB-4CBC-B0C6-F485E4B257F8}">
      <text>
        <r>
          <rPr>
            <sz val="9"/>
            <color indexed="81"/>
            <rFont val="Tahoma"/>
            <family val="2"/>
          </rPr>
          <t xml:space="preserve">
Using a multiplier of 15 to get annual cost taken from VfM tool available from ndtms.net i.e. a robber is likely to commit 15 robberies in a year</t>
        </r>
      </text>
    </comment>
    <comment ref="M328" authorId="0" shapeId="0" xr:uid="{CE0B7848-6D05-449A-8F6F-A1C96B805331}">
      <text>
        <r>
          <rPr>
            <sz val="9"/>
            <color indexed="81"/>
            <rFont val="Tahoma"/>
            <family val="2"/>
          </rPr>
          <t xml:space="preserve">
Using a multiplier of 15 to get annual cost taken from VfM tool available from ndtms.net i.e. a robber is likely to commit 15 robberies in a year</t>
        </r>
      </text>
    </comment>
    <comment ref="N328" authorId="0" shapeId="0" xr:uid="{F686EE7F-7E49-443F-AFDB-E2B9DD713A53}">
      <text>
        <r>
          <rPr>
            <sz val="9"/>
            <color indexed="81"/>
            <rFont val="Tahoma"/>
            <family val="2"/>
          </rPr>
          <t xml:space="preserve">
Using a multiplier of 15 to get annual cost taken from VfM tool available from ndtms.net i.e. a robber is likely to commit 15 robberies in a year</t>
        </r>
      </text>
    </comment>
    <comment ref="O328" authorId="0" shapeId="0" xr:uid="{05EFEC4A-2F78-4E1F-BFFE-9AD626CCF888}">
      <text>
        <r>
          <rPr>
            <sz val="9"/>
            <color indexed="81"/>
            <rFont val="Tahoma"/>
            <family val="2"/>
          </rPr>
          <t xml:space="preserve">
Using a multiplier of 15 to get annual cost taken from VfM tool available from ndtms.net i.e. a robber is likely to commit 15 robberies in a year</t>
        </r>
      </text>
    </comment>
    <comment ref="L329" authorId="0" shapeId="0" xr:uid="{0A3C2EC0-589F-4D09-A572-52BA2DAD422A}">
      <text>
        <r>
          <rPr>
            <sz val="9"/>
            <color indexed="81"/>
            <rFont val="Tahoma"/>
            <family val="2"/>
          </rPr>
          <t xml:space="preserve">
Using a multiplier of 25 to get annual cost taken from VfM tool available from ndtms.net i.e. a house burglar is likely to commit 25 house burglaries in a year</t>
        </r>
      </text>
    </comment>
    <comment ref="M329" authorId="0" shapeId="0" xr:uid="{3A5718E2-D942-401A-A417-508481A28F0D}">
      <text>
        <r>
          <rPr>
            <sz val="9"/>
            <color indexed="81"/>
            <rFont val="Tahoma"/>
            <family val="2"/>
          </rPr>
          <t xml:space="preserve">
Using a multiplier of 25 to get annual cost taken from VfM tool available from ndtms.net i.e. a house burglar is likely to commit 25 house burglaries in a year</t>
        </r>
      </text>
    </comment>
    <comment ref="N329" authorId="0" shapeId="0" xr:uid="{B27511CD-92E5-4A54-9852-7620F075BA78}">
      <text>
        <r>
          <rPr>
            <sz val="9"/>
            <color indexed="81"/>
            <rFont val="Tahoma"/>
            <family val="2"/>
          </rPr>
          <t xml:space="preserve">
Using a multiplier of 25 to get annual cost taken from VfM tool available from ndtms.net i.e. a house burglar is likely to commit 25 house burglaries in a year</t>
        </r>
      </text>
    </comment>
    <comment ref="O329" authorId="0" shapeId="0" xr:uid="{E9C979AA-EF16-43CE-942C-7260287ED0B8}">
      <text>
        <r>
          <rPr>
            <sz val="9"/>
            <color indexed="81"/>
            <rFont val="Tahoma"/>
            <family val="2"/>
          </rPr>
          <t>Using a multiplier of 25 to get annual cost taken from VfM tool available from ndtms.net i.e. a house burglar is likely to commit 25 house burglaries in a year</t>
        </r>
      </text>
    </comment>
    <comment ref="D330" authorId="0" shapeId="0" xr:uid="{46BA9F1B-30F8-42FD-BCFB-90DEC0499DB9}">
      <text>
        <r>
          <rPr>
            <sz val="9"/>
            <color indexed="81"/>
            <rFont val="Tahoma"/>
            <family val="2"/>
          </rPr>
          <t xml:space="preserve">
Number to be added is per family, rather than per adult
</t>
        </r>
      </text>
    </comment>
    <comment ref="M330" authorId="0" shapeId="0" xr:uid="{16A75354-B5C9-4C9F-9DED-43CB53B9E34E}">
      <text>
        <r>
          <rPr>
            <sz val="9"/>
            <color indexed="81"/>
            <rFont val="Tahoma"/>
            <family val="2"/>
          </rPr>
          <t xml:space="preserve">
Using a multiplier of 6 based on average violent offences committed in a year to get annual cost taken from VfM tool available from ndtms.net</t>
        </r>
      </text>
    </comment>
    <comment ref="D335" authorId="0" shapeId="0" xr:uid="{C7B2A645-1BAC-493A-B976-64AFC0C678C0}">
      <text>
        <r>
          <rPr>
            <sz val="9"/>
            <color indexed="81"/>
            <rFont val="Tahoma"/>
            <family val="2"/>
          </rPr>
          <t xml:space="preserve">
Where a member of the family is/was receiving specialist treatment for alcohol and/or drug dependency.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D35FE36C-FCAE-4884-8452-ECA6231B108D}">
      <text>
        <r>
          <rPr>
            <sz val="9"/>
            <color indexed="81"/>
            <rFont val="Tahoma"/>
            <family val="2"/>
          </rPr>
          <t xml:space="preserve">
To help you find what you are looking for, please click on the filter arrows
</t>
        </r>
      </text>
    </comment>
    <comment ref="K4" authorId="0" shapeId="0" xr:uid="{F8058B14-855F-48D8-9C15-24669F48F447}">
      <text>
        <r>
          <rPr>
            <sz val="9"/>
            <color indexed="81"/>
            <rFont val="Tahoma"/>
            <family val="2"/>
          </rPr>
          <t xml:space="preserve">
For originally published costs or lifetime costs, please click on the [+] signs above.</t>
        </r>
      </text>
    </comment>
    <comment ref="G5" authorId="0" shapeId="0" xr:uid="{465F0DAF-9A4C-4916-BBB5-4E33ACD2B36D}">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78026021-0ACF-4C58-8394-4A39920B2DE0}">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386FC7F7-4D5D-4149-B89C-DC90300DB444}">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1EF47CA6-DB10-49CB-87C5-92468EC8BE7C}">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F4103341-4BA4-4A0F-BD99-A13D6C49D477}">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B3F9ED5B-2EF2-426B-9CFB-EA3764AC88FF}">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791DEA19-70A0-4A55-9395-69776E9A1769}">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BD3382D4-28A0-4221-B15E-9026AD4F15F0}">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B1AA3303-0943-4339-A573-492B7594400E}">
      <text>
        <r>
          <rPr>
            <sz val="9"/>
            <color indexed="81"/>
            <rFont val="Tahoma"/>
            <family val="2"/>
          </rPr>
          <t xml:space="preserve">
‘Intangible’ costs represent disease burden, rather than loss of resources, and are quantified as quality-adjusted life year (QALY) losses. One QALY = £60k</t>
        </r>
      </text>
    </comment>
    <comment ref="D6" authorId="0" shapeId="0" xr:uid="{E00527DA-F025-4AB6-8C4B-E45EB8CF9C98}">
      <text>
        <r>
          <rPr>
            <sz val="9"/>
            <color indexed="81"/>
            <rFont val="Tahoma"/>
            <family val="2"/>
          </rPr>
          <t xml:space="preserve">
Child or young person (C&amp;YP) (up to age 25) with highly acute needs: Looked after child in high cost residential placements (where the council spends £4,000+) a week on in-house public or private placements; usually outside of the local authority                    </t>
        </r>
      </text>
    </comment>
    <comment ref="D7" authorId="0" shapeId="0" xr:uid="{186261F5-EE57-470E-9610-1CDB3A7CF191}">
      <text>
        <r>
          <rPr>
            <sz val="9"/>
            <color indexed="81"/>
            <rFont val="Tahoma"/>
            <family val="2"/>
          </rPr>
          <t xml:space="preserve">
Social care support for C&amp;YP (up to age 25) with acute needs: Looked after child (not in high cost residential placement, see above)</t>
        </r>
      </text>
    </comment>
    <comment ref="D8" authorId="0" shapeId="0" xr:uid="{63F28D4E-0FBC-4C89-ADFE-8951EBE87B22}">
      <text>
        <r>
          <rPr>
            <sz val="9"/>
            <color indexed="81"/>
            <rFont val="Tahoma"/>
            <family val="2"/>
          </rPr>
          <t xml:space="preserve">
Social care support for permanency for C&amp;YP (up to age 25) A ‘permanent’ home that is not with a birth parent, e.g. adoption;  ‘staying-put’ arrangements for care leavers, and ‘special guardianship order’(SGO) with foster family, but to whom the local authority continues to make payments in lieu of a fostering allowance.</t>
        </r>
      </text>
    </comment>
    <comment ref="D11" authorId="0" shapeId="0" xr:uid="{8C80B23E-401C-4981-9FD2-AF4B68C65883}">
      <text>
        <r>
          <rPr>
            <sz val="9"/>
            <color indexed="81"/>
            <rFont val="Tahoma"/>
            <family val="2"/>
          </rPr>
          <t xml:space="preserve">
Pre-statutory support for C&amp;YP  (up to age 25): Early Help support ranging from parenting classes to long-term key worker support for families with chronic issues as domestic violence, substance abuse and could include services such as PAUSE. It could also include where families have been through a Multi-Agency Safeguarding Hub (MASH) or a Front Door assessment but have not been identified as a needing statutory support.</t>
        </r>
      </text>
    </comment>
    <comment ref="D13" authorId="0" shapeId="0" xr:uid="{2CA454A5-71B1-4C48-8271-1E92ADD2A129}">
      <text>
        <r>
          <rPr>
            <sz val="9"/>
            <color indexed="81"/>
            <rFont val="Tahoma"/>
            <family val="2"/>
          </rPr>
          <t xml:space="preserve">
Social care support for C&amp;YP (up to age 25) with high needs: Young offender (convicted) for whom the LA has statutory responsibility.</t>
        </r>
      </text>
    </comment>
    <comment ref="D14" authorId="0" shapeId="0" xr:uid="{CA19A6F9-9CF7-4CF3-9C1A-3488B09F0019}">
      <text>
        <r>
          <rPr>
            <sz val="9"/>
            <color indexed="81"/>
            <rFont val="Tahoma"/>
            <family val="2"/>
          </rPr>
          <t xml:space="preserve">
Targeted support for C&amp;YP  (up to age 25): Targeted youth support for those ‘Not in Employment, Education or Training’ (NEETs). Includes children supported by youth offending or prevention services and who have not been convicted, i.e. distinct from the young offenders category.</t>
        </r>
      </text>
    </comment>
    <comment ref="D15" authorId="0" shapeId="0" xr:uid="{6B011333-5BE9-4894-8496-073ED6862926}">
      <text>
        <r>
          <rPr>
            <sz val="9"/>
            <color indexed="81"/>
            <rFont val="Tahoma"/>
            <family val="2"/>
          </rPr>
          <t xml:space="preserve">
This is made up of several components and can be expanded by clicking on the [+] sign on the left hand side.</t>
        </r>
      </text>
    </comment>
    <comment ref="D16" authorId="0" shapeId="0" xr:uid="{95FA9E26-A769-4C24-85B6-D82AE083B725}">
      <text>
        <r>
          <rPr>
            <sz val="9"/>
            <color indexed="81"/>
            <rFont val="Tahoma"/>
            <family val="2"/>
          </rPr>
          <t xml:space="preserve">
The source outlines the cost of legal aid to be approximately 60% of the overall cost.   Legal aid costs should be 100% cashable.</t>
        </r>
      </text>
    </comment>
    <comment ref="D17" authorId="0" shapeId="0" xr:uid="{539A245B-5F7C-4130-A5B3-468A4ED16931}">
      <text>
        <r>
          <rPr>
            <sz val="9"/>
            <color indexed="81"/>
            <rFont val="Tahoma"/>
            <family val="2"/>
          </rPr>
          <t xml:space="preserve">
The source outlines the cost to local authorities as approximately 25% of the overall cost.</t>
        </r>
      </text>
    </comment>
    <comment ref="D18" authorId="0" shapeId="0" xr:uid="{2709A45C-DE90-4B0C-980B-1EA6A28427D8}">
      <text>
        <r>
          <rPr>
            <sz val="9"/>
            <color indexed="81"/>
            <rFont val="Tahoma"/>
            <family val="2"/>
          </rPr>
          <t xml:space="preserve">
The source outlines the cost to the court system to be approximately 5% of the overall cost.</t>
        </r>
      </text>
    </comment>
    <comment ref="D19" authorId="0" shapeId="0" xr:uid="{FE59FB6D-1D16-4066-AF90-153578E9D4A7}">
      <text>
        <r>
          <rPr>
            <sz val="9"/>
            <color indexed="81"/>
            <rFont val="Tahoma"/>
            <family val="2"/>
          </rPr>
          <t xml:space="preserve">
The source outlines the cost to CAFCASS to be approximately 10% of the overall cost.</t>
        </r>
      </text>
    </comment>
    <comment ref="D20" authorId="0" shapeId="0" xr:uid="{3681F28F-EA23-4AFB-96B4-2C7678FDBC28}">
      <text>
        <r>
          <rPr>
            <sz val="9"/>
            <color indexed="81"/>
            <rFont val="Tahoma"/>
            <family val="2"/>
          </rPr>
          <t xml:space="preserve">
According to Action for Children survey of 383 carers, 25 hours a week are roughly spent by young carers looking after their family. £4.55 minimum wage for under 18s used to be conservative.</t>
        </r>
      </text>
    </comment>
    <comment ref="D21" authorId="0" shapeId="0" xr:uid="{0F0D26C5-EABE-4888-9374-AD52181A981A}">
      <text>
        <r>
          <rPr>
            <sz val="9"/>
            <color indexed="81"/>
            <rFont val="Tahoma"/>
            <family val="2"/>
          </rPr>
          <t xml:space="preserve">
44% of kinship carers give up work to look after children. An estimated 226 hours estimated to be spent looking after children, which has been mulipltied by the minimum wage.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BEE0DDCB-BED3-4E3B-96AA-4AF52695C7A5}">
      <text>
        <r>
          <rPr>
            <sz val="9"/>
            <color indexed="81"/>
            <rFont val="Tahoma"/>
            <family val="2"/>
          </rPr>
          <t xml:space="preserve">
To help you find what you are looking for, please click on the filter arrows
</t>
        </r>
      </text>
    </comment>
    <comment ref="K4" authorId="0" shapeId="0" xr:uid="{1F747A99-DA20-4D9A-AABD-2788D775A8AA}">
      <text>
        <r>
          <rPr>
            <sz val="9"/>
            <color indexed="81"/>
            <rFont val="Tahoma"/>
            <family val="2"/>
          </rPr>
          <t xml:space="preserve">
For originally published costs or lifetime costs, please click on the [+] signs above.</t>
        </r>
      </text>
    </comment>
    <comment ref="G5" authorId="0" shapeId="0" xr:uid="{57601D1B-17FA-4C0A-8B0B-C9D5A369FE69}">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DA236C3B-25F1-4C94-BCD6-C68583876E09}">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DBCC1E45-C9F7-45B6-983B-0AF771366626}">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13C7A3ED-CA35-4B47-AE8C-5DA380C9AA80}">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C2455E42-D6AC-499B-9DCB-4CC577B89444}">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5A65F1BA-5FA7-4789-9FA4-2843AF931442}">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AC8BC4BC-D8D9-4B41-A848-ADC1CA271E8A}">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685C041C-DFEF-4972-B3D2-DD82B34BE570}">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E8CC22C6-1369-45E4-A492-1CC17792869F}">
      <text>
        <r>
          <rPr>
            <sz val="9"/>
            <color indexed="81"/>
            <rFont val="Tahoma"/>
            <family val="2"/>
          </rPr>
          <t xml:space="preserve">
‘Intangible’ costs represent disease burden, rather than loss of resources, and are quantified as quality-adjusted life year (QALY) losses. One QALY = £60k</t>
        </r>
      </text>
    </comment>
    <comment ref="D6" authorId="0" shapeId="0" xr:uid="{4C211544-6E25-4CC8-A516-475AF991C062}">
      <text>
        <r>
          <rPr>
            <b/>
            <sz val="9"/>
            <color indexed="81"/>
            <rFont val="Tahoma"/>
            <family val="2"/>
          </rPr>
          <t>This is made up of several components and can be expanded by clicking on the [+] sign on the left hand side.</t>
        </r>
      </text>
    </comment>
    <comment ref="D7" authorId="0" shapeId="0" xr:uid="{7851D1EE-E8E9-4DA5-ADA4-0F43A596B937}">
      <text>
        <r>
          <rPr>
            <sz val="9"/>
            <color indexed="81"/>
            <rFont val="Tahoma"/>
            <family val="2"/>
          </rPr>
          <t xml:space="preserve">
Weighted average cost of educating an excluded child via pupil referral units, colleges, special schools etc., accounting for 6% of excluded pupils receiving no educational alternative. Lifetime costs are three and half years (aged 12.5 to 16 years old).
</t>
        </r>
      </text>
    </comment>
    <comment ref="D8" authorId="0" shapeId="0" xr:uid="{03C8901A-8D97-4F76-9C89-5A6ED57F0F6E}">
      <text>
        <r>
          <rPr>
            <sz val="9"/>
            <color indexed="81"/>
            <rFont val="Tahoma"/>
            <family val="2"/>
          </rPr>
          <t xml:space="preserve">
Lifetime costs only: Cost adjusts for excluded children being three times more likely than their peers to leave school with no qualifications, half as likely to get a degree and 37% more likely to be unemployed. </t>
        </r>
      </text>
    </comment>
    <comment ref="D9" authorId="0" shapeId="0" xr:uid="{ABDD1B3F-D705-4EF0-8CF0-3A610BC71ED3}">
      <text>
        <r>
          <rPr>
            <sz val="9"/>
            <color indexed="81"/>
            <rFont val="Tahoma"/>
            <family val="2"/>
          </rPr>
          <t xml:space="preserve">
Lifetime costs only: 60% of excluded children reported offending, more than twice the offending rate for other children, with offending beginning earlier for excluded children, at age 10-11 (vs 14). Conduct disorders and problems are good indicators of criminal behaviour: 3X+ more likely to have been convicted of a crime by age 18 and 12X+ more likely to have been imprisoned.</t>
        </r>
      </text>
    </comment>
    <comment ref="D10" authorId="0" shapeId="0" xr:uid="{02E9ACAE-2CED-4908-A112-C7D76C254206}">
      <text>
        <r>
          <rPr>
            <sz val="9"/>
            <color indexed="81"/>
            <rFont val="Tahoma"/>
            <family val="2"/>
          </rPr>
          <t xml:space="preserve">
residential and
foster care</t>
        </r>
      </text>
    </comment>
    <comment ref="D11" authorId="0" shapeId="0" xr:uid="{E8A1B330-ED87-4B6A-A48D-56479DA87F8C}">
      <text>
        <r>
          <rPr>
            <sz val="9"/>
            <color indexed="81"/>
            <rFont val="Tahoma"/>
            <family val="2"/>
          </rPr>
          <t xml:space="preserve">
Net costs weighted by those excluded with sub-threshold and severe conduct disorders, presented over 18 years in the original study. 
</t>
        </r>
      </text>
    </comment>
    <comment ref="D12" authorId="0" shapeId="0" xr:uid="{D6033A23-C4C4-4B97-9F50-820838298FF1}">
      <text>
        <r>
          <rPr>
            <sz val="9"/>
            <color indexed="81"/>
            <rFont val="Tahoma"/>
            <family val="2"/>
          </rPr>
          <t xml:space="preserve">
</t>
        </r>
        <r>
          <rPr>
            <b/>
            <sz val="9"/>
            <color indexed="81"/>
            <rFont val="Tahoma"/>
            <family val="2"/>
          </rPr>
          <t>This is made up of several components and can be expanded by clicking on the [+] sign on the left hand side.</t>
        </r>
      </text>
    </comment>
    <comment ref="D13" authorId="0" shapeId="0" xr:uid="{81B5D14E-F443-41F2-A1E3-276B4DB2895A}">
      <text>
        <r>
          <rPr>
            <sz val="9"/>
            <color indexed="81"/>
            <rFont val="Tahoma"/>
            <family val="2"/>
          </rPr>
          <t xml:space="preserve">
Each local education authority has an education welfare service that pursues persistent truants. Referral to the education welfare service is recommended when ‘a pattern of irregular attendance is either continuing or worsening.</t>
        </r>
      </text>
    </comment>
    <comment ref="D14" authorId="0" shapeId="0" xr:uid="{57D51F2C-BFBA-41C4-A7E6-CA19F7C32EF0}">
      <text>
        <r>
          <rPr>
            <sz val="9"/>
            <color indexed="81"/>
            <rFont val="Tahoma"/>
            <family val="2"/>
          </rPr>
          <t xml:space="preserve">
The impact of truancy on qualifications, and therefore on earnings, is higher for excluded children because the majority receive alternative provision and so are better educated than those who are disengaged. Method used to estimate costs is the same as those for excluded children.</t>
        </r>
      </text>
    </comment>
    <comment ref="D16" authorId="0" shapeId="0" xr:uid="{ED001C7E-5C68-4CD2-A43C-138CEDB96D1A}">
      <text>
        <r>
          <rPr>
            <sz val="9"/>
            <color indexed="81"/>
            <rFont val="Tahoma"/>
            <family val="2"/>
          </rPr>
          <t xml:space="preserve">
residential and
foster care</t>
        </r>
      </text>
    </comment>
    <comment ref="D17" authorId="0" shapeId="0" xr:uid="{570B9124-439A-4B9E-9764-4E5F7149B0D3}">
      <text>
        <r>
          <rPr>
            <sz val="9"/>
            <color indexed="81"/>
            <rFont val="Tahoma"/>
            <family val="2"/>
          </rPr>
          <t xml:space="preserve">
Net costs weighted by those excluded with sub-threshold and severe conduct disorders, presented over 18 years in the original study</t>
        </r>
        <r>
          <rPr>
            <sz val="9"/>
            <color indexed="81"/>
            <rFont val="Tahoma"/>
            <family val="2"/>
          </rPr>
          <t xml:space="preserve">. NB: </t>
        </r>
        <r>
          <rPr>
            <b/>
            <sz val="9"/>
            <color indexed="81"/>
            <rFont val="Tahoma"/>
            <family val="2"/>
          </rPr>
          <t>Crime costs excluded</t>
        </r>
        <r>
          <rPr>
            <sz val="9"/>
            <color indexed="81"/>
            <rFont val="Tahoma"/>
            <family val="2"/>
          </rPr>
          <t xml:space="preserve"> from our analysis owing to lack of robust data from the Misspent Youth and original Scott et al (2001) paper. </t>
        </r>
        <r>
          <rPr>
            <b/>
            <sz val="9"/>
            <color indexed="81"/>
            <rFont val="Tahoma"/>
            <family val="2"/>
          </rPr>
          <t>Social care costs removed</t>
        </r>
        <r>
          <rPr>
            <sz val="9"/>
            <color indexed="81"/>
            <rFont val="Tahoma"/>
            <family val="2"/>
          </rPr>
          <t xml:space="preserve"> in favour of social care costs presented in the Social, YP and kinship care tab.</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74865FFF-D5CC-4F04-8C67-6890BFF8094D}">
      <text>
        <r>
          <rPr>
            <sz val="9"/>
            <color indexed="81"/>
            <rFont val="Tahoma"/>
            <family val="2"/>
          </rPr>
          <t xml:space="preserve">
To help you find what you are looking for, please click on the filter arrows
</t>
        </r>
      </text>
    </comment>
    <comment ref="K4" authorId="0" shapeId="0" xr:uid="{A2AAA836-DBAD-426A-A652-5FCB65F03FF3}">
      <text>
        <r>
          <rPr>
            <sz val="9"/>
            <color indexed="81"/>
            <rFont val="Tahoma"/>
            <family val="2"/>
          </rPr>
          <t xml:space="preserve">
For originally published costs or lifetime costs, please click on the [+] signs above.</t>
        </r>
      </text>
    </comment>
    <comment ref="G5" authorId="0" shapeId="0" xr:uid="{D5EC10F6-BCEB-4B0B-AF29-F1B34F68F450}">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E16006A1-F76C-43C0-BE9A-BF90849C6C1D}">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5113F6B4-F9B3-4A7A-9220-BCD6631D47BD}">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983BFAFD-C5AC-4260-B26A-A1437D059E6A}">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587DEA9B-4076-427B-BB8C-E132AD5C9F83}">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B1ECC1F0-65BA-4C7D-AFD3-6859A3A85EB4}">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A0DA2846-14CE-40F3-BBAE-022C59415B3D}">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5C43762D-B67F-4A36-9343-04412F3DC061}">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21E65113-66B3-4B8A-A347-56D1C1CAE7A9}">
      <text>
        <r>
          <rPr>
            <sz val="9"/>
            <color indexed="81"/>
            <rFont val="Tahoma"/>
            <family val="2"/>
          </rPr>
          <t xml:space="preserve">
‘Intangible’ costs represent disease burden, rather than loss of resources, and are quantified as quality-adjusted life year (QALY) losses. One QALY = £60k</t>
        </r>
      </text>
    </comment>
    <comment ref="D6" authorId="0" shapeId="0" xr:uid="{19D5FCE3-25FD-414C-AA62-FADA442B5A26}">
      <text>
        <r>
          <rPr>
            <sz val="9"/>
            <color indexed="81"/>
            <rFont val="Tahoma"/>
            <family val="2"/>
          </rPr>
          <t xml:space="preserve">
Health and care costs (direct), productivity losses (indirect) and QALY losses (intangible) over 10 years</t>
        </r>
      </text>
    </comment>
    <comment ref="D7" authorId="0" shapeId="0" xr:uid="{C43D0F2B-3A9C-4D28-A2AA-F58A0C4D862A}">
      <text>
        <r>
          <rPr>
            <sz val="9"/>
            <color indexed="81"/>
            <rFont val="Tahoma"/>
            <family val="2"/>
          </rPr>
          <t xml:space="preserve">
Health and care costs (direct), productivity losses (indirect) and QALY losses (intangible). </t>
        </r>
        <r>
          <rPr>
            <b/>
            <sz val="9"/>
            <color indexed="81"/>
            <rFont val="Tahoma"/>
            <family val="2"/>
          </rPr>
          <t>This is made up of several components and can be expanded by clicking on the [+] sign on the left hand side.</t>
        </r>
        <r>
          <rPr>
            <sz val="9"/>
            <color indexed="81"/>
            <rFont val="Tahoma"/>
            <family val="2"/>
          </rPr>
          <t xml:space="preserve">
</t>
        </r>
      </text>
    </comment>
    <comment ref="D14" authorId="0" shapeId="0" xr:uid="{8D90ACEE-4BC0-4946-86AE-155FD059BC74}">
      <text>
        <r>
          <rPr>
            <sz val="9"/>
            <color indexed="81"/>
            <rFont val="Tahoma"/>
            <family val="2"/>
          </rPr>
          <t xml:space="preserve">
Health and care costs (direct), productivity losses (indirect) and QALY losses (intangible) over 10 years</t>
        </r>
      </text>
    </comment>
    <comment ref="D15" authorId="0" shapeId="0" xr:uid="{16A491AD-FFCE-460E-83D9-0227B1BE0FF0}">
      <text>
        <r>
          <rPr>
            <sz val="9"/>
            <color indexed="81"/>
            <rFont val="Tahoma"/>
            <family val="2"/>
          </rPr>
          <t xml:space="preserve">
Health and care costs (direct), productivity losses (indirect) and QALY losses (intangible). </t>
        </r>
        <r>
          <rPr>
            <b/>
            <sz val="9"/>
            <color indexed="81"/>
            <rFont val="Tahoma"/>
            <family val="2"/>
          </rPr>
          <t>This is made up of several components and can be expanded by clicking on the [+] sign on the left hand side.</t>
        </r>
        <r>
          <rPr>
            <sz val="9"/>
            <color indexed="81"/>
            <rFont val="Tahoma"/>
            <family val="2"/>
          </rPr>
          <t xml:space="preserve">
</t>
        </r>
      </text>
    </comment>
    <comment ref="D16" authorId="0" shapeId="0" xr:uid="{59C05628-853A-49CD-AE06-0AC147EDA529}">
      <text>
        <r>
          <rPr>
            <sz val="9"/>
            <color indexed="81"/>
            <rFont val="Tahoma"/>
            <family val="2"/>
          </rPr>
          <t xml:space="preserve">
Iincludes cost cognitive impairment</t>
        </r>
      </text>
    </comment>
    <comment ref="D20" authorId="0" shapeId="0" xr:uid="{D89FD782-F1FF-43DD-9092-E01911CD0FA0}">
      <text>
        <r>
          <rPr>
            <sz val="9"/>
            <color indexed="81"/>
            <rFont val="Tahoma"/>
            <family val="2"/>
          </rPr>
          <t xml:space="preserve">
A simple average of the  studies suggests an annual cost of conduct disorder of around £5,500 a year, with 60% of this falling on the education sector (including both the costs associated with special educational needs and extra costs falling on frontline education services such as extra teaching assistants), 28% falling on the NHS and 12% on social services. </t>
        </r>
        <r>
          <rPr>
            <b/>
            <sz val="9"/>
            <color indexed="81"/>
            <rFont val="Tahoma"/>
            <family val="2"/>
          </rPr>
          <t>This is made up of several components and can be expanded by clicking on the [+] sign on the left hand side.</t>
        </r>
        <r>
          <rPr>
            <sz val="9"/>
            <color indexed="81"/>
            <rFont val="Tahoma"/>
            <family val="2"/>
          </rPr>
          <t xml:space="preserve">
</t>
        </r>
      </text>
    </comment>
    <comment ref="D21" authorId="0" shapeId="0" xr:uid="{D4A9E35E-E834-4E03-A0CB-367AE7B397F7}">
      <text>
        <r>
          <rPr>
            <sz val="9"/>
            <color indexed="81"/>
            <rFont val="Tahoma"/>
            <family val="2"/>
          </rPr>
          <t xml:space="preserve">
This is 60% of total cost according to the study authors</t>
        </r>
      </text>
    </comment>
    <comment ref="D22" authorId="0" shapeId="0" xr:uid="{7C697897-0C69-4B76-86EB-A989BA839176}">
      <text>
        <r>
          <rPr>
            <sz val="9"/>
            <color indexed="81"/>
            <rFont val="Tahoma"/>
            <family val="2"/>
          </rPr>
          <t xml:space="preserve">
This is 28% of total according to the study authors</t>
        </r>
      </text>
    </comment>
    <comment ref="D23" authorId="0" shapeId="0" xr:uid="{666CFF71-0E42-41B3-8BC3-6B56088F7558}">
      <text>
        <r>
          <rPr>
            <sz val="9"/>
            <color indexed="81"/>
            <rFont val="Tahoma"/>
            <family val="2"/>
          </rPr>
          <t xml:space="preserve">
This is 12% of total costs according to the study authors</t>
        </r>
      </text>
    </comment>
    <comment ref="D24" authorId="0" shapeId="0" xr:uid="{7B30DC6E-B76D-485F-BA8F-5FD8918A063C}">
      <text>
        <r>
          <rPr>
            <sz val="9"/>
            <color indexed="81"/>
            <rFont val="Tahoma"/>
            <family val="2"/>
          </rPr>
          <t xml:space="preserve">
This is made up of several components and can be expanded by clicking on the [+] sign on the left hand side.
</t>
        </r>
      </text>
    </comment>
    <comment ref="D27" authorId="0" shapeId="0" xr:uid="{D12FB146-0839-443D-9EB7-53BF6D430AF2}">
      <text>
        <r>
          <rPr>
            <sz val="9"/>
            <color indexed="81"/>
            <rFont val="Tahoma"/>
            <family val="2"/>
          </rPr>
          <t xml:space="preserve">
This should be considered when considering for children when they are adults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02BBA78E-65D8-4F4D-A762-16D5FC52072F}">
      <text>
        <r>
          <rPr>
            <sz val="9"/>
            <color indexed="81"/>
            <rFont val="Tahoma"/>
            <family val="2"/>
          </rPr>
          <t xml:space="preserve">
To help you find what you are looking for, please click on the filter arrows
</t>
        </r>
      </text>
    </comment>
    <comment ref="K4" authorId="0" shapeId="0" xr:uid="{8FB73F44-5F44-4080-8069-25C937BA2170}">
      <text>
        <r>
          <rPr>
            <sz val="9"/>
            <color indexed="81"/>
            <rFont val="Tahoma"/>
            <family val="2"/>
          </rPr>
          <t xml:space="preserve">
For originally published costs or lifetime costs, please click on the [+] signs above.</t>
        </r>
      </text>
    </comment>
    <comment ref="G5" authorId="0" shapeId="0" xr:uid="{6979C283-2F44-453D-A061-8A7E3D8800EA}">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19D7072B-B8A6-464D-888F-6872063A408A}">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87672724-A48D-4A1C-8CA3-78C9837EF568}">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628F0F94-2FD4-4D07-A99C-03329771393F}">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75EE94ED-1C27-49D2-9EF3-4109FE936DE2}">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58478EBF-659D-4413-A266-5FFEF3423C5B}">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48FC803D-C9F2-4AA3-886E-9488C7F9AE43}">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8B1F500C-1E48-4B0D-B736-E209803081B2}">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50A7BAB7-DE6B-4E63-B6C4-A8623D453CE6}">
      <text>
        <r>
          <rPr>
            <sz val="9"/>
            <color indexed="81"/>
            <rFont val="Tahoma"/>
            <family val="2"/>
          </rPr>
          <t xml:space="preserve">
‘Intangible’ costs represent disease burden, rather than loss of resources, and are quantified as quality-adjusted life year (QALY) losses. One QALY = £60k</t>
        </r>
      </text>
    </comment>
    <comment ref="D6" authorId="0" shapeId="0" xr:uid="{12EF0E2E-BD4C-4F2D-804E-3188681F93D3}">
      <text>
        <r>
          <rPr>
            <sz val="9"/>
            <color indexed="81"/>
            <rFont val="Tahoma"/>
            <family val="2"/>
          </rPr>
          <t xml:space="preserve">
Annual homelessness service use costs per person (based on 86 single homeless people: 60% in hostels or temporary accommodation, 21% rough sleeping, 12% squatting, 2% in shelters)</t>
        </r>
      </text>
    </comment>
    <comment ref="D7" authorId="0" shapeId="0" xr:uid="{41202D17-1604-415C-950D-158D99AA913E}">
      <text>
        <r>
          <rPr>
            <sz val="9"/>
            <color indexed="81"/>
            <rFont val="Tahoma"/>
            <family val="2"/>
          </rPr>
          <t xml:space="preserve">
Net benefits arising from adults moving out of homelessness. </t>
        </r>
        <r>
          <rPr>
            <b/>
            <sz val="9"/>
            <color indexed="81"/>
            <rFont val="Tahoma"/>
            <family val="2"/>
          </rPr>
          <t xml:space="preserve">This is made up of several components and can be expanded by clicking on the [+] sign on the left hand side.
</t>
        </r>
      </text>
    </comment>
    <comment ref="D9" authorId="0" shapeId="0" xr:uid="{FEE1B069-6D30-4C8C-8F9E-314ECF4472CC}">
      <text>
        <r>
          <rPr>
            <sz val="9"/>
            <color indexed="81"/>
            <rFont val="Tahoma"/>
            <family val="2"/>
          </rPr>
          <t xml:space="preserve">
Based on cost of crime and prison time associated with property crime</t>
        </r>
      </text>
    </comment>
    <comment ref="D10" authorId="0" shapeId="0" xr:uid="{D95B4A1F-5924-4AC1-AD79-7463EF8EB342}">
      <text>
        <r>
          <rPr>
            <sz val="9"/>
            <color indexed="81"/>
            <rFont val="Tahoma"/>
            <family val="2"/>
          </rPr>
          <t xml:space="preserve">Improvement in wellbeing associated with moving from temporary accommodation to secure housing (no dependents) </t>
        </r>
      </text>
    </comment>
    <comment ref="D11" authorId="0" shapeId="0" xr:uid="{E78C5D22-DC88-484F-98E4-156BB1800950}">
      <text>
        <r>
          <rPr>
            <sz val="9"/>
            <color indexed="81"/>
            <rFont val="Tahoma"/>
            <family val="2"/>
          </rPr>
          <t xml:space="preserve">
Net benefits arising from children moving out of homelessness. </t>
        </r>
        <r>
          <rPr>
            <b/>
            <sz val="9"/>
            <color indexed="81"/>
            <rFont val="Tahoma"/>
            <family val="2"/>
          </rPr>
          <t xml:space="preserve">This is made up of several components and can be expanded by clicking on the [+] sign on the left hand side.
</t>
        </r>
      </text>
    </comment>
    <comment ref="D12" authorId="0" shapeId="0" xr:uid="{98D4BD0A-A21C-4CBF-B83A-E1517724ED55}">
      <text>
        <r>
          <rPr>
            <sz val="9"/>
            <color indexed="81"/>
            <rFont val="Tahoma"/>
            <family val="2"/>
          </rPr>
          <t xml:space="preserve">
Estimated lifetime earnings return to achieving 1-2 GCSEs vs non (average of men and women)</t>
        </r>
      </text>
    </comment>
    <comment ref="D13" authorId="0" shapeId="0" xr:uid="{EE482907-B501-408E-AB8B-5720887C51D6}">
      <text>
        <r>
          <rPr>
            <sz val="9"/>
            <color indexed="81"/>
            <rFont val="Tahoma"/>
            <family val="2"/>
          </rPr>
          <t xml:space="preserve">
Weighted average on hospital expenditure, with adjustments made for fact that a homeless child is likely to be at a 25% higher risk of serious illness/ disability </t>
        </r>
      </text>
    </comment>
    <comment ref="D14" authorId="0" shapeId="0" xr:uid="{38A1C03D-CDE8-48A7-B67B-C076D2AC096F}">
      <text>
        <r>
          <rPr>
            <sz val="9"/>
            <color indexed="81"/>
            <rFont val="Tahoma"/>
            <family val="2"/>
          </rPr>
          <t xml:space="preserve">
Based on annual cost of mental health provision </t>
        </r>
      </text>
    </comment>
    <comment ref="D15" authorId="0" shapeId="0" xr:uid="{8BABA025-23F0-4117-A984-CE7CF8C5789D}">
      <text>
        <r>
          <rPr>
            <sz val="9"/>
            <color indexed="81"/>
            <rFont val="Tahoma"/>
            <family val="2"/>
          </rPr>
          <t xml:space="preserve">Improvement in wellbeing associated with moving from temporary accommodation to secure housing (no dependents)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9D034A13-1310-428A-B2D6-B65DFD08045B}">
      <text>
        <r>
          <rPr>
            <sz val="9"/>
            <color indexed="81"/>
            <rFont val="Tahoma"/>
            <family val="2"/>
          </rPr>
          <t xml:space="preserve">
To help you find what you are looking for, please click on the filter arrows
</t>
        </r>
      </text>
    </comment>
    <comment ref="K4" authorId="0" shapeId="0" xr:uid="{0E47FE2B-B866-4C00-AC73-FF29FD076C3C}">
      <text>
        <r>
          <rPr>
            <sz val="9"/>
            <color indexed="81"/>
            <rFont val="Tahoma"/>
            <family val="2"/>
          </rPr>
          <t xml:space="preserve">
For originally published costs or lifetime costs, please click on the [+] signs above.</t>
        </r>
      </text>
    </comment>
    <comment ref="G5" authorId="0" shapeId="0" xr:uid="{AC66A7D9-0AD9-4A6B-9104-23374C0B92D9}">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78386939-06BA-4DA3-96A5-7A66FE90EF7C}">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6893F679-81AB-406F-8E10-63FA244570D8}">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B4A0DE8D-D09A-4EB4-AA7B-3AA151EC8BE0}">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D2590454-316C-48E7-AE47-375A64E9322E}">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D9CD28DD-69B1-4154-8534-FF9E4EBF690C}">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2507F566-C43B-4496-9CC3-64286460F775}">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B6AD797B-F683-4801-BA4C-B833293A1708}">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F9B69A9C-2751-4330-BAE5-D3C261F5C5B1}">
      <text>
        <r>
          <rPr>
            <sz val="9"/>
            <color indexed="81"/>
            <rFont val="Tahoma"/>
            <family val="2"/>
          </rPr>
          <t xml:space="preserve">
‘Intangible’ costs represent disease burden, rather than loss of resources, and are quantified as quality-adjusted life year (QALY) losses. One QALY = £60k</t>
        </r>
      </text>
    </comment>
    <comment ref="D18" authorId="0" shapeId="0" xr:uid="{649B0E0F-BB72-424D-B503-C8AD85205D78}">
      <text>
        <r>
          <rPr>
            <sz val="9"/>
            <color indexed="81"/>
            <rFont val="Tahoma"/>
            <family val="2"/>
          </rPr>
          <t xml:space="preserve">
A  series of group sessions lead by a therapist, involving exploring ideas related to the depression and how to manage it. Suggested duration: weekly meetings over 3 months.</t>
        </r>
      </text>
    </comment>
    <comment ref="E18" authorId="0" shapeId="0" xr:uid="{E9DD73F1-2A0D-4376-89CC-7A101CA3EEA3}">
      <text>
        <r>
          <rPr>
            <sz val="9"/>
            <color indexed="81"/>
            <rFont val="Tahoma"/>
            <family val="2"/>
          </rPr>
          <t xml:space="preserve">
A  series of group sessions lead by a therapist, involving exploring ideas related to the depression and how to manage it. Suggested duration: weekly meetings over 3 months.</t>
        </r>
      </text>
    </comment>
    <comment ref="D19" authorId="0" shapeId="0" xr:uid="{2A2CD76F-9281-4018-99D9-1478BBABE074}">
      <text>
        <r>
          <rPr>
            <sz val="9"/>
            <color indexed="81"/>
            <rFont val="Tahoma"/>
            <family val="2"/>
          </rPr>
          <t xml:space="preserve">
The majority of counselling projects provide short- to medium-term interventions. Most are face-to-face, but can also take place in a group context, over the phone or online. Unit costs are based on a median of 12 hours per case. </t>
        </r>
      </text>
    </comment>
    <comment ref="E19" authorId="0" shapeId="0" xr:uid="{19C2809E-0A98-4F62-B3C0-20AA0D0D5387}">
      <text>
        <r>
          <rPr>
            <sz val="9"/>
            <color indexed="81"/>
            <rFont val="Tahoma"/>
            <family val="2"/>
          </rPr>
          <t xml:space="preserve">
A  series of group sessions lead by a therapist, involving exploring ideas related to the depression and how to manage it. Suggested duration: weekly meetings over 3 months.</t>
        </r>
      </text>
    </comment>
    <comment ref="D31" authorId="0" shapeId="0" xr:uid="{1C3EDFB1-4E3B-40B4-AEC4-27C2F2393CDE}">
      <text>
        <r>
          <rPr>
            <sz val="9"/>
            <color indexed="81"/>
            <rFont val="Tahoma"/>
            <family val="2"/>
          </rPr>
          <t xml:space="preserve">
Average of elective/ non-elective</t>
        </r>
      </text>
    </comment>
    <comment ref="D32" authorId="0" shapeId="0" xr:uid="{F3B4B404-EC0A-4BEE-AA37-78DF72360B26}">
      <text>
        <r>
          <rPr>
            <sz val="9"/>
            <color indexed="81"/>
            <rFont val="Tahoma"/>
            <family val="2"/>
          </rPr>
          <t xml:space="preserve">
Average of elective/ non-elective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Virginia Wright</author>
  </authors>
  <commentList>
    <comment ref="C4" authorId="0" shapeId="0" xr:uid="{35C793BA-3AE0-4F0F-9A57-D42971913888}">
      <text>
        <r>
          <rPr>
            <sz val="9"/>
            <color indexed="81"/>
            <rFont val="Tahoma"/>
            <family val="2"/>
          </rPr>
          <t xml:space="preserve">
To help you find what you are looking for, please click on the filter arrows
</t>
        </r>
      </text>
    </comment>
    <comment ref="K4" authorId="0" shapeId="0" xr:uid="{AD366A70-ACE7-4935-B243-8FFDC70B4A34}">
      <text>
        <r>
          <rPr>
            <sz val="9"/>
            <color indexed="81"/>
            <rFont val="Tahoma"/>
            <family val="2"/>
          </rPr>
          <t xml:space="preserve">
For originally published costs or lifetime costs, please click on the [+] signs above.</t>
        </r>
      </text>
    </comment>
    <comment ref="G5" authorId="0" shapeId="0" xr:uid="{87C0A020-4CAC-43A1-BCBE-12AC9B8BE016}">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H5" authorId="0" shapeId="0" xr:uid="{F0C31007-10DF-4FE0-82B8-3CF69A67E499}">
      <text>
        <r>
          <rPr>
            <sz val="9"/>
            <color indexed="81"/>
            <rFont val="Tahoma"/>
            <family val="2"/>
          </rPr>
          <t xml:space="preserve">
Indirect costs generally relate to productivity losses from people being unable to work because of caring responsibilities, being ill or dying prematurely </t>
        </r>
      </text>
    </comment>
    <comment ref="I5" authorId="0" shapeId="0" xr:uid="{DE0876D5-3329-4880-8FFC-27500D7BF18B}">
      <text>
        <r>
          <rPr>
            <sz val="9"/>
            <color indexed="81"/>
            <rFont val="Tahoma"/>
            <family val="2"/>
          </rPr>
          <t xml:space="preserve">
‘Intangible’ costs represent disease burden, rather than loss of resources, and are quantified as quality-adjusted life year (QALY) losses. One QALY = £60k</t>
        </r>
      </text>
    </comment>
    <comment ref="L5" authorId="0" shapeId="0" xr:uid="{6320EAC2-FA15-4686-AB79-654EB8AF63DC}">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M5" authorId="0" shapeId="0" xr:uid="{45F2E0C5-619A-4835-AB2C-CB308E468191}">
      <text>
        <r>
          <rPr>
            <sz val="9"/>
            <color indexed="81"/>
            <rFont val="Tahoma"/>
            <family val="2"/>
          </rPr>
          <t xml:space="preserve">
Indirect costs generally relate to productivity losses from people being unable to work because of caring responsibilities, being ill or dying prematurely </t>
        </r>
      </text>
    </comment>
    <comment ref="N5" authorId="0" shapeId="0" xr:uid="{120FE08D-79B8-463D-8376-C973E51F51FA}">
      <text>
        <r>
          <rPr>
            <sz val="9"/>
            <color indexed="81"/>
            <rFont val="Tahoma"/>
            <family val="2"/>
          </rPr>
          <t xml:space="preserve">
‘Intangible’ costs represent disease burden, rather than loss of resources, and are quantified as quality-adjusted life year (QALY) losses. One QALY = £60k</t>
        </r>
      </text>
    </comment>
    <comment ref="P5" authorId="0" shapeId="0" xr:uid="{6BBEA9BC-6653-4AB3-8CCF-4876980B8291}">
      <text>
        <r>
          <rPr>
            <sz val="9"/>
            <color indexed="81"/>
            <rFont val="Tahoma"/>
            <family val="2"/>
          </rPr>
          <t xml:space="preserve">
Costs which directly relate to the provision of treatment/ support. For example, local authority costs to put a child on a child protection plan or to provide specialist treatment for alcohol dependency</t>
        </r>
      </text>
    </comment>
    <comment ref="Q5" authorId="0" shapeId="0" xr:uid="{4C29EF4E-032A-494E-9699-EC46DC838805}">
      <text>
        <r>
          <rPr>
            <sz val="9"/>
            <color indexed="81"/>
            <rFont val="Tahoma"/>
            <family val="2"/>
          </rPr>
          <t xml:space="preserve">
Indirect costs generally relate to productivity losses from people being unable to work because of caring responsibilities, being ill or dying prematurely </t>
        </r>
      </text>
    </comment>
    <comment ref="R5" authorId="0" shapeId="0" xr:uid="{5745550C-75AA-4C0E-A5C7-47FDECE41E1A}">
      <text>
        <r>
          <rPr>
            <sz val="9"/>
            <color indexed="81"/>
            <rFont val="Tahoma"/>
            <family val="2"/>
          </rPr>
          <t xml:space="preserve">
‘Intangible’ costs represent disease burden, rather than loss of resources, and are quantified as quality-adjusted life year (QALY) losses. One QALY = £60k</t>
        </r>
      </text>
    </comment>
    <comment ref="D6" authorId="0" shapeId="0" xr:uid="{AD974177-1B76-4580-BD0D-FFC233A0F225}">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(aged 16-59). PHE QALY value estimates differ from the Home Office and so this has been adjusted.</t>
        </r>
        <r>
          <rPr>
            <b/>
            <sz val="9"/>
            <color indexed="81"/>
            <rFont val="Tahoma"/>
            <family val="2"/>
          </rPr>
          <t xml:space="preserve">
</t>
        </r>
      </text>
    </comment>
    <comment ref="D8" authorId="0" shapeId="0" xr:uid="{4058C67C-25ED-4A33-B710-A64E79FF6582}">
      <text>
        <r>
          <rPr>
            <sz val="9"/>
            <color indexed="81"/>
            <rFont val="Tahoma"/>
            <family val="2"/>
          </rPr>
          <t xml:space="preserve">
Lost output due to time off work and reduced productivity as a consequence of domestic abuse</t>
        </r>
      </text>
    </comment>
    <comment ref="D9" authorId="0" shapeId="0" xr:uid="{5C92216C-86A7-48EB-923C-C35544D42673}">
      <text>
        <r>
          <rPr>
            <sz val="9"/>
            <color indexed="81"/>
            <rFont val="Tahoma"/>
            <family val="2"/>
          </rPr>
          <t xml:space="preserve">
Physical and emotional impact of being a victim of domestic abuse. PHE QALY value estimates differ from the Home Office and so this has been adjusted.</t>
        </r>
      </text>
    </comment>
    <comment ref="D11" authorId="0" shapeId="0" xr:uid="{A4EDB259-FE64-4193-88A8-14583010E5F5}">
      <text>
        <r>
          <rPr>
            <sz val="9"/>
            <color indexed="81"/>
            <rFont val="Tahoma"/>
            <family val="2"/>
          </rPr>
          <t xml:space="preserve">
E.g. insurance, temporary housing, homelessness services, repairs and maintenance, as well as expenditure by charities and the time given up by volunteers to support victims.</t>
        </r>
      </text>
    </comment>
    <comment ref="D12" authorId="0" shapeId="0" xr:uid="{F7390729-C528-4516-BDB2-53EF0735AE27}">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PHE QALY value estimates differ from the Home Office and so this has been adjusted.</t>
        </r>
        <r>
          <rPr>
            <b/>
            <sz val="9"/>
            <color indexed="81"/>
            <rFont val="Tahoma"/>
            <family val="2"/>
          </rPr>
          <t xml:space="preserve">
</t>
        </r>
      </text>
    </comment>
    <comment ref="D14" authorId="0" shapeId="0" xr:uid="{ABA3114A-4D97-484A-9513-A3E542B7AF71}">
      <text>
        <r>
          <rPr>
            <sz val="9"/>
            <color indexed="81"/>
            <rFont val="Tahoma"/>
            <family val="2"/>
          </rPr>
          <t xml:space="preserve">
Due to time off work and reduced productivity</t>
        </r>
      </text>
    </comment>
    <comment ref="D15" authorId="0" shapeId="0" xr:uid="{8E2082D8-9533-4B63-BE35-363A36B3BD8E}">
      <text>
        <r>
          <rPr>
            <sz val="9"/>
            <color indexed="81"/>
            <rFont val="Tahoma"/>
            <family val="2"/>
          </rPr>
          <t xml:space="preserve">
Physical and emotional impact of being a victim. PHE QALY value estimates differ from the Home Office and so this has been adjusted.</t>
        </r>
      </text>
    </comment>
    <comment ref="D16" authorId="0" shapeId="0" xr:uid="{5E5BD2C3-0DF4-4FCB-93A4-63F7D1B46DCD}">
      <text>
        <r>
          <rPr>
            <sz val="9"/>
            <color indexed="81"/>
            <rFont val="Tahoma"/>
            <family val="2"/>
          </rPr>
          <t xml:space="preserve">
Victim services, police costs other criminal justice costs)</t>
        </r>
      </text>
    </comment>
    <comment ref="D17" authorId="0" shapeId="0" xr:uid="{E88FC426-5141-4EBC-84BD-64C295BB8132}">
      <text>
        <r>
          <rPr>
            <sz val="9"/>
            <color indexed="81"/>
            <rFont val="Tahoma"/>
            <family val="2"/>
          </rPr>
          <t xml:space="preserve">
Insurance and defensive spend</t>
        </r>
      </text>
    </comment>
    <comment ref="D18" authorId="0" shapeId="0" xr:uid="{7A19BC24-2BA2-40A6-99D5-25236C7621C1}">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PHE QALY value estimates differ from the Home Office and so this has been adjusted.</t>
        </r>
        <r>
          <rPr>
            <b/>
            <sz val="9"/>
            <color indexed="81"/>
            <rFont val="Tahoma"/>
            <family val="2"/>
          </rPr>
          <t xml:space="preserve">
</t>
        </r>
      </text>
    </comment>
    <comment ref="D20" authorId="0" shapeId="0" xr:uid="{DB465701-AB08-413A-BB3E-B0C6C002E211}">
      <text>
        <r>
          <rPr>
            <sz val="9"/>
            <color indexed="81"/>
            <rFont val="Tahoma"/>
            <family val="2"/>
          </rPr>
          <t xml:space="preserve">
Due to time off work and reduced productivity</t>
        </r>
      </text>
    </comment>
    <comment ref="D21" authorId="0" shapeId="0" xr:uid="{CE9C2E63-7CAA-4FAE-A5F7-55271CDBF226}">
      <text>
        <r>
          <rPr>
            <sz val="9"/>
            <color indexed="81"/>
            <rFont val="Tahoma"/>
            <family val="2"/>
          </rPr>
          <t xml:space="preserve">
Physical and emotional impact of being a victim. PHE QALY value estimates differ from the Home Office and so this has been adjusted.</t>
        </r>
      </text>
    </comment>
    <comment ref="D22" authorId="0" shapeId="0" xr:uid="{F61AE221-5069-4687-9197-F13550BBE7DB}">
      <text>
        <r>
          <rPr>
            <sz val="9"/>
            <color indexed="81"/>
            <rFont val="Tahoma"/>
            <family val="2"/>
          </rPr>
          <t xml:space="preserve">
Victim services, police costs other criminal justice costs)</t>
        </r>
      </text>
    </comment>
    <comment ref="D23" authorId="0" shapeId="0" xr:uid="{E48DBECD-3192-48F2-A522-8A3461CD96D7}">
      <text>
        <r>
          <rPr>
            <sz val="9"/>
            <color indexed="81"/>
            <rFont val="Tahoma"/>
            <family val="2"/>
          </rPr>
          <t xml:space="preserve">
Insurance and defensive spend</t>
        </r>
      </text>
    </comment>
    <comment ref="C24" authorId="0" shapeId="0" xr:uid="{22CD57DC-5247-48B4-82F3-C661EE46078E}">
      <text>
        <r>
          <rPr>
            <sz val="9"/>
            <color indexed="81"/>
            <rFont val="Tahoma"/>
            <family val="2"/>
          </rPr>
          <t xml:space="preserve">
Cost per shoplifting offence, including prevalence and the likelihood of being caught and engaging with the criminal justice system</t>
        </r>
      </text>
    </comment>
    <comment ref="D24" authorId="0" shapeId="0" xr:uid="{E9B6215C-451F-494C-B8F2-739C5A138B5B}">
      <text>
        <r>
          <rPr>
            <sz val="9"/>
            <color indexed="81"/>
            <rFont val="Tahoma"/>
            <family val="2"/>
          </rPr>
          <t xml:space="preserve">
Cost per shoplifting offence, including prevalence and the likelihood of being caught and engaging with the criminal justice system</t>
        </r>
      </text>
    </comment>
    <comment ref="C25" authorId="0" shapeId="0" xr:uid="{EE2B05BE-8291-44FC-A02E-EDEA022CA586}">
      <text>
        <r>
          <rPr>
            <sz val="9"/>
            <color indexed="81"/>
            <rFont val="Tahoma"/>
            <family val="2"/>
          </rPr>
          <t xml:space="preserve">
Cost per robbery, including prevalence and the likelihood of being caught and engaging with the criminal justice system</t>
        </r>
      </text>
    </comment>
    <comment ref="D25" authorId="0" shapeId="0" xr:uid="{456B53A7-133A-43F0-ADE7-9913D7D442AC}">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PHE QALY value estimates differ from the Home Office and so this has been adjusted.</t>
        </r>
        <r>
          <rPr>
            <b/>
            <sz val="9"/>
            <color indexed="81"/>
            <rFont val="Tahoma"/>
            <family val="2"/>
          </rPr>
          <t xml:space="preserve">
</t>
        </r>
      </text>
    </comment>
    <comment ref="D27" authorId="0" shapeId="0" xr:uid="{309E4107-F39A-40F2-AFF1-FF4E4A2E02AC}">
      <text>
        <r>
          <rPr>
            <sz val="9"/>
            <color indexed="81"/>
            <rFont val="Tahoma"/>
            <family val="2"/>
          </rPr>
          <t xml:space="preserve">
Due to time off work and reduced productivity</t>
        </r>
      </text>
    </comment>
    <comment ref="D28" authorId="0" shapeId="0" xr:uid="{9F327773-0A6D-41F0-883B-F64CE94BC133}">
      <text>
        <r>
          <rPr>
            <sz val="9"/>
            <color indexed="81"/>
            <rFont val="Tahoma"/>
            <family val="2"/>
          </rPr>
          <t xml:space="preserve">
Physical and emotional impact of being a victim. PHE QALY value estimates differ from the Home Office and so this has been adjusted.</t>
        </r>
      </text>
    </comment>
    <comment ref="D29" authorId="0" shapeId="0" xr:uid="{FC85905F-C4C4-494D-A0E0-DE1220496C98}">
      <text>
        <r>
          <rPr>
            <sz val="9"/>
            <color indexed="81"/>
            <rFont val="Tahoma"/>
            <family val="2"/>
          </rPr>
          <t xml:space="preserve">
Victim services, police costs other criminal justice costs)</t>
        </r>
      </text>
    </comment>
    <comment ref="D30" authorId="0" shapeId="0" xr:uid="{AB461C41-92EC-4654-82AF-5A1F59951ED8}">
      <text>
        <r>
          <rPr>
            <sz val="9"/>
            <color indexed="81"/>
            <rFont val="Tahoma"/>
            <family val="2"/>
          </rPr>
          <t xml:space="preserve">
Insurance and defensive spend</t>
        </r>
      </text>
    </comment>
    <comment ref="C31" authorId="0" shapeId="0" xr:uid="{CCD4AEBD-CB72-493F-99FD-37CB355DB954}">
      <text>
        <r>
          <rPr>
            <sz val="9"/>
            <color indexed="81"/>
            <rFont val="Tahoma"/>
            <family val="2"/>
          </rPr>
          <t xml:space="preserve">
Cost per house burglary, including prevalence and the likelihood of being caught and engaging with the criminal justice system</t>
        </r>
      </text>
    </comment>
    <comment ref="D31" authorId="0" shapeId="0" xr:uid="{13175058-7CF4-4748-8EE2-13BE968F4937}">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PHE QALY value estimates differ from the Home Office and so this has been adjusted.</t>
        </r>
        <r>
          <rPr>
            <b/>
            <sz val="9"/>
            <color indexed="81"/>
            <rFont val="Tahoma"/>
            <family val="2"/>
          </rPr>
          <t xml:space="preserve">
</t>
        </r>
      </text>
    </comment>
    <comment ref="D33" authorId="0" shapeId="0" xr:uid="{667302C9-5CC6-4244-BA84-C6E1D4BE1866}">
      <text>
        <r>
          <rPr>
            <sz val="9"/>
            <color indexed="81"/>
            <rFont val="Tahoma"/>
            <family val="2"/>
          </rPr>
          <t xml:space="preserve">
Due to time off work and reduced productivity</t>
        </r>
      </text>
    </comment>
    <comment ref="D34" authorId="0" shapeId="0" xr:uid="{899120A7-0125-45E4-9397-BF84D8EEE678}">
      <text>
        <r>
          <rPr>
            <sz val="9"/>
            <color indexed="81"/>
            <rFont val="Tahoma"/>
            <family val="2"/>
          </rPr>
          <t xml:space="preserve">
Physical and emotional impact of being a victim. PHE QALY value estimates differ from the Home Office and so this has been adjusted.</t>
        </r>
      </text>
    </comment>
    <comment ref="D35" authorId="0" shapeId="0" xr:uid="{651DF656-6CED-4337-90FA-2A40F384AC75}">
      <text>
        <r>
          <rPr>
            <sz val="9"/>
            <color indexed="81"/>
            <rFont val="Tahoma"/>
            <family val="2"/>
          </rPr>
          <t xml:space="preserve">
Victim services, police costs other criminal justice costs)</t>
        </r>
      </text>
    </comment>
    <comment ref="D36" authorId="0" shapeId="0" xr:uid="{73C6B110-1AE9-4A77-8272-D28404A93AC2}">
      <text>
        <r>
          <rPr>
            <sz val="9"/>
            <color indexed="81"/>
            <rFont val="Tahoma"/>
            <family val="2"/>
          </rPr>
          <t xml:space="preserve">
Insurance and defensive spend</t>
        </r>
      </text>
    </comment>
    <comment ref="C37" authorId="0" shapeId="0" xr:uid="{9AEFC53D-4228-4F6D-86D6-E4346D474397}">
      <text>
        <r>
          <rPr>
            <sz val="9"/>
            <color indexed="81"/>
            <rFont val="Tahoma"/>
            <family val="2"/>
          </rPr>
          <t>Including prevalence and the likelihood of being caught and engaging with the criminal justice system</t>
        </r>
      </text>
    </comment>
    <comment ref="D38" authorId="0" shapeId="0" xr:uid="{5730CA27-8DB7-457E-8A0E-7D2AFC503A58}">
      <text>
        <r>
          <rPr>
            <sz val="9"/>
            <color indexed="81"/>
            <rFont val="Tahoma"/>
            <family val="2"/>
          </rPr>
          <t xml:space="preserve">
</t>
        </r>
        <r>
          <rPr>
            <b/>
            <sz val="9"/>
            <color indexed="81"/>
            <rFont val="Tahoma"/>
            <family val="2"/>
          </rPr>
          <t xml:space="preserve">This is made up of several components and can be expanded by clicking on the [+] sign on the left hand side. </t>
        </r>
        <r>
          <rPr>
            <sz val="9"/>
            <color indexed="81"/>
            <rFont val="Tahoma"/>
            <family val="2"/>
          </rPr>
          <t>Costs for criminal justice, NHS, lost output, QALY losses, etc per victim. PHE QALY value estimates differ from the Home Office and so this has been adjusted.</t>
        </r>
        <r>
          <rPr>
            <b/>
            <sz val="9"/>
            <color indexed="81"/>
            <rFont val="Tahoma"/>
            <family val="2"/>
          </rPr>
          <t xml:space="preserve">
</t>
        </r>
      </text>
    </comment>
    <comment ref="D40" authorId="0" shapeId="0" xr:uid="{00AAF0A4-EB1B-4379-B12F-DD16C1B2ABE8}">
      <text>
        <r>
          <rPr>
            <sz val="9"/>
            <color indexed="81"/>
            <rFont val="Tahoma"/>
            <family val="2"/>
          </rPr>
          <t xml:space="preserve">
Due to time off work and reduced productivity</t>
        </r>
      </text>
    </comment>
    <comment ref="D41" authorId="0" shapeId="0" xr:uid="{4D08D6F0-1576-4AF9-9E46-4FB921563775}">
      <text>
        <r>
          <rPr>
            <sz val="9"/>
            <color indexed="81"/>
            <rFont val="Tahoma"/>
            <family val="2"/>
          </rPr>
          <t xml:space="preserve">
Physical and emotional impact of being a victim. PHE QALY value estimates differ from the Home Office and so this has been adjusted.</t>
        </r>
      </text>
    </comment>
    <comment ref="D42" authorId="0" shapeId="0" xr:uid="{4E542E61-5418-473A-B571-A280CC5EACF1}">
      <text>
        <r>
          <rPr>
            <sz val="9"/>
            <color indexed="81"/>
            <rFont val="Tahoma"/>
            <family val="2"/>
          </rPr>
          <t xml:space="preserve">
Victim services, police costs other criminal justice costs)</t>
        </r>
      </text>
    </comment>
    <comment ref="D43" authorId="0" shapeId="0" xr:uid="{C4A4D62A-D1BE-4EB8-A903-8DC3EEE942A8}">
      <text>
        <r>
          <rPr>
            <sz val="9"/>
            <color indexed="81"/>
            <rFont val="Tahoma"/>
            <family val="2"/>
          </rPr>
          <t xml:space="preserve">
Insurance and defensive spend</t>
        </r>
      </text>
    </comment>
  </commentList>
</comments>
</file>

<file path=xl/sharedStrings.xml><?xml version="1.0" encoding="utf-8"?>
<sst xmlns="http://schemas.openxmlformats.org/spreadsheetml/2006/main" count="2836" uniqueCount="911">
  <si>
    <t>QA log of changes and queries</t>
  </si>
  <si>
    <t>Actions - Status:</t>
  </si>
  <si>
    <t>Actioned</t>
  </si>
  <si>
    <t>Ongoing - to discuss changes?</t>
  </si>
  <si>
    <t>Suggestion rejected</t>
  </si>
  <si>
    <t>QA log #</t>
  </si>
  <si>
    <t>Date of QA</t>
  </si>
  <si>
    <t>Analyst QA</t>
  </si>
  <si>
    <t>Version</t>
  </si>
  <si>
    <t>Tab</t>
  </si>
  <si>
    <t>Cell</t>
  </si>
  <si>
    <t>Comment</t>
  </si>
  <si>
    <t>Changed (Y/N)</t>
  </si>
  <si>
    <t>What changed?</t>
  </si>
  <si>
    <t>Additional Comments</t>
  </si>
  <si>
    <t>AM</t>
  </si>
  <si>
    <t>v1.0</t>
  </si>
  <si>
    <t>Part 3 - Annexes</t>
  </si>
  <si>
    <t>Part 2 button is still in burgundy colouring but it should be Part 3 button</t>
  </si>
  <si>
    <t>Part 1 - Social cost-benefit</t>
  </si>
  <si>
    <t>F12</t>
  </si>
  <si>
    <t>No Link to Benefit Tool tab</t>
  </si>
  <si>
    <t>F13</t>
  </si>
  <si>
    <t>No Link to Worked Examples Tab</t>
  </si>
  <si>
    <t>Disorders</t>
  </si>
  <si>
    <t>L27:M30</t>
  </si>
  <si>
    <t xml:space="preserve">Unit cost not checked as hard-coded / no calculation. </t>
  </si>
  <si>
    <t>Taken directly from source</t>
  </si>
  <si>
    <t>Benefit tool</t>
  </si>
  <si>
    <t xml:space="preserve">Rows </t>
  </si>
  <si>
    <t>The multipliers are hard-coded. Could they be added in the DA &amp; crime tab along with an explanation of the crime multiplier by type of crime for transparency?</t>
  </si>
  <si>
    <t>All</t>
  </si>
  <si>
    <t>Could the notes over the cells be checked to display the full text as currently the full text is cut-off or isn't shown - have expanded where spotted but may need another check</t>
  </si>
  <si>
    <t>This will need to be done while tool with pub standards</t>
  </si>
  <si>
    <t>Some of the notes have your name on them - have deleted where spotted but may need another check</t>
  </si>
  <si>
    <t>Crime</t>
  </si>
  <si>
    <t>Just to check, vehicle theft should be excluded?</t>
  </si>
  <si>
    <t>TBD</t>
  </si>
  <si>
    <t>G53:H53; G54:H54; G56:H56</t>
  </si>
  <si>
    <t>Total benefits included direcr treatment costs. If 'No' selected to say not mutually exclusive, this results in the Gross social benefit, Net social benefit, and social BCR figures being inconclusive. Need to adjust the formulas for these figures so if select 'No', still returns a figure.</t>
  </si>
  <si>
    <t>G53:H53</t>
  </si>
  <si>
    <t xml:space="preserve">Formula needs to adjust for the range of total benefits if 'No' selected </t>
  </si>
  <si>
    <t>Perhaps add an extra row for the final figures table for the 'Gross wider social benefit' like have for the 'Gross social benefit (LA)'</t>
  </si>
  <si>
    <t>Worked examples</t>
  </si>
  <si>
    <t>G:H95</t>
  </si>
  <si>
    <t>Sum includes J78:Q79 which have no figures. Should this be moved up to the total benefits row?</t>
  </si>
  <si>
    <t>G:H96</t>
  </si>
  <si>
    <t>Can case study 1 also have key areas of costs in Bold, to be consistent with the case studies below?</t>
  </si>
  <si>
    <t>G:H182</t>
  </si>
  <si>
    <t>Sum includes J165:Q166 which have no figures. Should this be moved up to the total benefits row?</t>
  </si>
  <si>
    <t>G:H183</t>
  </si>
  <si>
    <t>G:H263</t>
  </si>
  <si>
    <t>Sum includes J246:Q247 which have no figures. Should this be moved up to the total benefits row?</t>
  </si>
  <si>
    <t>G:H264</t>
  </si>
  <si>
    <t>G:H344</t>
  </si>
  <si>
    <t>Sum includes J327:Q328 which have no figures. Should this be moved up to the total benefits row?</t>
  </si>
  <si>
    <t>G:H345</t>
  </si>
  <si>
    <t>Part 2 - UC database</t>
  </si>
  <si>
    <t>F19</t>
  </si>
  <si>
    <t>Link to NHS and LA Treatment not valid</t>
  </si>
  <si>
    <t>F20</t>
  </si>
  <si>
    <t>A1 GDP deflator</t>
  </si>
  <si>
    <t>The latest GDP deflator for 2019-20 prices has been published if would want to update instead of estimate the infaltion rate for 2019-20.</t>
  </si>
  <si>
    <t>Education</t>
  </si>
  <si>
    <t>Main unit cost figure hard-coded so not QA'd with source of unit cost</t>
  </si>
  <si>
    <t>N8:P8</t>
  </si>
  <si>
    <t>N8:P8 hard-coded. Add as a separate model paraemter and explian why divide lifetime costs by 10?</t>
  </si>
  <si>
    <t>Rows 11:15</t>
  </si>
  <si>
    <t>Lifetime costs hard-coded so not QA'd for source</t>
  </si>
  <si>
    <t>N16:P16</t>
  </si>
  <si>
    <t>N16:P16 hard-coded. Add as a separate model paraemter and explian why divide lifetime costs by 10?</t>
  </si>
  <si>
    <t>Comment states that lifetime costs have been modelled over 10 years</t>
  </si>
  <si>
    <t>Rows 18:21</t>
  </si>
  <si>
    <t>H23</t>
  </si>
  <si>
    <t>Add 60% as model parameter and explain why 60% of total costs?</t>
  </si>
  <si>
    <t>Comment explains</t>
  </si>
  <si>
    <t>H24</t>
  </si>
  <si>
    <t>Add 28% as model parameter and explain why 28% of total costs?</t>
  </si>
  <si>
    <t>H25</t>
  </si>
  <si>
    <t>Add 12% as model parameter and explain why 12% of total costs?</t>
  </si>
  <si>
    <t>I27;I28;I30;J29</t>
  </si>
  <si>
    <t>Unit costs in $ hard-coded and not QA'd for source or how converted to £s</t>
  </si>
  <si>
    <t>Homelessness</t>
  </si>
  <si>
    <t>H8</t>
  </si>
  <si>
    <t>Unit costs hard-coded so not QA'd for source</t>
  </si>
  <si>
    <t>H10:H12</t>
  </si>
  <si>
    <t>H13:K13</t>
  </si>
  <si>
    <t>Unit cost of crime excluded from Overall cost</t>
  </si>
  <si>
    <t>H14:H18</t>
  </si>
  <si>
    <t>Parents with problem alcohol and drug use:</t>
  </si>
  <si>
    <t>Supporting children and families experiencing parental alcohol and drug misuse</t>
  </si>
  <si>
    <t>Introduction</t>
  </si>
  <si>
    <t>Part 1: Social cost-benefit tool</t>
  </si>
  <si>
    <t>Part 2: Unit cost database</t>
  </si>
  <si>
    <t>Part 3: Annexes</t>
  </si>
  <si>
    <t>To open a section, please click on the relevant link at the side, or use the tabs below.</t>
  </si>
  <si>
    <t>Contents</t>
  </si>
  <si>
    <t>Social cost-benefit tool component</t>
  </si>
  <si>
    <t>Corresponding tab</t>
  </si>
  <si>
    <t>Template for calculations</t>
  </si>
  <si>
    <t>To see how the tool can be used in practice, please see the next tab: 'Worked examples'</t>
  </si>
  <si>
    <t>Cost theme checklist</t>
  </si>
  <si>
    <t>No. of children</t>
  </si>
  <si>
    <t>No. of adults</t>
  </si>
  <si>
    <t>Costs avoided in first year after intervention</t>
  </si>
  <si>
    <t>Notes</t>
  </si>
  <si>
    <t>Direct costs</t>
  </si>
  <si>
    <t>Indirect</t>
  </si>
  <si>
    <t>Intangible</t>
  </si>
  <si>
    <t>LA</t>
  </si>
  <si>
    <t>NHS</t>
  </si>
  <si>
    <t>CJS</t>
  </si>
  <si>
    <t>Social care</t>
  </si>
  <si>
    <t>Housing</t>
  </si>
  <si>
    <t>Treatment</t>
  </si>
  <si>
    <t>SOCIAL BENEFITS</t>
  </si>
  <si>
    <t>Social care and early help support</t>
  </si>
  <si>
    <t>Social, YP &amp; kinship care</t>
  </si>
  <si>
    <t>Looked after - not in high cost placement</t>
  </si>
  <si>
    <t>n/a</t>
  </si>
  <si>
    <t xml:space="preserve">Child protection plan </t>
  </si>
  <si>
    <t>Child in need</t>
  </si>
  <si>
    <t>Early help</t>
  </si>
  <si>
    <t>Troubled Families programme</t>
  </si>
  <si>
    <t>Young person adopting carer role</t>
  </si>
  <si>
    <t>Kinship care</t>
  </si>
  <si>
    <t>Exclusion from school</t>
  </si>
  <si>
    <t xml:space="preserve">Education </t>
  </si>
  <si>
    <t>Truancy</t>
  </si>
  <si>
    <t>Perinatal depression</t>
  </si>
  <si>
    <t>Perinatal anxiety</t>
  </si>
  <si>
    <t>Conduct disorder</t>
  </si>
  <si>
    <t>Foetal alcohol spectrum disorder</t>
  </si>
  <si>
    <t>NHS treatment</t>
  </si>
  <si>
    <t>NHS and LA Treatment</t>
  </si>
  <si>
    <t>Domestic abuse</t>
  </si>
  <si>
    <t>DA &amp; crime</t>
  </si>
  <si>
    <t/>
  </si>
  <si>
    <t>Violence</t>
  </si>
  <si>
    <t>Shoplifting</t>
  </si>
  <si>
    <t>Robbery</t>
  </si>
  <si>
    <t>House burglary</t>
  </si>
  <si>
    <t>Police call out</t>
  </si>
  <si>
    <t>Are costs mutually exclusive?</t>
  </si>
  <si>
    <t>No</t>
  </si>
  <si>
    <t>COSTS</t>
  </si>
  <si>
    <t>Alcohol and/or drug treatment</t>
  </si>
  <si>
    <t>Other treatment cost should be added here</t>
  </si>
  <si>
    <t>Total costs</t>
  </si>
  <si>
    <t>£</t>
  </si>
  <si>
    <t>Gross social benefit (LA)</t>
  </si>
  <si>
    <t>Net social benefit (LA)</t>
  </si>
  <si>
    <t>Social benefit-cost ratio (LA costs)</t>
  </si>
  <si>
    <t>Wider net social benefits (gross)</t>
  </si>
  <si>
    <t>Wider net social benefits (net)</t>
  </si>
  <si>
    <t>Wider social benefit-cost ratio</t>
  </si>
  <si>
    <t>Worked through examples using case studies</t>
  </si>
  <si>
    <t>Case study 1: Sarah</t>
  </si>
  <si>
    <t>In Sarah's case study there are 5 themes in the checklist that we can cost:</t>
  </si>
  <si>
    <t>1. Child protection plan</t>
  </si>
  <si>
    <t>2. Perinatal depression and anxiety</t>
  </si>
  <si>
    <t>3. No risk of foetal alchohol spectrum disorder</t>
  </si>
  <si>
    <t>4. Homelessness</t>
  </si>
  <si>
    <t>5. Specialist treatment (community and residential)</t>
  </si>
  <si>
    <t>Costs refer to the cost of treatment and any ongoing support from early help or social care.</t>
  </si>
  <si>
    <t>Homeslessness</t>
  </si>
  <si>
    <t>Cognitive behavioural therapy (CBT) for adolescents</t>
  </si>
  <si>
    <t>Counselling for children with mental or emotional difficulties</t>
  </si>
  <si>
    <t>Min</t>
  </si>
  <si>
    <t>Max</t>
  </si>
  <si>
    <t>Treatment for opioid use</t>
  </si>
  <si>
    <t>Treatment for non-opioid drug use</t>
  </si>
  <si>
    <t>Treatment for alcohol use</t>
  </si>
  <si>
    <t>Treatment for young people (alcohol and drugs)</t>
  </si>
  <si>
    <t>Inpatient detoxfication</t>
  </si>
  <si>
    <t>Residential rehabilitation</t>
  </si>
  <si>
    <t>Case study 2: Jenny and Steve</t>
  </si>
  <si>
    <t>In Jenny and Steve's case study there are 6 themes in the checklist that we can cost:</t>
  </si>
  <si>
    <r>
      <t xml:space="preserve">1. Jenny's baby was subject to an interim care order and Jenny has had children removed from her care before, so we can assume that without intervention the baby would have become </t>
    </r>
    <r>
      <rPr>
        <b/>
        <sz val="12"/>
        <color theme="1"/>
        <rFont val="Arial"/>
        <family val="2"/>
      </rPr>
      <t xml:space="preserve">looked after </t>
    </r>
    <r>
      <rPr>
        <sz val="12"/>
        <color theme="1"/>
        <rFont val="Arial"/>
        <family val="2"/>
      </rPr>
      <t>by the local authority and removed from the family home</t>
    </r>
  </si>
  <si>
    <r>
      <t xml:space="preserve">2. The child is now on home placement agreement, but if Jenny and Steve continue to recover, social care involvement will cease. To be conservative, we have assumed that a year post-intervention the ongoing social care cost will average out to an annual cost of being on a </t>
    </r>
    <r>
      <rPr>
        <b/>
        <sz val="12"/>
        <color theme="1"/>
        <rFont val="Arial"/>
        <family val="2"/>
      </rPr>
      <t>child in need plan</t>
    </r>
  </si>
  <si>
    <r>
      <t xml:space="preserve">3. If Steve's violence was fuelled by his drug use, then remaining substance free is likely to stop his </t>
    </r>
    <r>
      <rPr>
        <b/>
        <sz val="12"/>
        <color theme="1"/>
        <rFont val="Arial"/>
        <family val="2"/>
      </rPr>
      <t>violent offending</t>
    </r>
  </si>
  <si>
    <r>
      <t xml:space="preserve">4. </t>
    </r>
    <r>
      <rPr>
        <b/>
        <sz val="12"/>
        <color theme="1"/>
        <rFont val="Arial"/>
        <family val="2"/>
      </rPr>
      <t>Domestic abuse</t>
    </r>
  </si>
  <si>
    <r>
      <t xml:space="preserve">5. </t>
    </r>
    <r>
      <rPr>
        <b/>
        <sz val="12"/>
        <color theme="1"/>
        <rFont val="Arial"/>
        <family val="2"/>
      </rPr>
      <t>Homelessness</t>
    </r>
  </si>
  <si>
    <r>
      <t xml:space="preserve">6. </t>
    </r>
    <r>
      <rPr>
        <b/>
        <sz val="12"/>
        <color theme="1"/>
        <rFont val="Arial"/>
        <family val="2"/>
      </rPr>
      <t>Treatment</t>
    </r>
    <r>
      <rPr>
        <sz val="12"/>
        <color theme="1"/>
        <rFont val="Arial"/>
        <family val="2"/>
      </rPr>
      <t xml:space="preserve"> in the community and in a residential centre</t>
    </r>
  </si>
  <si>
    <t>Baby was subject to an interim care order and Jenny has had children removed from her care before, so we can assume that without intervention the baby would have been removed from the home</t>
  </si>
  <si>
    <t>If Steve's violence was fuelled by his drug use, then remaining substance free is likely to stop his violent offending</t>
  </si>
  <si>
    <t>Yes</t>
  </si>
  <si>
    <t>[Select]</t>
  </si>
  <si>
    <t>Total benefits (where costs are not mutually exclusive, a range is presented)</t>
  </si>
  <si>
    <t>Assume the support programme Jenny and Steve received costs the same as standard treatment for heroin use</t>
  </si>
  <si>
    <t>Assume Steve received tx for 10% of the time</t>
  </si>
  <si>
    <t>The child is now on home placement agreement, but if Jenny and Steve continue to recover, social care involvement will cease. To be conservative, we have assumed that a year post-intervention the ongoing social care cost will average out to an annual cost of being on a child in need plan</t>
  </si>
  <si>
    <t>Case study 3: Hannah and Dave</t>
  </si>
  <si>
    <t>In Hannah and Dave's case study there are 4 themes in the checklist that we can cost:</t>
  </si>
  <si>
    <r>
      <t xml:space="preserve">1. All 5 children moved </t>
    </r>
    <r>
      <rPr>
        <b/>
        <sz val="12"/>
        <color theme="1"/>
        <rFont val="Arial"/>
        <family val="2"/>
      </rPr>
      <t>from child protection to child in need plans</t>
    </r>
  </si>
  <si>
    <r>
      <t xml:space="preserve">2. The eldest daughter was a </t>
    </r>
    <r>
      <rPr>
        <b/>
        <sz val="12"/>
        <color theme="1"/>
        <rFont val="Arial"/>
        <family val="2"/>
      </rPr>
      <t>young carer</t>
    </r>
  </si>
  <si>
    <r>
      <t xml:space="preserve">3. Two children were truanting from school, both were displaying physical and verbal aggression as well and one running away from home and so were likely to have become </t>
    </r>
    <r>
      <rPr>
        <b/>
        <sz val="12"/>
        <color theme="1"/>
        <rFont val="Arial"/>
        <family val="2"/>
      </rPr>
      <t xml:space="preserve">expelled </t>
    </r>
  </si>
  <si>
    <r>
      <t xml:space="preserve">4. Family </t>
    </r>
    <r>
      <rPr>
        <b/>
        <sz val="12"/>
        <color theme="1"/>
        <rFont val="Arial"/>
        <family val="2"/>
      </rPr>
      <t>therapy</t>
    </r>
    <r>
      <rPr>
        <sz val="12"/>
        <color theme="1"/>
        <rFont val="Arial"/>
        <family val="2"/>
      </rPr>
      <t xml:space="preserve"> for Hannah and her children</t>
    </r>
  </si>
  <si>
    <t>This is a conservative estimate. Given the family circumstances, it is probable that the children would have been stepped up tp child looked after status.</t>
  </si>
  <si>
    <t>We have assumed the cost of treating the children are half that of treating mother for alcohol dependency and the children can be considered as one 'unit' for costs purposes.</t>
  </si>
  <si>
    <t>Child in need plans for the 5 children</t>
  </si>
  <si>
    <t>Case study 4: Tracey and Darryl</t>
  </si>
  <si>
    <t>In Tracey and Darryl's case study there are 3 themes in the checklist that we can cost:</t>
  </si>
  <si>
    <r>
      <t xml:space="preserve">1. Both children were removed </t>
    </r>
    <r>
      <rPr>
        <b/>
        <sz val="12"/>
        <color theme="1"/>
        <rFont val="Arial"/>
        <family val="2"/>
      </rPr>
      <t>from child in need plans</t>
    </r>
  </si>
  <si>
    <r>
      <t>3.</t>
    </r>
    <r>
      <rPr>
        <b/>
        <sz val="12"/>
        <color theme="1"/>
        <rFont val="Arial"/>
        <family val="2"/>
      </rPr>
      <t xml:space="preserve"> Detox</t>
    </r>
    <r>
      <rPr>
        <sz val="12"/>
        <color theme="1"/>
        <rFont val="Arial"/>
        <family val="2"/>
      </rPr>
      <t xml:space="preserve"> for Tracey and family </t>
    </r>
    <r>
      <rPr>
        <b/>
        <sz val="12"/>
        <color theme="1"/>
        <rFont val="Arial"/>
        <family val="2"/>
      </rPr>
      <t>therapy</t>
    </r>
    <r>
      <rPr>
        <sz val="12"/>
        <color theme="1"/>
        <rFont val="Arial"/>
        <family val="2"/>
      </rPr>
      <t xml:space="preserve"> for the family</t>
    </r>
  </si>
  <si>
    <t>We have assumed the cost of treating the children and Darryl are half that of treating mother for alcohol dependency and the children/Dave can be considered as one 'unit' for costs purposes.</t>
  </si>
  <si>
    <t xml:space="preserve">Costs themes are presented below, and can be selected by clicking on the appropriate corresponding tab.
</t>
  </si>
  <si>
    <t>Cost theme</t>
  </si>
  <si>
    <t>Young carers</t>
  </si>
  <si>
    <t>Kinship carers</t>
  </si>
  <si>
    <t>Alcohol and drug treatment</t>
  </si>
  <si>
    <t>Crime (by Home Office crime types)</t>
  </si>
  <si>
    <t>If you are aware of a unit cost that you think should be included in the database, please contact: Virginia.Wright@phe.gov.uk, Parents, Carers and Families (alcohol and drugs) Programme Manager</t>
  </si>
  <si>
    <t>Social, YP and kinship care unit costs</t>
  </si>
  <si>
    <t>Cost grouping</t>
  </si>
  <si>
    <t>Cost name</t>
  </si>
  <si>
    <t>Average</t>
  </si>
  <si>
    <t>Annual cost as reported</t>
  </si>
  <si>
    <t>Publication year costs and currency</t>
  </si>
  <si>
    <t>Lifetime costs</t>
  </si>
  <si>
    <t>Who pays?</t>
  </si>
  <si>
    <t>Timeframe
(for lifetime costs)</t>
  </si>
  <si>
    <t>Geography</t>
  </si>
  <si>
    <t>References</t>
  </si>
  <si>
    <t>Methodological limitations/ bias/ notes</t>
  </si>
  <si>
    <t xml:space="preserve">Total </t>
  </si>
  <si>
    <t>Direct
(LA/ NHS/ CJS)</t>
  </si>
  <si>
    <t>Intangible (QALYs)</t>
  </si>
  <si>
    <t>Title and author</t>
  </si>
  <si>
    <t>Year</t>
  </si>
  <si>
    <t>Link to source</t>
  </si>
  <si>
    <t>Looked after child in high cost placement (4k+ a week)</t>
  </si>
  <si>
    <t>Per child</t>
  </si>
  <si>
    <t>£s, 2017/18</t>
  </si>
  <si>
    <t>England</t>
  </si>
  <si>
    <t>https://www.childrenscommissioner.gov.uk/wp-content/uploads/2019/07/cco-vulnerability-2019-spend-report.pdf</t>
  </si>
  <si>
    <r>
      <t xml:space="preserve">Looked after child in </t>
    </r>
    <r>
      <rPr>
        <b/>
        <sz val="12"/>
        <color theme="1"/>
        <rFont val="Arial"/>
        <family val="2"/>
      </rPr>
      <t>not</t>
    </r>
    <r>
      <rPr>
        <sz val="12"/>
        <color theme="1"/>
        <rFont val="Arial"/>
        <family val="2"/>
      </rPr>
      <t xml:space="preserve"> high cost placement (&lt;4k a week)</t>
    </r>
  </si>
  <si>
    <t>Ditto</t>
  </si>
  <si>
    <t>Permanency</t>
  </si>
  <si>
    <t>Young offender (convicted)</t>
  </si>
  <si>
    <t>NEET youth support</t>
  </si>
  <si>
    <r>
      <t xml:space="preserve">Section 31 care order: </t>
    </r>
    <r>
      <rPr>
        <u/>
        <sz val="12"/>
        <color theme="1"/>
        <rFont val="Arial"/>
        <family val="2"/>
      </rPr>
      <t>overall cost</t>
    </r>
  </si>
  <si>
    <t>£s, 2005/06</t>
  </si>
  <si>
    <t>Multiple</t>
  </si>
  <si>
    <t>England and Wales</t>
  </si>
  <si>
    <t>http://www.familieslink.co.uk/download/june07/Review%20of%20child%20care.pdf</t>
  </si>
  <si>
    <t>Section 31 care order: Legal aid costs</t>
  </si>
  <si>
    <t>Criminal Justice System</t>
  </si>
  <si>
    <t>Section 31 care order: local authority costs</t>
  </si>
  <si>
    <t>Local Authority</t>
  </si>
  <si>
    <t>Section 31 care order: court costs</t>
  </si>
  <si>
    <t>Section 31 care order: Children and Family Court Advisory and Support Service (CAFCASS) costs</t>
  </si>
  <si>
    <t>Department for Education</t>
  </si>
  <si>
    <t>Young carer</t>
  </si>
  <si>
    <t>Unpaid work equivalent</t>
  </si>
  <si>
    <t>Per carer</t>
  </si>
  <si>
    <t>£s, 2020/21</t>
  </si>
  <si>
    <t>11 years (from 7 years old)</t>
  </si>
  <si>
    <t>Action for Children</t>
  </si>
  <si>
    <t>https://www.actionforchildren.org.uk/news-and-blogs/press-releases/2020/february/uks-hidden-child-workforce/</t>
  </si>
  <si>
    <t>Foregone employment</t>
  </si>
  <si>
    <t>£s, 2018/19</t>
  </si>
  <si>
    <t xml:space="preserve">England </t>
  </si>
  <si>
    <t>https://assets.publishing.service.gov.uk/government/uploads/system/uploads/attachment_data/file/882953/Review_of_Drugs_Evidence_Pack.pdf</t>
  </si>
  <si>
    <t>Education unit costs</t>
  </si>
  <si>
    <t>School exclusion</t>
  </si>
  <si>
    <t>Overall cost</t>
  </si>
  <si>
    <t>£s, 2005</t>
  </si>
  <si>
    <t>Brooks et al. Misspent Youth: The costs of truancy and exclusion.</t>
  </si>
  <si>
    <t>https://www.thinknpc.org/resource-hub/misspent-youth/</t>
  </si>
  <si>
    <t>2005 costs mostly uplifted paper old papers. Net cost calculated however, estimates are based on old data so not possible to estimate the accuracy of the estimate.</t>
  </si>
  <si>
    <t>Alternative educational provision</t>
  </si>
  <si>
    <t>3.5 years</t>
  </si>
  <si>
    <t>Loss of future earnings (lifetime costs only)</t>
  </si>
  <si>
    <t>Working age</t>
  </si>
  <si>
    <t>2005 costs uplifted from paper published in 1999. The Youth Cohort Survey reported that half of excluded children fail to get any A-C grade GCSEs, compared with 22% for the overall population. 23% of all children go on to higher education, compared with 13% of excluded children. To translate levels of qualifications into levels of earnings, the Labour Force Survey (LFS) figures for full-time wages at different ages according to levels of qualifications were used. Both of these were very out of date. The LFS figures for unemployment are for age 21 only. In the absence of other data, the gap in unemployment rates remains throughout the adult working life of the excluded child.</t>
  </si>
  <si>
    <t>Crime (lifetime cost only)</t>
  </si>
  <si>
    <t>Lifetime</t>
  </si>
  <si>
    <t>Assumes excluded children who commit crime do so at the same rate up to age 39, after which they are convicted less frequently and their rate decrease at the same rate as the prison population.</t>
  </si>
  <si>
    <t>Social care (residential and foster)</t>
  </si>
  <si>
    <t>Assumes most social care costs are incurred from the age of 12½, the average age at which exclusion takes place. Assumes cost of residential and foster care for children occurs between 10-16.</t>
  </si>
  <si>
    <t>NHS costs</t>
  </si>
  <si>
    <t>16 years</t>
  </si>
  <si>
    <t>The most common cause of school exclusion is persistent disruptive behaviour.The method is based on Scott et al (2001) so is out of date. Though this paper is a seminal piece oft cited on costs associated with conduct disorders despite it being set in an inner London with a small sample size.</t>
  </si>
  <si>
    <t>School truancy</t>
  </si>
  <si>
    <t>Cost to educational system</t>
  </si>
  <si>
    <t>2 years</t>
  </si>
  <si>
    <t xml:space="preserve">Assumes that the cost to the education welfare system is only felt over two years when the child is 11 and 12. It is not possible to isolate further costs to the education system, eg, the cost of truancy initiatives. </t>
  </si>
  <si>
    <t>Loss of future earnings</t>
  </si>
  <si>
    <t>Method used to estimate costs is the same as those for excluded children. Almost 60% of children who persistently truant fail to get any A-C grade GCSEs. One child in four who truants gets no qualifications at all. Earnings are on average 13% lower for truants.</t>
  </si>
  <si>
    <t>Same as those for excluded children, taking those with conduct problems committing crimes as a proxy for truants committing crimes.</t>
  </si>
  <si>
    <t>3 years</t>
  </si>
  <si>
    <t>Same as those for excluded children, taking those with conduct problems receiving social support as a proxy for truants receiving social support.</t>
  </si>
  <si>
    <t>Method used to estimate costs is the same as those for excluded children.</t>
  </si>
  <si>
    <t>Disorder-related unit costs</t>
  </si>
  <si>
    <t>Maternal annual and lifetime cost</t>
  </si>
  <si>
    <t>Per mother</t>
  </si>
  <si>
    <t>£s, 2012/13</t>
  </si>
  <si>
    <t>10 years post birth</t>
  </si>
  <si>
    <t>UK</t>
  </si>
  <si>
    <t xml:space="preserve">https://www.nwcscnsenate.nhs.uk/files/3914/7030/1256/Costs_of_perinatal_mh.pdf </t>
  </si>
  <si>
    <t>Lifetime costs presented in paper for average 32 year old women, 10 years following birth. Annual discount of 3.5% removed from annual costs, but included in lifetime costs. QALYs discounted at 1.5% in line with PHE.</t>
  </si>
  <si>
    <t>Annual discount of 3.5% removed from annual costs, but included in lifetime costs. QALYs discounted at 1.5% in line with PHE.</t>
  </si>
  <si>
    <t>Pre-term birth</t>
  </si>
  <si>
    <t>Childhood</t>
  </si>
  <si>
    <t>Assumes 'other' as reported in source is an indirect rather than direct cost. Annual discount of 3.5% removed from annual costs, but included in lifetime costs. QALYs discounted at 1.5% in line with PHE.</t>
  </si>
  <si>
    <t>Infant death</t>
  </si>
  <si>
    <t>Individual</t>
  </si>
  <si>
    <t>Annual discount of 3.5% used in lifetime costs not removed from annual costs, for simplicity. QALYs discounted at 1.5% in line with PHE.</t>
  </si>
  <si>
    <t>Emotional problems</t>
  </si>
  <si>
    <t>Special educational needs</t>
  </si>
  <si>
    <t>Leaving school without qualifications</t>
  </si>
  <si>
    <t xml:space="preserve">Perinatal anxiety </t>
  </si>
  <si>
    <t>Chronic abdominal pain</t>
  </si>
  <si>
    <t>Ages 5-16</t>
  </si>
  <si>
    <t>GB</t>
  </si>
  <si>
    <t xml:space="preserve">https://www.centreformentalhealth.org.uk/sites/default/files/2018-11/Children%20of%20the%20Millennium.pdf </t>
  </si>
  <si>
    <t>Social services</t>
  </si>
  <si>
    <t>FASD</t>
  </si>
  <si>
    <t>Overall cost:</t>
  </si>
  <si>
    <t>$ 2978</t>
  </si>
  <si>
    <t>2017, USD</t>
  </si>
  <si>
    <t>Annual</t>
  </si>
  <si>
    <t>OECD</t>
  </si>
  <si>
    <t>https://pubmed.ncbi.nlm.nih.gov/30383615/</t>
  </si>
  <si>
    <t>Health care</t>
  </si>
  <si>
    <t>Residential care</t>
  </si>
  <si>
    <t>$13573</t>
  </si>
  <si>
    <t>Productivity losses</t>
  </si>
  <si>
    <t>$1055</t>
  </si>
  <si>
    <t>Special education</t>
  </si>
  <si>
    <t>$4549</t>
  </si>
  <si>
    <t>Homelessness unit costs</t>
  </si>
  <si>
    <t>Cost of housing homeless people</t>
  </si>
  <si>
    <t>Per family</t>
  </si>
  <si>
    <t>One year</t>
  </si>
  <si>
    <t>https://www.crisis.org.uk/media/238957/assessing_the_costs_and_benefits_of_crisis-_plan_to_end_homelessness_2018.pdf</t>
  </si>
  <si>
    <t>Per adult</t>
  </si>
  <si>
    <t>Benefit from less expensive drug and alcohol treatment and NHS spend removed as based on single homeless people who are likely to be more complex cases. Also, drug and alcohol treatment will be offered to all the people in the case studies for which this database was designed. Welfare payments count as transfer payments in economic analysis , unless taking the perspective of the Exchequer, and so have been excluded. Also excluded are crime costs associated with child being homeless to be conservative.</t>
  </si>
  <si>
    <t>Mental health</t>
  </si>
  <si>
    <t>Average cost for contact with mental health services per person per year based on Pleace and Culhane (2016).</t>
  </si>
  <si>
    <t>Average cost of contact with CJS based on  Pleace and Culhane (2016).</t>
  </si>
  <si>
    <t>Wellbeing</t>
  </si>
  <si>
    <t>CAN WE USE? COMPATIBLE WITH QALYS?</t>
  </si>
  <si>
    <t>Lifetime employment</t>
  </si>
  <si>
    <t xml:space="preserve">The number of children living in poor quality housing (reflects homelessness, overcrowding and poor conditions) gaining no GCSEs to the number of children who do not gain GCSE but are not living in bad housing (25% compared to 10%) are used to generate an expected lifetime earnings  based on the lifetime return to achieving 1-2 GCSEs as calculated by the Department of Education. </t>
  </si>
  <si>
    <t>Physical health</t>
  </si>
  <si>
    <t>0-19 years old</t>
  </si>
  <si>
    <t xml:space="preserve">Data on the average cost of NHS for a child in different age bands between 0-19 is weighted based on age distribution of homeless children. Evidence suggests that a child who is homeless represented by children living in bad housing (e.g. unsuitable temporary accommodation) is 25% more likely to have health related issues. </t>
  </si>
  <si>
    <t>Same method as for health mentioned above.</t>
  </si>
  <si>
    <t>Based on Fujiwara and Vine's 2016 paper for HACT on valuing wellbing for moving from temporary accommodation to secure housing.</t>
  </si>
  <si>
    <t>NHS and LA treatment unit costs</t>
  </si>
  <si>
    <t>Physiotherapy</t>
  </si>
  <si>
    <t>Group session</t>
  </si>
  <si>
    <t>Per child contact</t>
  </si>
  <si>
    <t>https://www.pssru.ac.uk/pub/uc/uc2019/services.pdf</t>
  </si>
  <si>
    <t>1:1 session</t>
  </si>
  <si>
    <t>Ibid.</t>
  </si>
  <si>
    <t>Paediatrics</t>
  </si>
  <si>
    <t>Elective inpatient</t>
  </si>
  <si>
    <t>Outpatient</t>
  </si>
  <si>
    <t>Critical care</t>
  </si>
  <si>
    <t>Critical care transportation</t>
  </si>
  <si>
    <t>C&amp;YP mental health</t>
  </si>
  <si>
    <t>Day care facilities – regular attendance</t>
  </si>
  <si>
    <t>Admitted patients</t>
  </si>
  <si>
    <t>Admitted patients – psychiatric intensive care</t>
  </si>
  <si>
    <t>Community contact</t>
  </si>
  <si>
    <t>Community contact, crisis resolution</t>
  </si>
  <si>
    <t xml:space="preserve">Outpatient attendance </t>
  </si>
  <si>
    <t xml:space="preserve">Per intervention </t>
  </si>
  <si>
    <t>The costs estimated represent a ‘typical’ service. There is significant variability between service models dependent on client and commissioner needs. Biased towards activity of one service.</t>
  </si>
  <si>
    <t>PHE internal calculations.</t>
  </si>
  <si>
    <t>Per young person</t>
  </si>
  <si>
    <t>Adult mental health</t>
  </si>
  <si>
    <t>Hospital</t>
  </si>
  <si>
    <t>Ambulance call-out</t>
  </si>
  <si>
    <t>Per event</t>
  </si>
  <si>
    <t>A&amp;E attendance</t>
  </si>
  <si>
    <t>Inpatient</t>
  </si>
  <si>
    <t>Day case</t>
  </si>
  <si>
    <t>GP</t>
  </si>
  <si>
    <t>GP visit</t>
  </si>
  <si>
    <t>Pharmacy</t>
  </si>
  <si>
    <t>Prescription</t>
  </si>
  <si>
    <t>Per prescription</t>
  </si>
  <si>
    <t>NHS COSTS - FROM LTP?</t>
  </si>
  <si>
    <t>TX COSTS FROM VFM</t>
  </si>
  <si>
    <t>COSTS PREVENTED FROM RECOVERY</t>
  </si>
  <si>
    <t>Domestic abuse and crime unit costs</t>
  </si>
  <si>
    <t>Per adult survivor</t>
  </si>
  <si>
    <t>£s, 2016/17</t>
  </si>
  <si>
    <t>https://assets.publishing.service.gov.uk/government/uploads/system/uploads/attachment_data/file/772180/horr107.pdf</t>
  </si>
  <si>
    <t>Home Office estimate of unit cost based on crime survey for England and Wales (CSEW) and recorded crime data. Small sample size. Does not contain data on repeat incidents. Victims aged 16-59 only. The impact on children and associated social services costs have not been included. QALYs amended so 1 QALY = £60k in line with PHE recommendations.</t>
  </si>
  <si>
    <t xml:space="preserve">Home Office estimate of unit cost based on crime survey for England and Wales (CSEW) and recorded crime data. Small sample size. Does not contain data on repeat incidents. Victims aged 16-59 only. The impact on children and associated social services costs have not been included. </t>
  </si>
  <si>
    <t>Lost output</t>
  </si>
  <si>
    <t>Quality-adjusted life years (QALYs) lost</t>
  </si>
  <si>
    <t>QALYs amended so 1 QALY = £60k in line with PHE recommendations.</t>
  </si>
  <si>
    <t>Police/ criminal justice</t>
  </si>
  <si>
    <t>Criminal justice system</t>
  </si>
  <si>
    <t>Other costs</t>
  </si>
  <si>
    <t>Violence with injury</t>
  </si>
  <si>
    <t>Per incident</t>
  </si>
  <si>
    <t>£s, 2015/16</t>
  </si>
  <si>
    <t>https://assets.publishing.service.gov.uk/government/uploads/system/uploads/attachment_data/file/732110/the-economic-and-social-costs-of-crime-horr99.pdf</t>
  </si>
  <si>
    <t>Cost in response to crime</t>
  </si>
  <si>
    <t>Cost in anticpiation of crime</t>
  </si>
  <si>
    <t>Violence without injury</t>
  </si>
  <si>
    <t xml:space="preserve">Fell et al. Understanding organised crime 2015/16 Estimating the scale and the social and economic costs. Second edition.
</t>
  </si>
  <si>
    <t>https://assets.publishing.service.gov.uk/government/uploads/system/uploads/attachment_data/file/782656/understanding-organised-crime-mar16-horr103-2nd.pdf</t>
  </si>
  <si>
    <t>Shoplifting is not directly comparable to what is available in the latest unit costs of crime published by the Home Office (HO). Instead, the unit costs presented in the 2015/16 HO drug-related crime estimates have been uprated, which were originally sourced from a 2013 estimate.</t>
  </si>
  <si>
    <t>Criminal damage</t>
  </si>
  <si>
    <t>Vehicle theft</t>
  </si>
  <si>
    <t>Provided by Department of Work and Pensions Economists</t>
  </si>
  <si>
    <t>Annex</t>
  </si>
  <si>
    <t>A1 - HM Treasury's GDP deflator</t>
  </si>
  <si>
    <t>A2 - HM Treasury's discount factors</t>
  </si>
  <si>
    <t>A2 Discount</t>
  </si>
  <si>
    <t>Used to discount future costs in line with Treasury guidance in the database</t>
  </si>
  <si>
    <t>A3 - Market forces</t>
  </si>
  <si>
    <t>A3 Market forces</t>
  </si>
  <si>
    <t>Outturn data are as at the First Quarterly Estimate of GDP from the ONS - last updated 3 March 2021.</t>
  </si>
  <si>
    <t xml:space="preserve">GDP deflator at market prices </t>
  </si>
  <si>
    <t>Financial year</t>
  </si>
  <si>
    <t>Cash £ million
non-seasonally adjusted</t>
  </si>
  <si>
    <t>Cash £ million
seasonally adjusted</t>
  </si>
  <si>
    <t>Calendar year</t>
  </si>
  <si>
    <t>2020 = 100</t>
  </si>
  <si>
    <t>Cash £ million
Non-Seasonally Adjusted</t>
  </si>
  <si>
    <t>-</t>
  </si>
  <si>
    <t>Standard discount factors</t>
  </si>
  <si>
    <t>Health discount factors (for QALYs)</t>
  </si>
  <si>
    <t>Discount 
Rate</t>
  </si>
  <si>
    <t>Discount 
Factor</t>
  </si>
  <si>
    <t>A3: Market forces factor (MFF)</t>
  </si>
  <si>
    <t>The MFF estimates the unavoidable cost differences across the country of providing healthcare.</t>
  </si>
  <si>
    <t>It can be applied to national cost averages to be more locally relevant.</t>
  </si>
  <si>
    <t>UTLA code</t>
  </si>
  <si>
    <t>UTLA Name</t>
  </si>
  <si>
    <t>MFF Index</t>
  </si>
  <si>
    <t>E06000002</t>
  </si>
  <si>
    <t>Middlesbrough</t>
  </si>
  <si>
    <t>E06000003</t>
  </si>
  <si>
    <t>Redcar and Cleveland</t>
  </si>
  <si>
    <t>E06000005</t>
  </si>
  <si>
    <t>Darlington</t>
  </si>
  <si>
    <t>E06000006</t>
  </si>
  <si>
    <t>Halton</t>
  </si>
  <si>
    <t>E06000007</t>
  </si>
  <si>
    <t>Warrington</t>
  </si>
  <si>
    <t>E06000009</t>
  </si>
  <si>
    <t>Blackpool</t>
  </si>
  <si>
    <t>E06000010</t>
  </si>
  <si>
    <t>Kingston upon Hull, City of</t>
  </si>
  <si>
    <t>E06000012</t>
  </si>
  <si>
    <t>North East Lincolnshire</t>
  </si>
  <si>
    <t>E06000013</t>
  </si>
  <si>
    <t>North Lincolnshire</t>
  </si>
  <si>
    <t>E06000015</t>
  </si>
  <si>
    <t>Derby</t>
  </si>
  <si>
    <t>E06000016</t>
  </si>
  <si>
    <t>Leicester</t>
  </si>
  <si>
    <t>E06000017</t>
  </si>
  <si>
    <t>Rutland</t>
  </si>
  <si>
    <t>E06000018</t>
  </si>
  <si>
    <t>Nottingham</t>
  </si>
  <si>
    <t>E06000019</t>
  </si>
  <si>
    <t>Herefordshire, County of</t>
  </si>
  <si>
    <t>E06000020</t>
  </si>
  <si>
    <t>Telford and Wrekin</t>
  </si>
  <si>
    <t>E06000022</t>
  </si>
  <si>
    <t>Bath and North East Somerset</t>
  </si>
  <si>
    <t>E06000026</t>
  </si>
  <si>
    <t>Plymouth</t>
  </si>
  <si>
    <t>E06000027</t>
  </si>
  <si>
    <t>Torbay</t>
  </si>
  <si>
    <t>E06000030</t>
  </si>
  <si>
    <t>Swindon</t>
  </si>
  <si>
    <t>E06000031</t>
  </si>
  <si>
    <t>Peterborough</t>
  </si>
  <si>
    <t>E06000032</t>
  </si>
  <si>
    <t>Luton</t>
  </si>
  <si>
    <t>E06000033</t>
  </si>
  <si>
    <t>Southend-on-Sea</t>
  </si>
  <si>
    <t>E06000034</t>
  </si>
  <si>
    <t>Thurrock</t>
  </si>
  <si>
    <t>E06000035</t>
  </si>
  <si>
    <t>Medway</t>
  </si>
  <si>
    <t>E06000042</t>
  </si>
  <si>
    <t>Milton Keynes</t>
  </si>
  <si>
    <t>E06000043</t>
  </si>
  <si>
    <t>Brighton and Hove</t>
  </si>
  <si>
    <t>E06000044</t>
  </si>
  <si>
    <t>Portsmouth</t>
  </si>
  <si>
    <t>E06000045</t>
  </si>
  <si>
    <t>Southampton</t>
  </si>
  <si>
    <t>E06000047</t>
  </si>
  <si>
    <t>County Durham</t>
  </si>
  <si>
    <t>E06000049</t>
  </si>
  <si>
    <t>Cheshire East</t>
  </si>
  <si>
    <t>E06000050</t>
  </si>
  <si>
    <t>Cheshire West and Chester</t>
  </si>
  <si>
    <t>E06000051</t>
  </si>
  <si>
    <t>Shropshire</t>
  </si>
  <si>
    <t>E06000052</t>
  </si>
  <si>
    <t>Cornwall</t>
  </si>
  <si>
    <t>E06000053</t>
  </si>
  <si>
    <t>Isles of Scilly</t>
  </si>
  <si>
    <t>E06000054</t>
  </si>
  <si>
    <t>Wiltshire</t>
  </si>
  <si>
    <t>E06000055</t>
  </si>
  <si>
    <t>Bedford</t>
  </si>
  <si>
    <t>E06000056</t>
  </si>
  <si>
    <t>Central Bedfordshire</t>
  </si>
  <si>
    <t>E06000057</t>
  </si>
  <si>
    <t>Northumberland</t>
  </si>
  <si>
    <t>E06000058</t>
  </si>
  <si>
    <t>Bournemouth, Christchurch and Poole</t>
  </si>
  <si>
    <t>E06000059</t>
  </si>
  <si>
    <t>Dorset</t>
  </si>
  <si>
    <t>E06000060</t>
  </si>
  <si>
    <t>Buckinghamshire</t>
  </si>
  <si>
    <t>E08000001</t>
  </si>
  <si>
    <t>Bolton</t>
  </si>
  <si>
    <t>E08000002</t>
  </si>
  <si>
    <t>Bury</t>
  </si>
  <si>
    <t>E08000003</t>
  </si>
  <si>
    <t>Manchester</t>
  </si>
  <si>
    <t>E08000004</t>
  </si>
  <si>
    <t>Oldham</t>
  </si>
  <si>
    <t>E08000005</t>
  </si>
  <si>
    <t>Rochdale</t>
  </si>
  <si>
    <t>E08000006</t>
  </si>
  <si>
    <t>Salford</t>
  </si>
  <si>
    <t>E08000007</t>
  </si>
  <si>
    <t>Stockport</t>
  </si>
  <si>
    <t>E08000008</t>
  </si>
  <si>
    <t>Tameside</t>
  </si>
  <si>
    <t>E08000009</t>
  </si>
  <si>
    <t>Trafford</t>
  </si>
  <si>
    <t>E08000010</t>
  </si>
  <si>
    <t>Wigan</t>
  </si>
  <si>
    <t>E08000011</t>
  </si>
  <si>
    <t>Knowsley</t>
  </si>
  <si>
    <t>E08000012</t>
  </si>
  <si>
    <t>Liverpool</t>
  </si>
  <si>
    <t>E08000013</t>
  </si>
  <si>
    <t>St. Helens</t>
  </si>
  <si>
    <t>E08000014</t>
  </si>
  <si>
    <t>Sefton</t>
  </si>
  <si>
    <t>E08000015</t>
  </si>
  <si>
    <t>Wirral</t>
  </si>
  <si>
    <t>E08000016</t>
  </si>
  <si>
    <t>Barnsley</t>
  </si>
  <si>
    <t>E08000017</t>
  </si>
  <si>
    <t>Doncaster</t>
  </si>
  <si>
    <t>E08000018</t>
  </si>
  <si>
    <t>Rotherham</t>
  </si>
  <si>
    <t>E08000019</t>
  </si>
  <si>
    <t>Sheffield</t>
  </si>
  <si>
    <t>E08000021</t>
  </si>
  <si>
    <t>Newcastle upon Tyne</t>
  </si>
  <si>
    <t>E08000022</t>
  </si>
  <si>
    <t>North Tyneside</t>
  </si>
  <si>
    <t>E08000023</t>
  </si>
  <si>
    <t>South Tyneside</t>
  </si>
  <si>
    <t>E08000024</t>
  </si>
  <si>
    <t>Sunderland</t>
  </si>
  <si>
    <t>E08000025</t>
  </si>
  <si>
    <t>Birmingham</t>
  </si>
  <si>
    <t>E08000026</t>
  </si>
  <si>
    <t>Coventry</t>
  </si>
  <si>
    <t>E08000027</t>
  </si>
  <si>
    <t>Dudley</t>
  </si>
  <si>
    <t>E08000028</t>
  </si>
  <si>
    <t>Sandwell</t>
  </si>
  <si>
    <t>E08000030</t>
  </si>
  <si>
    <t>Walsall</t>
  </si>
  <si>
    <t>E08000031</t>
  </si>
  <si>
    <t>Wolverhampton</t>
  </si>
  <si>
    <t>E08000032</t>
  </si>
  <si>
    <t>Bradford</t>
  </si>
  <si>
    <t>E08000033</t>
  </si>
  <si>
    <t>Calderdale</t>
  </si>
  <si>
    <t>E08000034</t>
  </si>
  <si>
    <t>Kirklees</t>
  </si>
  <si>
    <t>E08000036</t>
  </si>
  <si>
    <t>Wakefield</t>
  </si>
  <si>
    <t>E08000037</t>
  </si>
  <si>
    <t>Gateshead</t>
  </si>
  <si>
    <t>E09000001</t>
  </si>
  <si>
    <t>City of London</t>
  </si>
  <si>
    <t>E09000002</t>
  </si>
  <si>
    <t>Barking and Dagenham</t>
  </si>
  <si>
    <t>E09000003</t>
  </si>
  <si>
    <t>Barnet</t>
  </si>
  <si>
    <t>E09000004</t>
  </si>
  <si>
    <t>Bexley</t>
  </si>
  <si>
    <t>E09000005</t>
  </si>
  <si>
    <t>Brent</t>
  </si>
  <si>
    <t>E09000006</t>
  </si>
  <si>
    <t>Bromley</t>
  </si>
  <si>
    <t>E09000007</t>
  </si>
  <si>
    <t>Camden</t>
  </si>
  <si>
    <t>E09000008</t>
  </si>
  <si>
    <t>Croydon</t>
  </si>
  <si>
    <t>E09000009</t>
  </si>
  <si>
    <t>Ealing</t>
  </si>
  <si>
    <t>E09000010</t>
  </si>
  <si>
    <t>Enfield</t>
  </si>
  <si>
    <t>E09000011</t>
  </si>
  <si>
    <t>Greenwich</t>
  </si>
  <si>
    <t>E09000012</t>
  </si>
  <si>
    <t>Hackney</t>
  </si>
  <si>
    <t>E09000013</t>
  </si>
  <si>
    <t>Hammersmith and Fulham</t>
  </si>
  <si>
    <t>E09000014</t>
  </si>
  <si>
    <t>Haringey</t>
  </si>
  <si>
    <t>E09000015</t>
  </si>
  <si>
    <t>Harrow</t>
  </si>
  <si>
    <t>E09000016</t>
  </si>
  <si>
    <t>Havering</t>
  </si>
  <si>
    <t>E09000017</t>
  </si>
  <si>
    <t>Hillingdon</t>
  </si>
  <si>
    <t>E09000018</t>
  </si>
  <si>
    <t>Hounslow</t>
  </si>
  <si>
    <t>E09000019</t>
  </si>
  <si>
    <t>Islington</t>
  </si>
  <si>
    <t>E09000020</t>
  </si>
  <si>
    <t>Kensington and Chelsea</t>
  </si>
  <si>
    <t>E09000021</t>
  </si>
  <si>
    <t>Kingston upon Thames</t>
  </si>
  <si>
    <t>E09000022</t>
  </si>
  <si>
    <t>Lambeth</t>
  </si>
  <si>
    <t>E09000023</t>
  </si>
  <si>
    <t>Lewisham</t>
  </si>
  <si>
    <t>E09000024</t>
  </si>
  <si>
    <t>Merton</t>
  </si>
  <si>
    <t>E09000025</t>
  </si>
  <si>
    <t>Newham</t>
  </si>
  <si>
    <t>E09000026</t>
  </si>
  <si>
    <t>Redbridge</t>
  </si>
  <si>
    <t>E09000027</t>
  </si>
  <si>
    <t>Richmond upon Thames</t>
  </si>
  <si>
    <t>E09000028</t>
  </si>
  <si>
    <t>Southwark</t>
  </si>
  <si>
    <t>E09000029</t>
  </si>
  <si>
    <t>Sutton</t>
  </si>
  <si>
    <t>E09000030</t>
  </si>
  <si>
    <t>Tower Hamlets</t>
  </si>
  <si>
    <t>E09000031</t>
  </si>
  <si>
    <t>Waltham Forest</t>
  </si>
  <si>
    <t>E09000032</t>
  </si>
  <si>
    <t>Wandsworth</t>
  </si>
  <si>
    <t>E09000033</t>
  </si>
  <si>
    <t>Westminster</t>
  </si>
  <si>
    <t>E10000003</t>
  </si>
  <si>
    <t>Cambridgeshire</t>
  </si>
  <si>
    <t>E10000006</t>
  </si>
  <si>
    <t>Cumbria</t>
  </si>
  <si>
    <t>E10000007</t>
  </si>
  <si>
    <t>Derbyshire</t>
  </si>
  <si>
    <t>E10000008</t>
  </si>
  <si>
    <t>Devon</t>
  </si>
  <si>
    <t>E10000011</t>
  </si>
  <si>
    <t>East Sussex</t>
  </si>
  <si>
    <t>E10000012</t>
  </si>
  <si>
    <t>Essex</t>
  </si>
  <si>
    <t>E10000013</t>
  </si>
  <si>
    <t>Gloucestershire</t>
  </si>
  <si>
    <t>E10000014</t>
  </si>
  <si>
    <t>Hampshire</t>
  </si>
  <si>
    <t>E10000015</t>
  </si>
  <si>
    <t>Hertfordshire</t>
  </si>
  <si>
    <t>E10000016</t>
  </si>
  <si>
    <t>Kent</t>
  </si>
  <si>
    <t>E10000017</t>
  </si>
  <si>
    <t>Lancashire</t>
  </si>
  <si>
    <t>E10000018</t>
  </si>
  <si>
    <t>Leicestershire</t>
  </si>
  <si>
    <t>E10000019</t>
  </si>
  <si>
    <t>Lincolnshire</t>
  </si>
  <si>
    <t>E10000020</t>
  </si>
  <si>
    <t>Norfolk</t>
  </si>
  <si>
    <t>E10000021</t>
  </si>
  <si>
    <t>Northamptonshire</t>
  </si>
  <si>
    <t>E10000023</t>
  </si>
  <si>
    <t>North Yorkshire</t>
  </si>
  <si>
    <t>E10000024</t>
  </si>
  <si>
    <t>Nottinghamshire</t>
  </si>
  <si>
    <t>E10000025</t>
  </si>
  <si>
    <t>Oxfordshire</t>
  </si>
  <si>
    <t>E10000027</t>
  </si>
  <si>
    <t>Somerset</t>
  </si>
  <si>
    <t>E10000028</t>
  </si>
  <si>
    <t>Staffordshire</t>
  </si>
  <si>
    <t>E10000029</t>
  </si>
  <si>
    <t>Suffolk</t>
  </si>
  <si>
    <t>E10000030</t>
  </si>
  <si>
    <t>Surrey</t>
  </si>
  <si>
    <t>E10000031</t>
  </si>
  <si>
    <t>Warwickshire</t>
  </si>
  <si>
    <t>E10000032</t>
  </si>
  <si>
    <t>West Sussex</t>
  </si>
  <si>
    <t>E10000034</t>
  </si>
  <si>
    <t>Worcestershire</t>
  </si>
  <si>
    <t>Kinship Carers</t>
  </si>
  <si>
    <t>https://www.frg.org.uk/images/e-publications/Kinship_carers_survey_analysis.pdf</t>
  </si>
  <si>
    <t>Number of children raised by kinship carer's (UK)</t>
  </si>
  <si>
    <t>The survey was completed by 845 kinship carers who are raising at least 1252 kinship children.</t>
  </si>
  <si>
    <t>UK kids: carers</t>
  </si>
  <si>
    <t>740 (88%) kinship carers live in England</t>
  </si>
  <si>
    <t>England kids: carers</t>
  </si>
  <si>
    <t>Number of kinship carers</t>
  </si>
  <si>
    <t>Gave up work to be fulltime kinship carer, %</t>
  </si>
  <si>
    <t>Table 15</t>
  </si>
  <si>
    <t>Gave up work to be fulltime kinship carer, n</t>
  </si>
  <si>
    <t>Reason kinship child cannot live with parent: Parental misuse, %</t>
  </si>
  <si>
    <t>Table 20</t>
  </si>
  <si>
    <t>Reason kinship child cannot live with parent: Parental misuse, n</t>
  </si>
  <si>
    <t>Duration of care, annually (hours)</t>
  </si>
  <si>
    <t>Same approach as Copello et al for lost carer employment opportunities / reduction in productivity. Duration is an estimate of the number of hours spent (the opportunity cost) of caring.</t>
  </si>
  <si>
    <t>Minimum wage</t>
  </si>
  <si>
    <t>Total 'Indirect' Cost</t>
  </si>
  <si>
    <t>Total 'Indirect' Cost (Rounded)</t>
  </si>
  <si>
    <t>https://www.theguardian.com/society/2019/sep/23/kinship-carers-left-with-debt-and-ill-health-for-doing-the-right-thing</t>
  </si>
  <si>
    <t>Discount default 0-30 years</t>
  </si>
  <si>
    <t>Discount default 31-50 years</t>
  </si>
  <si>
    <t>Perinatal lifetime depression (10 years - 1 QALY = £25k)</t>
  </si>
  <si>
    <t>Perinatal lifetime anxiety (10 years - 1 QALY = £25k)</t>
  </si>
  <si>
    <t>Pre birth costs (aged 5-18; 13 years)</t>
  </si>
  <si>
    <t>Infant death costs (0-18)</t>
  </si>
  <si>
    <t>Emotional problems costs (0-76)</t>
  </si>
  <si>
    <t>Conduct disorder costs (0-76)</t>
  </si>
  <si>
    <t>Direct</t>
  </si>
  <si>
    <t>Multiplier</t>
  </si>
  <si>
    <t>QALY multiplier</t>
  </si>
  <si>
    <t>2020/21</t>
  </si>
  <si>
    <t xml:space="preserve">DOI: 10.1097/ADM.0000000000000438 </t>
  </si>
  <si>
    <t>2017 USD</t>
  </si>
  <si>
    <t>Mid Exchange Rate: 0.7731 on 05/07/2017</t>
  </si>
  <si>
    <t>https://www.poundsterlinglive.com/best-exchange-rates/best-us-dollar-to-british-pound-history-2017</t>
  </si>
  <si>
    <t>Exchange rate</t>
  </si>
  <si>
    <t>Health</t>
  </si>
  <si>
    <t>Crimes</t>
  </si>
  <si>
    <t>Costs in anticipation of crime</t>
  </si>
  <si>
    <t>Costs as a consequence of crime</t>
  </si>
  <si>
    <t>Total (1)</t>
  </si>
  <si>
    <t>Defensive expenditure</t>
  </si>
  <si>
    <t>Insurance administration</t>
  </si>
  <si>
    <t>Value of property stolen/damaged</t>
  </si>
  <si>
    <t>Physical and emotional harm</t>
  </si>
  <si>
    <t>Health services</t>
  </si>
  <si>
    <t>Victim services</t>
  </si>
  <si>
    <t>Police costs</t>
  </si>
  <si>
    <t>Other CJS Costs</t>
  </si>
  <si>
    <t>Homicide</t>
  </si>
  <si>
    <t>Violence with Injury</t>
  </si>
  <si>
    <t>Violence without Injury</t>
  </si>
  <si>
    <t>Rape</t>
  </si>
  <si>
    <t>Other sexual offences</t>
  </si>
  <si>
    <t>Domestic burglary</t>
  </si>
  <si>
    <t>Theft of Vehicle</t>
  </si>
  <si>
    <t>Theft from Vehicle</t>
  </si>
  <si>
    <t>Theft from Person</t>
  </si>
  <si>
    <t>Criminal damage – arson</t>
  </si>
  <si>
    <t>Criminal damage – other</t>
  </si>
  <si>
    <t>Fraud</t>
  </si>
  <si>
    <t>Cybercrime</t>
  </si>
  <si>
    <t>Commercial (7 sectors only)</t>
  </si>
  <si>
    <t>Commercial robbery</t>
  </si>
  <si>
    <t>Commercial burglary</t>
  </si>
  <si>
    <t>Commercial theft</t>
  </si>
  <si>
    <t>Theft of Commercial Vehicle</t>
  </si>
  <si>
    <t>Theft from Commercial Vehicle</t>
  </si>
  <si>
    <t>Commercial criminal damage – arson</t>
  </si>
  <si>
    <t>Commercial criminal damage – other</t>
  </si>
  <si>
    <t>UNIT COSTS 2015/16</t>
  </si>
  <si>
    <t>Alex QA - 07.01.2021</t>
  </si>
  <si>
    <t>Total public value</t>
  </si>
  <si>
    <t>Total</t>
  </si>
  <si>
    <t>Theft of vehicle</t>
  </si>
  <si>
    <t>Theft from vehicle</t>
  </si>
  <si>
    <t>Theft from person</t>
  </si>
  <si>
    <t>Error spotted - reference to Criminal damagae (arson). Changed to criminal damage (other)</t>
  </si>
  <si>
    <t>Total cost updated based on change to intangible unit costs</t>
  </si>
  <si>
    <t>Error spotted - reference to Criminal damage (other). Changed to Fraud.</t>
  </si>
  <si>
    <t>Error spotted - reference to Fraud. Changed to Commercial robbery.</t>
  </si>
  <si>
    <t>Error spotted - reference to Cybercrime. Changed to Commercial burglary.</t>
  </si>
  <si>
    <t>Other theft</t>
  </si>
  <si>
    <t>It is important to remember when using case studies of families, that the estimated costs represent potential benefits specific to that family, and not the average benefits of the intervention. To do the latter, areas would need to collect data on every family receiving the intervention.</t>
  </si>
  <si>
    <t>Any ongoing treatment or social support cost (for example, early help)</t>
  </si>
  <si>
    <t>We found these themes in the table below, and placed a '1' where it relates to Sarah and or her baby. The table then automatically populated with the relevant costs, in 2019 to 2020 prices.</t>
  </si>
  <si>
    <t>Avoiding double counting is the most important step of the process. The local authority (LA) costs below will almost always be mutually exclusive. For other costs it can be difficult to tell which ones overlap and are double counted. For example in Sarah’s case study, for NHS benefits, it is not clear whether any of the NHS costs for perinatal anxiety and depression are also included in the NHS costs associated with FASD and homelessness. For intangible costs also, we are usually given more than one figure. 
To avoid the social cost-benefit being over-estimated by double counting, you can select "No" when asked whether the categories under each cost theme are mutually exclusive. The results will automatically update and present a range for these categories.</t>
  </si>
  <si>
    <r>
      <t xml:space="preserve">2. Frequent </t>
    </r>
    <r>
      <rPr>
        <b/>
        <sz val="12"/>
        <color theme="1"/>
        <rFont val="Arial"/>
        <family val="2"/>
      </rPr>
      <t>police call outs</t>
    </r>
    <r>
      <rPr>
        <sz val="12"/>
        <color theme="1"/>
        <rFont val="Arial"/>
        <family val="2"/>
      </rPr>
      <t xml:space="preserve"> would cease as parents' relationship has improved</t>
    </r>
  </si>
  <si>
    <t>Annual costs (2020 to 2021 prices, rounded)</t>
  </si>
  <si>
    <t>Dame Carol Black Review of Drugs - evidence relating to drug use, supply and effects, including current trends and future risks</t>
  </si>
  <si>
    <t>Children's commissioner 'Estimating Children’s Services spending on vulnerable children: Vulnerability technical spend report'</t>
  </si>
  <si>
    <t>Taken from the New Economy Manchester Unit cost database. Original report was DCA and DfES 'Review of the Child Care Proceedings System in England and Wales'</t>
  </si>
  <si>
    <t>Data from 9 councils only, but with a reasonable geographic distribution. Not possible to know how market forces would vary costs nationally. LAs from North East and West Midlands not included in the study. Possible bias owing to small sample size.</t>
  </si>
  <si>
    <t>Note age of data - process, and related costings, may have changed over this period. Note that a year for the cost data is not specified in the source, but it has been assumed to be 2005 to 2006, as other relevant data are from this year.</t>
  </si>
  <si>
    <t>Lifetime costs calculated for average 7 year old, lasting until they reach 18 years old. Adapted Action for Children method - using minimum wage instead of hourly rate of £9.78 per part-time carer.  Fifty-two weeks of the year inluded as survey found that during holidays, young carers worked more, not less.</t>
  </si>
  <si>
    <t xml:space="preserve">
Forty-four percent of kinship carers give up work to look after children. An estimated 226 hours estimated to be spent looking after children, which has been mulipltied by the minimum wage.</t>
  </si>
  <si>
    <r>
      <t xml:space="preserve">Child annual and lifetime: </t>
    </r>
    <r>
      <rPr>
        <u/>
        <sz val="12"/>
        <color theme="1"/>
        <rFont val="Arial"/>
        <family val="2"/>
      </rPr>
      <t>overall cost</t>
    </r>
  </si>
  <si>
    <t xml:space="preserve">Three British studies provide estimates of the costs of conduct disorder in childhood (Knapp et al., 1999; Romeo et al., 2006; and Snell et al., 2013). All of these give figures for the costs to public services (mainly health, social services and education). To compare, costs in all 3 studies were converted to a common price base, with costs in earlier years assumed to rise in line with inflation.  </t>
  </si>
  <si>
    <t xml:space="preserve">Based on reviews of US, Canada, Sweden and New Zealand. Costs were economic costs associated with FASD, not costs associated with risk of FASD. They were presented in the paper as 2017 US dollars and were converted into 2017 Stirling using a mid-year exchange rate of 0.7731 taken from: https://www.poundsterlinglive.com/best-exchange-rates/best-us-dollar-to-british-pound-history-2017 </t>
  </si>
  <si>
    <t>Specific unit costs are available for accomodation such as hostels and temporary accommodation. Weighted average is used here. Assuming cost of single homeless person equal to cost of family to be conservative.</t>
  </si>
  <si>
    <t>Benefit from less expensive drug and alcohol treatment and NHS spend removed as based on single homeless people who are likely to be more complex cases. Also, drug and alcohol treatment will be offered to all the people in the case studies for which this database was designed. Welfare payments count as transfer payments in economic analysis, unless taking the perspective of the Exchequer, and so have been excluded. Also excluded are crime costs associated with child. being homeless to be conservative.</t>
  </si>
  <si>
    <t>Used to inflate costs to 2019 to 2020 prices in the database</t>
  </si>
  <si>
    <t>LAs can use these multipliers to change national unit costs to local ones. The market forces factor adjusts for differences in staff and building costs across the country.</t>
  </si>
  <si>
    <t>percent change on previous year</t>
  </si>
  <si>
    <t>The information below has been used to inflate prices to 2020 to 2021 prices.</t>
  </si>
  <si>
    <t>Discounting is the process by which future costs and benefits are recalculated to present-day values. It is a technique used to compare costs and benefits occurring in different time periods based on the economic principle that society prefers to receive benefits sooner and defer costs to future generations (‘social time preference’). All future costs and benefits are discounted in standard economic evaluations. The standard real discount rate, recommended by the Treasury, is 3.5%. For intangible costs, such as QALYs, we use 1.5% rate as recommended by DH and the Treasury.</t>
  </si>
  <si>
    <t>Source: PHE's value for money team (alcohol, drugs, tobacco and justice division).</t>
  </si>
  <si>
    <t xml:space="preserve">It is split into 3 sections. </t>
  </si>
  <si>
    <t xml:space="preserve">This document supports anyone collecting case studies to estimate how much social and economic cost can be avoided by supporting families experiencing problem parental alcohol and drug use. </t>
  </si>
  <si>
    <t>Examples of case studies</t>
  </si>
  <si>
    <t xml:space="preserve">When exploring the effects of an intervention, it is important to understand family dynamics and experiences before, during and after the intervention. This helps you to understand how things have changed for the family. There are many ways to collate this type of data in a case study and it is possible that you will have your own preferred way to do so. You can download a case study template in the accompanying guidance document as an example for reference. </t>
  </si>
  <si>
    <t xml:space="preserve">Social cost-benefit tool </t>
  </si>
  <si>
    <t xml:space="preserve">The table below is a template that can be used for calculations. Note: rows can be added, deleted or hidden as necessary. </t>
  </si>
  <si>
    <t>Yellow cells require user input. Themes that are not relevant can be left as '0'. Once you have added the number of children and adults affcted by each theme, and selected which agency costs are mutually exclusive and which are not, you can read the summary of results table. You can read more details in the corresponding guidance.</t>
  </si>
  <si>
    <t xml:space="preserve">The cost theme list is split into social benefits and costs. Social benefits are the positive outcomes that are measured following an intervention (for example a child no longer being on a child protection plan). </t>
  </si>
  <si>
    <t>Costs are broken down into 3 types: direct, indirect and intangible. Direct costs are estimated costs that directly relate to providing treatment and support. For example, costs to the local authority (LA), NHS or criminal justice system. 
Economic evaluations typically include wider indirect and intangible costs. Where available, we have also presented these so you can use them to estimate wider social and economic costs. Indirect costs generally relate to productivity losses from people being ill or dying prematurely. Intangible costs represent disease burden and are quantified as quality-adjusted life years (QALYs) and valued at £60,000 per QALY.  
All costs are in 2020 to 2021 prices (see Annexes for reference) and rounded to emphasise that costs are estimates. The database presents most costs as annual costs. It also presents lifetime costs where these exist, along with methodological explanations such as how many years make up the ‘lifetime’. We have included references for the sources of all costs with links to the publication and an explanation of calculations and limitations.</t>
  </si>
  <si>
    <t>Note: you can access the rows containing breakdowns of annual and lifetime costs (if available or applicable), including reference year, by clicking on [+] above rows K and S. Hovering over a cell with a red triangle on the upper right hand corner provides more information.</t>
  </si>
  <si>
    <t>Note: you can access the rows containing breakdowns of annual and lifetime costs (if available or applicable), including reference year, by clicking on [+] above rows L and T. Hovering over a cell with a red triangle on the upper right hand corner provides more information.</t>
  </si>
  <si>
    <r>
      <t xml:space="preserve">PSSRU. </t>
    </r>
    <r>
      <rPr>
        <sz val="12"/>
        <color theme="1"/>
        <rFont val="Arial"/>
        <family val="2"/>
      </rPr>
      <t>Unit cost of health and social care</t>
    </r>
  </si>
  <si>
    <t>Heeks et al. The economic and social costs of crime. Second edition</t>
  </si>
  <si>
    <t xml:space="preserve">Annette Bauer et al. The costs of perinatal mental health problems. </t>
  </si>
  <si>
    <t>Gutman et al. Children of the millennium. Understanding the course of conduct problems during childhood.</t>
  </si>
  <si>
    <r>
      <t xml:space="preserve">Greenmyer at al. </t>
    </r>
    <r>
      <rPr>
        <sz val="12"/>
        <color theme="1"/>
        <rFont val="Arial"/>
        <family val="2"/>
      </rPr>
      <t>A Multicountry Updated Assessment of the Economic Impact of Fetal Alcohol Spectrum Disorder</t>
    </r>
  </si>
  <si>
    <t>Crisis: Assessing the costs and benefits of Crisis’ plan to end homelessness.</t>
  </si>
  <si>
    <t>Oliver at al. The economic and social costs of
domestic abuse</t>
  </si>
  <si>
    <t>Note: We have only presented the relevant cost themes below. You can view the full table by unhiding the rows on the left hand side.</t>
  </si>
  <si>
    <t>A1: HM Treasury GDP deflators at market prices and money GDP</t>
  </si>
  <si>
    <t>1955 to 1956</t>
  </si>
  <si>
    <t>1956 to 1957</t>
  </si>
  <si>
    <t>1957 to 1958</t>
  </si>
  <si>
    <t>1958 to 1959</t>
  </si>
  <si>
    <t>A2: HM Treasury discount factors</t>
  </si>
  <si>
    <t>The information below is taken from the Green Book supplementary guidance</t>
  </si>
  <si>
    <t>1959 to 1960</t>
  </si>
  <si>
    <t>1960 to 1961</t>
  </si>
  <si>
    <t>1961 to 1962</t>
  </si>
  <si>
    <t>1962 to 1963</t>
  </si>
  <si>
    <t>1963 to 1964</t>
  </si>
  <si>
    <t>1964 to 1965</t>
  </si>
  <si>
    <t>1965 to 1966</t>
  </si>
  <si>
    <t>1966 to 1967</t>
  </si>
  <si>
    <t>1967 to 1968</t>
  </si>
  <si>
    <t>1968 to 1969</t>
  </si>
  <si>
    <t>1969 to 1970</t>
  </si>
  <si>
    <t>1970 to 1971</t>
  </si>
  <si>
    <t>1971 to 1972</t>
  </si>
  <si>
    <t>1972 to 1973</t>
  </si>
  <si>
    <t>1973 to 1974</t>
  </si>
  <si>
    <t>1974 to 1975</t>
  </si>
  <si>
    <t>1975 to 1976</t>
  </si>
  <si>
    <t>1976 to 1977</t>
  </si>
  <si>
    <t>1977 to 1978</t>
  </si>
  <si>
    <t>1978 to 1979</t>
  </si>
  <si>
    <t>1979 to 1980</t>
  </si>
  <si>
    <t>1980 to 1981</t>
  </si>
  <si>
    <t>1981 to 1982</t>
  </si>
  <si>
    <t>1982 to 1983</t>
  </si>
  <si>
    <t>1983 to 1984</t>
  </si>
  <si>
    <t>1984 to 1985</t>
  </si>
  <si>
    <t>1985 to 1986</t>
  </si>
  <si>
    <t>1986 to 1987</t>
  </si>
  <si>
    <t>1987 to 1988</t>
  </si>
  <si>
    <t>1988 to 1989</t>
  </si>
  <si>
    <t>1989 to 1990</t>
  </si>
  <si>
    <t>1990 to 1991</t>
  </si>
  <si>
    <t>1991 to 1992</t>
  </si>
  <si>
    <t>1992 to 1993</t>
  </si>
  <si>
    <t>1993 to 1994</t>
  </si>
  <si>
    <t>1994 to 1995</t>
  </si>
  <si>
    <t>1995 to 1996</t>
  </si>
  <si>
    <t>1996 to 1997</t>
  </si>
  <si>
    <t>1997 to 1998</t>
  </si>
  <si>
    <t>1998 to 1999</t>
  </si>
  <si>
    <t>1999 to 2000</t>
  </si>
  <si>
    <t>2000 to 2001</t>
  </si>
  <si>
    <t>2001 to 2002</t>
  </si>
  <si>
    <t>2002 to 2003</t>
  </si>
  <si>
    <t>2003 to 2004</t>
  </si>
  <si>
    <t>2004 to 2005</t>
  </si>
  <si>
    <t>2005 to 2006</t>
  </si>
  <si>
    <t>2006 to 2007</t>
  </si>
  <si>
    <t>2007 to 2008</t>
  </si>
  <si>
    <t>2008 to 2009</t>
  </si>
  <si>
    <t>2009 to 2010</t>
  </si>
  <si>
    <t>2010 to 2011</t>
  </si>
  <si>
    <t>2011 to 2012</t>
  </si>
  <si>
    <t>2012 to 2013</t>
  </si>
  <si>
    <t>2013 to 2014</t>
  </si>
  <si>
    <t>2014 to 2015</t>
  </si>
  <si>
    <t>2015 to 2016</t>
  </si>
  <si>
    <t>2016 to 2017</t>
  </si>
  <si>
    <t>2017 to 2018</t>
  </si>
  <si>
    <t>2018 to 2019</t>
  </si>
  <si>
    <t>2019 to 2020</t>
  </si>
  <si>
    <t>2019 to 2020 = 100</t>
  </si>
  <si>
    <t>The examples below are taken from 'Problem parental alcohol and drug use: Evidence pack'</t>
  </si>
  <si>
    <t xml:space="preserve">This workbook supports local areas, organisations and providers that have collected, or intend to collect, case studies to estimate how much social and economic cost they can avoid by supporting families experiencing alcohol and drug problems. It is designed to be used alongside the 'Using case studies to estimate the cost-benefit of interventions' guidance. 
</t>
  </si>
  <si>
    <t>Money GDP</t>
  </si>
  <si>
    <t>2020 to 2021</t>
  </si>
  <si>
    <t>2021 to 2022</t>
  </si>
  <si>
    <r>
      <t>2022 to 2023</t>
    </r>
    <r>
      <rPr>
        <vertAlign val="superscript"/>
        <sz val="12"/>
        <rFont val="Arial"/>
        <family val="2"/>
      </rPr>
      <t xml:space="preserve"> </t>
    </r>
  </si>
  <si>
    <t>2023 to 2024</t>
  </si>
  <si>
    <t>2024 to 2025</t>
  </si>
  <si>
    <t>investing in families workbook, 2020 to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</si>
</sst>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4" formatCode="_-&quot;£&quot;* #,##0.00_-;\-&quot;£&quot;* #,##0.00_-;_-&quot;£&quot;* &quot;-&quot;??_-;_-@_-"/>
    <numFmt numFmtId="43" formatCode="_-* #,##0.00_-;\-* #,##0.00_-;_-* &quot;-&quot;??_-;_-@_-"/>
    <numFmt numFmtId="164" formatCode="0.000"/>
    <numFmt numFmtId="165" formatCode="_-&quot;£&quot;* #,##0_-;\-&quot;£&quot;* #,##0_-;_-&quot;£&quot;* &quot;-&quot;??_-;_-@_-"/>
    <numFmt numFmtId="166" formatCode="0.00000"/>
    <numFmt numFmtId="167" formatCode="_-* #,##0_-;\-* #,##0_-;_-* &quot;-&quot;??_-;_-@_-"/>
    <numFmt numFmtId="168" formatCode="0.0%"/>
    <numFmt numFmtId="169" formatCode="0.000%"/>
    <numFmt numFmtId="170" formatCode="0.0000"/>
  </numFmts>
  <fonts count="72"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0"/>
      <name val="Arial"/>
      <family val="2"/>
    </font>
    <font>
      <sz val="10"/>
      <name val="Arial"/>
      <family val="2"/>
    </font>
    <font>
      <u/>
      <sz val="10"/>
      <color indexed="12"/>
      <name val="Arial"/>
      <family val="2"/>
    </font>
    <font>
      <b/>
      <sz val="12"/>
      <color theme="1"/>
      <name val="Arial"/>
      <family val="2"/>
    </font>
    <font>
      <sz val="12"/>
      <color theme="1"/>
      <name val="Arial"/>
      <family val="2"/>
    </font>
    <font>
      <sz val="11"/>
      <color rgb="FF9C0006"/>
      <name val="Calibri"/>
      <family val="2"/>
      <scheme val="minor"/>
    </font>
    <font>
      <i/>
      <sz val="12"/>
      <color theme="1"/>
      <name val="Arial"/>
      <family val="2"/>
    </font>
    <font>
      <u/>
      <sz val="12"/>
      <color theme="10"/>
      <name val="Arial"/>
      <family val="2"/>
    </font>
    <font>
      <sz val="9"/>
      <color indexed="81"/>
      <name val="Tahoma"/>
      <family val="2"/>
    </font>
    <font>
      <b/>
      <sz val="9"/>
      <color indexed="81"/>
      <name val="Tahoma"/>
      <family val="2"/>
    </font>
    <font>
      <sz val="11"/>
      <color rgb="FFFF0000"/>
      <name val="Calibri"/>
      <family val="2"/>
      <scheme val="minor"/>
    </font>
    <font>
      <sz val="12"/>
      <color theme="0" tint="-0.499984740745262"/>
      <name val="Arial"/>
      <family val="2"/>
    </font>
    <font>
      <b/>
      <sz val="11"/>
      <color theme="0"/>
      <name val="Calibri"/>
      <family val="2"/>
      <scheme val="minor"/>
    </font>
    <font>
      <sz val="11"/>
      <color theme="0"/>
      <name val="Calibri"/>
      <family val="2"/>
      <scheme val="minor"/>
    </font>
    <font>
      <b/>
      <i/>
      <sz val="11"/>
      <color theme="1"/>
      <name val="Calibri"/>
      <family val="2"/>
      <scheme val="minor"/>
    </font>
    <font>
      <b/>
      <sz val="11"/>
      <color rgb="FFFF0000"/>
      <name val="Calibri"/>
      <family val="2"/>
      <scheme val="minor"/>
    </font>
    <font>
      <i/>
      <sz val="11"/>
      <color theme="1"/>
      <name val="Calibri"/>
      <family val="2"/>
      <scheme val="minor"/>
    </font>
    <font>
      <sz val="8"/>
      <name val="Calibri"/>
      <family val="2"/>
      <scheme val="minor"/>
    </font>
    <font>
      <b/>
      <sz val="14"/>
      <color theme="1"/>
      <name val="Calibri"/>
      <family val="2"/>
      <scheme val="minor"/>
    </font>
    <font>
      <sz val="11"/>
      <color rgb="FF9C5700"/>
      <name val="Calibri"/>
      <family val="2"/>
      <scheme val="minor"/>
    </font>
    <font>
      <sz val="12"/>
      <color rgb="FF666666"/>
      <name val="Arial"/>
      <family val="2"/>
    </font>
    <font>
      <sz val="26"/>
      <color rgb="FF98002E"/>
      <name val="Arial"/>
      <family val="2"/>
    </font>
    <font>
      <sz val="10"/>
      <color theme="1"/>
      <name val="Calibri"/>
      <family val="2"/>
      <scheme val="minor"/>
    </font>
    <font>
      <i/>
      <sz val="12"/>
      <color rgb="FF00AE9E"/>
      <name val="Arial"/>
      <family val="2"/>
    </font>
    <font>
      <sz val="16"/>
      <color rgb="FF98002E"/>
      <name val="Arial"/>
      <family val="2"/>
    </font>
    <font>
      <sz val="12"/>
      <color theme="1"/>
      <name val="Symbol"/>
      <family val="1"/>
      <charset val="2"/>
    </font>
    <font>
      <u/>
      <sz val="12"/>
      <color theme="1"/>
      <name val="Arial"/>
      <family val="2"/>
    </font>
    <font>
      <b/>
      <sz val="12"/>
      <name val="Arial"/>
      <family val="2"/>
    </font>
    <font>
      <sz val="12"/>
      <name val="Arial"/>
      <family val="2"/>
    </font>
    <font>
      <u/>
      <sz val="12"/>
      <name val="Arial"/>
      <family val="2"/>
    </font>
    <font>
      <b/>
      <sz val="12"/>
      <color theme="0" tint="-0.499984740745262"/>
      <name val="Arial"/>
      <family val="2"/>
    </font>
    <font>
      <sz val="10"/>
      <color theme="1"/>
      <name val="Arial"/>
      <family val="2"/>
    </font>
    <font>
      <b/>
      <u/>
      <sz val="11"/>
      <color theme="1"/>
      <name val="Calibri"/>
      <family val="2"/>
      <scheme val="minor"/>
    </font>
    <font>
      <sz val="11"/>
      <color theme="1"/>
      <name val="Arial"/>
      <family val="2"/>
    </font>
    <font>
      <u/>
      <sz val="12"/>
      <color theme="0"/>
      <name val="Arial"/>
      <family val="2"/>
    </font>
    <font>
      <u/>
      <sz val="10"/>
      <color theme="1"/>
      <name val="Arial"/>
      <family val="2"/>
    </font>
    <font>
      <b/>
      <sz val="10"/>
      <color theme="1"/>
      <name val="Arial"/>
      <family val="2"/>
    </font>
    <font>
      <sz val="10"/>
      <color theme="1"/>
      <name val="Times New Roman"/>
      <family val="1"/>
    </font>
    <font>
      <sz val="12"/>
      <color rgb="FFFF0000"/>
      <name val="Arial"/>
      <family val="2"/>
    </font>
    <font>
      <b/>
      <sz val="10"/>
      <color theme="0"/>
      <name val="Arial"/>
      <family val="2"/>
    </font>
    <font>
      <b/>
      <u/>
      <sz val="12"/>
      <name val="Arial"/>
      <family val="2"/>
    </font>
    <font>
      <vertAlign val="superscript"/>
      <sz val="12"/>
      <name val="Arial"/>
      <family val="2"/>
    </font>
    <font>
      <sz val="28"/>
      <color theme="1"/>
      <name val="Arial"/>
      <family val="2"/>
    </font>
    <font>
      <i/>
      <sz val="26"/>
      <color rgb="FF98002E"/>
      <name val="Arial"/>
      <family val="2"/>
    </font>
    <font>
      <sz val="12"/>
      <color theme="1"/>
      <name val="Arial Black"/>
      <family val="2"/>
    </font>
    <font>
      <sz val="10"/>
      <color theme="0"/>
      <name val="Calibri"/>
      <family val="2"/>
      <scheme val="minor"/>
    </font>
    <font>
      <sz val="10"/>
      <color rgb="FFFF0000"/>
      <name val="Arial"/>
      <family val="2"/>
    </font>
    <font>
      <b/>
      <sz val="10"/>
      <name val="Calibri"/>
      <family val="2"/>
      <scheme val="minor"/>
    </font>
    <font>
      <sz val="18"/>
      <color rgb="FF98002E"/>
      <name val="Arial"/>
      <family val="2"/>
    </font>
    <font>
      <sz val="10"/>
      <color theme="0"/>
      <name val="Arial"/>
      <family val="2"/>
    </font>
    <font>
      <b/>
      <sz val="10"/>
      <name val="Arial"/>
      <family val="2"/>
    </font>
    <font>
      <sz val="10"/>
      <color rgb="FFEB0000"/>
      <name val="Arial"/>
      <family val="2"/>
    </font>
    <font>
      <sz val="12"/>
      <color rgb="FF008577"/>
      <name val="Arial"/>
      <family val="2"/>
    </font>
    <font>
      <sz val="18"/>
      <color theme="3"/>
      <name val="Calibri Light"/>
      <family val="2"/>
      <scheme val="major"/>
    </font>
    <font>
      <b/>
      <sz val="11"/>
      <color theme="3"/>
      <name val="Calibri"/>
      <family val="2"/>
      <scheme val="minor"/>
    </font>
    <font>
      <sz val="11"/>
      <color rgb="FF006100"/>
      <name val="Calibri"/>
      <family val="2"/>
      <scheme val="minor"/>
    </font>
    <font>
      <sz val="11"/>
      <name val="Calibri"/>
      <family val="2"/>
      <scheme val="minor"/>
    </font>
    <font>
      <vertAlign val="superscript"/>
      <sz val="10"/>
      <name val="Arial"/>
      <family val="2"/>
    </font>
    <font>
      <sz val="10"/>
      <color indexed="8"/>
      <name val="Arial"/>
      <family val="2"/>
    </font>
    <font>
      <sz val="12"/>
      <color theme="0"/>
      <name val="Calibri"/>
      <family val="2"/>
      <scheme val="minor"/>
    </font>
    <font>
      <sz val="12"/>
      <color rgb="FF98002E"/>
      <name val="Arial"/>
      <family val="2"/>
    </font>
    <font>
      <b/>
      <sz val="12"/>
      <color theme="0"/>
      <name val="Arial"/>
      <family val="2"/>
    </font>
    <font>
      <b/>
      <sz val="12"/>
      <name val="Calibri"/>
      <family val="2"/>
      <scheme val="minor"/>
    </font>
    <font>
      <sz val="12"/>
      <color rgb="FFEB0000"/>
      <name val="Arial"/>
      <family val="2"/>
    </font>
    <font>
      <sz val="12"/>
      <color rgb="FFFF0000"/>
      <name val="Calibri"/>
      <family val="2"/>
      <scheme val="minor"/>
    </font>
    <font>
      <b/>
      <sz val="12"/>
      <color rgb="FFFF0000"/>
      <name val="Arial"/>
      <family val="2"/>
    </font>
    <font>
      <sz val="12"/>
      <color theme="1"/>
      <name val="Arial"/>
    </font>
    <font>
      <u/>
      <sz val="12"/>
      <name val="Arial"/>
    </font>
  </fonts>
  <fills count="30">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theme="7"/>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7030A0"/>
        <bgColor indexed="64"/>
      </patternFill>
    </fill>
    <fill>
      <patternFill patternType="solid">
        <fgColor rgb="FFFFCCFF"/>
        <bgColor indexed="64"/>
      </patternFill>
    </fill>
    <fill>
      <patternFill patternType="solid">
        <fgColor theme="0" tint="-4.9989318521683403E-2"/>
        <bgColor indexed="64"/>
      </patternFill>
    </fill>
    <fill>
      <patternFill patternType="solid">
        <fgColor rgb="FFFFEB9C"/>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5050"/>
        <bgColor indexed="64"/>
      </patternFill>
    </fill>
    <fill>
      <patternFill patternType="solid">
        <fgColor theme="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rgb="FF92D050"/>
        <bgColor indexed="64"/>
      </patternFill>
    </fill>
    <fill>
      <patternFill patternType="solid">
        <fgColor rgb="FF98002E"/>
        <bgColor indexed="64"/>
      </patternFill>
    </fill>
    <fill>
      <patternFill patternType="solid">
        <fgColor theme="0" tint="-0.249977111117893"/>
        <bgColor indexed="64"/>
      </patternFill>
    </fill>
    <fill>
      <patternFill patternType="solid">
        <fgColor rgb="FF00B050"/>
        <bgColor indexed="64"/>
      </patternFill>
    </fill>
    <fill>
      <patternFill patternType="solid">
        <fgColor rgb="FF5D7992"/>
        <bgColor indexed="64"/>
      </patternFill>
    </fill>
    <fill>
      <patternFill patternType="solid">
        <fgColor rgb="FFC6EFCE"/>
      </patternFill>
    </fill>
    <fill>
      <patternFill patternType="solid">
        <fgColor theme="6" tint="0.79998168889431442"/>
        <bgColor indexed="65"/>
      </patternFill>
    </fill>
    <fill>
      <patternFill patternType="solid">
        <fgColor rgb="FFFFFFFF"/>
        <bgColor indexed="64"/>
      </patternFill>
    </fill>
  </fills>
  <borders count="5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medium">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5">
    <xf numFmtId="0" fontId="0" fillId="0" borderId="0"/>
    <xf numFmtId="44" fontId="1" fillId="0" borderId="0" applyFont="0" applyFill="0" applyBorder="0" applyAlignment="0" applyProtection="0"/>
    <xf numFmtId="0" fontId="3" fillId="0" borderId="0" applyNumberFormat="0" applyFill="0" applyBorder="0" applyAlignment="0" applyProtection="0"/>
    <xf numFmtId="0" fontId="4" fillId="0" borderId="0"/>
    <xf numFmtId="43" fontId="5" fillId="0" borderId="0" applyFont="0" applyFill="0" applyBorder="0" applyAlignment="0" applyProtection="0"/>
    <xf numFmtId="0" fontId="6" fillId="0" borderId="0" applyNumberFormat="0" applyFill="0" applyBorder="0" applyAlignment="0" applyProtection="0">
      <alignment vertical="top"/>
      <protection locked="0"/>
    </xf>
    <xf numFmtId="0" fontId="9" fillId="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3" fillId="11" borderId="0" applyNumberFormat="0" applyBorder="0" applyAlignment="0" applyProtection="0"/>
    <xf numFmtId="0" fontId="1" fillId="0" borderId="0"/>
    <xf numFmtId="0" fontId="57" fillId="0" borderId="0" applyNumberFormat="0" applyFill="0" applyBorder="0" applyAlignment="0" applyProtection="0"/>
    <xf numFmtId="0" fontId="58" fillId="0" borderId="46" applyNumberFormat="0" applyFill="0" applyAlignment="0" applyProtection="0"/>
    <xf numFmtId="0" fontId="59" fillId="27" borderId="0" applyNumberFormat="0" applyBorder="0" applyAlignment="0" applyProtection="0"/>
    <xf numFmtId="0" fontId="1" fillId="28" borderId="0" applyNumberFormat="0" applyBorder="0" applyAlignment="0" applyProtection="0"/>
  </cellStyleXfs>
  <cellXfs count="747">
    <xf numFmtId="0" fontId="0" fillId="0" borderId="0" xfId="0"/>
    <xf numFmtId="10" fontId="0" fillId="0" borderId="0" xfId="0" applyNumberFormat="1"/>
    <xf numFmtId="0" fontId="2" fillId="0" borderId="0" xfId="0" applyFont="1" applyAlignment="1">
      <alignment horizontal="right"/>
    </xf>
    <xf numFmtId="166" fontId="0" fillId="0" borderId="0" xfId="0" applyNumberFormat="1"/>
    <xf numFmtId="43" fontId="0" fillId="0" borderId="0" xfId="7" applyFont="1"/>
    <xf numFmtId="0" fontId="14" fillId="0" borderId="0" xfId="0" applyFont="1" applyAlignment="1">
      <alignment horizontal="center"/>
    </xf>
    <xf numFmtId="0" fontId="17" fillId="8" borderId="0" xfId="0" applyFont="1" applyFill="1" applyAlignment="1">
      <alignment vertical="top"/>
    </xf>
    <xf numFmtId="0" fontId="17" fillId="8" borderId="0" xfId="0" applyFont="1" applyFill="1" applyAlignment="1">
      <alignment vertical="top" wrapText="1"/>
    </xf>
    <xf numFmtId="0" fontId="18" fillId="10" borderId="0" xfId="0" applyFont="1" applyFill="1"/>
    <xf numFmtId="0" fontId="0" fillId="10" borderId="0" xfId="0" applyFill="1"/>
    <xf numFmtId="6" fontId="0" fillId="10" borderId="0" xfId="0" applyNumberFormat="1" applyFill="1"/>
    <xf numFmtId="2" fontId="0" fillId="10" borderId="0" xfId="0" applyNumberFormat="1" applyFill="1" applyAlignment="1">
      <alignment horizontal="center" vertical="center"/>
    </xf>
    <xf numFmtId="0" fontId="17" fillId="8" borderId="0" xfId="0" applyFont="1" applyFill="1"/>
    <xf numFmtId="0" fontId="17" fillId="8" borderId="0" xfId="0" applyFont="1" applyFill="1" applyAlignment="1">
      <alignment wrapText="1"/>
    </xf>
    <xf numFmtId="0" fontId="2" fillId="0" borderId="0" xfId="0" applyFont="1" applyAlignment="1">
      <alignment vertical="center"/>
    </xf>
    <xf numFmtId="0" fontId="2" fillId="0" borderId="0" xfId="0" applyFont="1" applyAlignment="1">
      <alignment horizontal="center" vertical="center" wrapText="1"/>
    </xf>
    <xf numFmtId="0" fontId="19" fillId="0" borderId="0" xfId="0" applyFont="1" applyAlignment="1">
      <alignment vertical="center"/>
    </xf>
    <xf numFmtId="165" fontId="0" fillId="0" borderId="0" xfId="0" applyNumberFormat="1"/>
    <xf numFmtId="44" fontId="0" fillId="0" borderId="0" xfId="0" applyNumberFormat="1"/>
    <xf numFmtId="44" fontId="14" fillId="0" borderId="0" xfId="0" applyNumberFormat="1" applyFont="1"/>
    <xf numFmtId="165" fontId="15" fillId="6" borderId="13" xfId="1" applyNumberFormat="1" applyFont="1" applyFill="1" applyBorder="1" applyAlignment="1" applyProtection="1">
      <alignment horizontal="left" vertical="top" wrapText="1"/>
    </xf>
    <xf numFmtId="0" fontId="22" fillId="0" borderId="0" xfId="0" applyFont="1"/>
    <xf numFmtId="0" fontId="3" fillId="0" borderId="0" xfId="2"/>
    <xf numFmtId="167" fontId="0" fillId="0" borderId="0" xfId="7" applyNumberFormat="1" applyFont="1"/>
    <xf numFmtId="0" fontId="20" fillId="0" borderId="0" xfId="0" applyFont="1"/>
    <xf numFmtId="9" fontId="0" fillId="0" borderId="0" xfId="8" applyFont="1"/>
    <xf numFmtId="43" fontId="0" fillId="0" borderId="0" xfId="0" applyNumberFormat="1"/>
    <xf numFmtId="167" fontId="0" fillId="7" borderId="0" xfId="7" applyNumberFormat="1" applyFont="1" applyFill="1"/>
    <xf numFmtId="9" fontId="0" fillId="0" borderId="0" xfId="0" applyNumberFormat="1"/>
    <xf numFmtId="167" fontId="0" fillId="0" borderId="0" xfId="0" applyNumberFormat="1"/>
    <xf numFmtId="8"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43" fontId="2" fillId="0" borderId="0" xfId="7" applyFont="1"/>
    <xf numFmtId="10" fontId="0" fillId="0" borderId="0" xfId="8" applyNumberFormat="1" applyFont="1"/>
    <xf numFmtId="44" fontId="23" fillId="11" borderId="0" xfId="9" applyNumberFormat="1"/>
    <xf numFmtId="165" fontId="0" fillId="0" borderId="0" xfId="1" applyNumberFormat="1" applyFont="1"/>
    <xf numFmtId="0" fontId="24" fillId="0" borderId="0" xfId="0" applyFont="1"/>
    <xf numFmtId="0" fontId="0" fillId="16" borderId="0" xfId="0" applyFill="1"/>
    <xf numFmtId="0" fontId="2" fillId="0" borderId="0" xfId="0" applyFont="1" applyAlignment="1">
      <alignment vertical="center" wrapText="1"/>
    </xf>
    <xf numFmtId="165" fontId="20" fillId="0" borderId="0" xfId="0" applyNumberFormat="1" applyFont="1"/>
    <xf numFmtId="0" fontId="1" fillId="16" borderId="0" xfId="10" applyFill="1"/>
    <xf numFmtId="0" fontId="25" fillId="16" borderId="0" xfId="0" applyFont="1" applyFill="1"/>
    <xf numFmtId="0" fontId="26" fillId="16" borderId="0" xfId="10" applyFont="1" applyFill="1"/>
    <xf numFmtId="0" fontId="27" fillId="16" borderId="0" xfId="0" applyFont="1" applyFill="1" applyAlignment="1">
      <alignment horizontal="left" vertical="center" readingOrder="1"/>
    </xf>
    <xf numFmtId="0" fontId="8" fillId="16" borderId="0" xfId="0" applyFont="1" applyFill="1"/>
    <xf numFmtId="0" fontId="7" fillId="16" borderId="0" xfId="0" applyFont="1" applyFill="1"/>
    <xf numFmtId="0" fontId="11" fillId="16" borderId="0" xfId="2" applyFont="1" applyFill="1"/>
    <xf numFmtId="0" fontId="28" fillId="16" borderId="0" xfId="0" applyFont="1" applyFill="1"/>
    <xf numFmtId="0" fontId="8" fillId="16" borderId="0" xfId="0" applyFont="1" applyFill="1" applyAlignment="1">
      <alignment vertical="center"/>
    </xf>
    <xf numFmtId="0" fontId="29" fillId="16" borderId="0" xfId="0" applyFont="1" applyFill="1" applyAlignment="1">
      <alignment horizontal="left" vertical="center" indent="5"/>
    </xf>
    <xf numFmtId="0" fontId="8" fillId="16" borderId="0" xfId="0" applyFont="1" applyFill="1" applyAlignment="1">
      <alignment vertical="top" wrapText="1"/>
    </xf>
    <xf numFmtId="0" fontId="8" fillId="16" borderId="0" xfId="0" applyFont="1" applyFill="1" applyAlignment="1">
      <alignment vertical="center" wrapText="1"/>
    </xf>
    <xf numFmtId="0" fontId="8" fillId="5" borderId="20" xfId="0" applyFont="1" applyFill="1" applyBorder="1" applyAlignment="1">
      <alignment horizontal="left" vertical="center" wrapText="1"/>
    </xf>
    <xf numFmtId="0" fontId="7" fillId="16" borderId="0" xfId="0" applyFont="1" applyFill="1" applyAlignment="1">
      <alignment horizontal="center" vertical="center" wrapText="1"/>
    </xf>
    <xf numFmtId="0" fontId="8" fillId="16" borderId="0" xfId="0" applyFont="1" applyFill="1" applyAlignment="1">
      <alignment horizontal="left" vertical="center" wrapText="1"/>
    </xf>
    <xf numFmtId="165" fontId="8" fillId="16" borderId="0" xfId="0" applyNumberFormat="1" applyFont="1" applyFill="1" applyAlignment="1">
      <alignment horizontal="left" vertical="center" wrapText="1"/>
    </xf>
    <xf numFmtId="0" fontId="8" fillId="16" borderId="0" xfId="0" applyFont="1" applyFill="1" applyAlignment="1">
      <alignment horizontal="center" vertical="top" wrapText="1"/>
    </xf>
    <xf numFmtId="165" fontId="8" fillId="6" borderId="13" xfId="0" applyNumberFormat="1" applyFont="1" applyFill="1" applyBorder="1" applyAlignment="1">
      <alignment horizontal="left" vertical="center" wrapText="1"/>
    </xf>
    <xf numFmtId="165" fontId="8" fillId="6" borderId="23" xfId="1" applyNumberFormat="1" applyFont="1" applyFill="1" applyBorder="1" applyAlignment="1" applyProtection="1">
      <alignment horizontal="left" vertical="center" wrapText="1"/>
    </xf>
    <xf numFmtId="0" fontId="32" fillId="7" borderId="24" xfId="6" applyFont="1" applyFill="1" applyBorder="1" applyAlignment="1" applyProtection="1">
      <alignment horizontal="left" vertical="top" wrapText="1"/>
    </xf>
    <xf numFmtId="44" fontId="31" fillId="18" borderId="23" xfId="0" applyNumberFormat="1" applyFont="1" applyFill="1" applyBorder="1" applyAlignment="1">
      <alignment horizontal="center" vertical="center" wrapText="1"/>
    </xf>
    <xf numFmtId="165" fontId="8" fillId="3" borderId="3" xfId="1" applyNumberFormat="1" applyFont="1" applyFill="1" applyBorder="1" applyAlignment="1" applyProtection="1">
      <alignment horizontal="left" vertical="center" wrapText="1"/>
    </xf>
    <xf numFmtId="165" fontId="8" fillId="3" borderId="13" xfId="1" applyNumberFormat="1" applyFont="1" applyFill="1" applyBorder="1" applyAlignment="1" applyProtection="1">
      <alignment horizontal="left" vertical="center" wrapText="1"/>
    </xf>
    <xf numFmtId="165" fontId="8" fillId="3" borderId="27" xfId="1" applyNumberFormat="1" applyFont="1" applyFill="1" applyBorder="1" applyAlignment="1" applyProtection="1">
      <alignment horizontal="left" vertical="center" wrapText="1"/>
    </xf>
    <xf numFmtId="165" fontId="8" fillId="3" borderId="23" xfId="1" applyNumberFormat="1" applyFont="1" applyFill="1" applyBorder="1" applyAlignment="1" applyProtection="1">
      <alignment horizontal="left" vertical="center" wrapText="1"/>
    </xf>
    <xf numFmtId="165" fontId="8" fillId="3" borderId="13" xfId="0" applyNumberFormat="1" applyFont="1" applyFill="1" applyBorder="1" applyAlignment="1">
      <alignment horizontal="left" vertical="center" wrapText="1"/>
    </xf>
    <xf numFmtId="0" fontId="8" fillId="3" borderId="21" xfId="0" applyFont="1" applyFill="1" applyBorder="1" applyAlignment="1">
      <alignment horizontal="center" vertical="center" wrapText="1"/>
    </xf>
    <xf numFmtId="165" fontId="8" fillId="3" borderId="21" xfId="0" applyNumberFormat="1" applyFont="1" applyFill="1" applyBorder="1" applyAlignment="1">
      <alignment horizontal="center" vertical="center" wrapText="1"/>
    </xf>
    <xf numFmtId="165" fontId="8" fillId="3" borderId="24" xfId="0" applyNumberFormat="1" applyFont="1" applyFill="1" applyBorder="1" applyAlignment="1">
      <alignment horizontal="center" vertical="center" wrapText="1"/>
    </xf>
    <xf numFmtId="0" fontId="8" fillId="10" borderId="20" xfId="0" applyFont="1" applyFill="1" applyBorder="1" applyAlignment="1">
      <alignment horizontal="center" vertical="center" wrapText="1"/>
    </xf>
    <xf numFmtId="0" fontId="8" fillId="10" borderId="13" xfId="0" applyFont="1" applyFill="1" applyBorder="1" applyAlignment="1">
      <alignment horizontal="center" vertical="center" wrapText="1"/>
    </xf>
    <xf numFmtId="0" fontId="8" fillId="10" borderId="13" xfId="0" applyFont="1" applyFill="1" applyBorder="1" applyAlignment="1">
      <alignment horizontal="left" vertical="center" wrapText="1"/>
    </xf>
    <xf numFmtId="0" fontId="32" fillId="10" borderId="21" xfId="6" applyFont="1" applyFill="1" applyBorder="1" applyAlignment="1" applyProtection="1">
      <alignment horizontal="left" vertical="top" wrapText="1"/>
    </xf>
    <xf numFmtId="0" fontId="8" fillId="10" borderId="22"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3" xfId="0" applyFont="1" applyFill="1" applyBorder="1" applyAlignment="1">
      <alignment horizontal="left" vertical="center" wrapText="1"/>
    </xf>
    <xf numFmtId="0" fontId="32" fillId="10" borderId="24" xfId="6" applyFont="1" applyFill="1" applyBorder="1" applyAlignment="1" applyProtection="1">
      <alignment horizontal="left" vertical="top" wrapText="1"/>
    </xf>
    <xf numFmtId="0" fontId="2" fillId="16" borderId="0" xfId="0" applyFont="1" applyFill="1"/>
    <xf numFmtId="165" fontId="8" fillId="3" borderId="13" xfId="1" applyNumberFormat="1" applyFont="1" applyFill="1" applyBorder="1" applyAlignment="1" applyProtection="1">
      <alignment horizontal="left" vertical="top" wrapText="1"/>
    </xf>
    <xf numFmtId="165" fontId="8" fillId="3" borderId="13" xfId="0" applyNumberFormat="1" applyFont="1" applyFill="1" applyBorder="1" applyAlignment="1">
      <alignment horizontal="left" vertical="top" wrapText="1"/>
    </xf>
    <xf numFmtId="165" fontId="8" fillId="3" borderId="23" xfId="1" applyNumberFormat="1" applyFont="1" applyFill="1" applyBorder="1" applyAlignment="1" applyProtection="1">
      <alignment horizontal="left" vertical="top" wrapText="1"/>
    </xf>
    <xf numFmtId="165" fontId="15" fillId="6" borderId="23" xfId="1" applyNumberFormat="1" applyFont="1" applyFill="1" applyBorder="1" applyAlignment="1" applyProtection="1">
      <alignment horizontal="left" vertical="top" wrapText="1"/>
    </xf>
    <xf numFmtId="0" fontId="32" fillId="10" borderId="13" xfId="0" applyFont="1" applyFill="1" applyBorder="1" applyAlignment="1">
      <alignment horizontal="left" vertical="top" wrapText="1"/>
    </xf>
    <xf numFmtId="0" fontId="33" fillId="10" borderId="13" xfId="2" applyFont="1" applyFill="1" applyBorder="1" applyAlignment="1">
      <alignment vertical="top" wrapText="1"/>
    </xf>
    <xf numFmtId="0" fontId="32" fillId="10" borderId="13" xfId="0" applyFont="1" applyFill="1" applyBorder="1" applyAlignment="1">
      <alignment horizontal="center" vertical="top" wrapText="1"/>
    </xf>
    <xf numFmtId="0" fontId="32" fillId="10" borderId="20" xfId="0" applyFont="1" applyFill="1" applyBorder="1" applyAlignment="1">
      <alignment horizontal="center" vertical="top" wrapText="1"/>
    </xf>
    <xf numFmtId="0" fontId="32" fillId="10" borderId="22" xfId="0" applyFont="1" applyFill="1" applyBorder="1" applyAlignment="1">
      <alignment horizontal="center" vertical="top" wrapText="1"/>
    </xf>
    <xf numFmtId="0" fontId="32" fillId="10" borderId="23" xfId="0" applyFont="1" applyFill="1" applyBorder="1" applyAlignment="1">
      <alignment horizontal="center" vertical="top" wrapText="1"/>
    </xf>
    <xf numFmtId="0" fontId="33" fillId="10" borderId="15" xfId="2" applyFont="1" applyFill="1" applyBorder="1" applyAlignment="1">
      <alignment vertical="top" wrapText="1"/>
    </xf>
    <xf numFmtId="0" fontId="33" fillId="10" borderId="13" xfId="2" applyFont="1" applyFill="1" applyBorder="1" applyAlignment="1">
      <alignment horizontal="left" vertical="center" wrapText="1"/>
    </xf>
    <xf numFmtId="165" fontId="8" fillId="3" borderId="23" xfId="0" applyNumberFormat="1" applyFont="1" applyFill="1" applyBorder="1" applyAlignment="1">
      <alignment horizontal="left" vertical="top" wrapText="1"/>
    </xf>
    <xf numFmtId="0" fontId="32" fillId="10" borderId="23" xfId="0" applyFont="1" applyFill="1" applyBorder="1" applyAlignment="1">
      <alignment horizontal="left" vertical="top" wrapText="1"/>
    </xf>
    <xf numFmtId="0" fontId="33" fillId="10" borderId="23" xfId="2" applyFont="1" applyFill="1" applyBorder="1" applyAlignment="1">
      <alignment vertical="top" wrapText="1"/>
    </xf>
    <xf numFmtId="165" fontId="8" fillId="16" borderId="0" xfId="0" applyNumberFormat="1" applyFont="1" applyFill="1" applyAlignment="1">
      <alignment horizontal="center" vertical="top" wrapText="1"/>
    </xf>
    <xf numFmtId="165" fontId="8" fillId="6" borderId="13" xfId="1" applyNumberFormat="1" applyFont="1" applyFill="1" applyBorder="1" applyAlignment="1" applyProtection="1">
      <alignment horizontal="left" vertical="top" wrapText="1"/>
    </xf>
    <xf numFmtId="165" fontId="8" fillId="6" borderId="3" xfId="1" applyNumberFormat="1" applyFont="1" applyFill="1" applyBorder="1" applyAlignment="1" applyProtection="1">
      <alignment horizontal="left" vertical="top" wrapText="1"/>
    </xf>
    <xf numFmtId="165" fontId="8" fillId="6" borderId="15" xfId="1" applyNumberFormat="1" applyFont="1" applyFill="1" applyBorder="1" applyAlignment="1" applyProtection="1">
      <alignment horizontal="left" vertical="top" wrapText="1"/>
    </xf>
    <xf numFmtId="165" fontId="8" fillId="6" borderId="12" xfId="1" applyNumberFormat="1" applyFont="1" applyFill="1" applyBorder="1" applyAlignment="1" applyProtection="1">
      <alignment horizontal="left" vertical="top" wrapText="1"/>
    </xf>
    <xf numFmtId="0" fontId="33" fillId="10" borderId="13" xfId="2" applyFont="1" applyFill="1" applyBorder="1" applyAlignment="1" applyProtection="1">
      <alignment horizontal="left" vertical="top" wrapText="1"/>
    </xf>
    <xf numFmtId="0" fontId="32" fillId="10" borderId="25" xfId="0" applyFont="1" applyFill="1" applyBorder="1" applyAlignment="1">
      <alignment horizontal="center" vertical="top" wrapText="1"/>
    </xf>
    <xf numFmtId="0" fontId="32" fillId="10" borderId="15" xfId="0" applyFont="1" applyFill="1" applyBorder="1" applyAlignment="1">
      <alignment horizontal="center" vertical="top" wrapText="1"/>
    </xf>
    <xf numFmtId="0" fontId="32" fillId="10" borderId="15" xfId="0" applyFont="1" applyFill="1" applyBorder="1" applyAlignment="1">
      <alignment horizontal="left" vertical="top" wrapText="1"/>
    </xf>
    <xf numFmtId="0" fontId="33" fillId="10" borderId="15" xfId="2" applyFont="1" applyFill="1" applyBorder="1" applyAlignment="1" applyProtection="1">
      <alignment horizontal="left" vertical="top" wrapText="1"/>
    </xf>
    <xf numFmtId="0" fontId="32" fillId="10" borderId="26" xfId="6" applyFont="1" applyFill="1" applyBorder="1" applyAlignment="1" applyProtection="1">
      <alignment horizontal="left" vertical="top" wrapText="1"/>
    </xf>
    <xf numFmtId="0" fontId="32" fillId="16" borderId="0" xfId="0" applyFont="1" applyFill="1" applyAlignment="1">
      <alignment horizontal="center" vertical="top" wrapText="1"/>
    </xf>
    <xf numFmtId="0" fontId="32" fillId="16" borderId="0" xfId="0" applyFont="1" applyFill="1" applyAlignment="1">
      <alignment horizontal="left" vertical="top" wrapText="1"/>
    </xf>
    <xf numFmtId="0" fontId="33" fillId="16" borderId="0" xfId="2" applyFont="1" applyFill="1" applyBorder="1" applyAlignment="1" applyProtection="1">
      <alignment horizontal="left" vertical="top" wrapText="1"/>
    </xf>
    <xf numFmtId="0" fontId="8" fillId="5" borderId="20" xfId="0" applyFont="1" applyFill="1" applyBorder="1" applyAlignment="1">
      <alignment horizontal="center" vertical="center" wrapText="1"/>
    </xf>
    <xf numFmtId="0" fontId="8" fillId="5" borderId="22" xfId="0" applyFont="1" applyFill="1" applyBorder="1" applyAlignment="1">
      <alignment horizontal="center" vertical="center" wrapText="1"/>
    </xf>
    <xf numFmtId="0" fontId="7" fillId="16" borderId="0" xfId="0" applyFont="1" applyFill="1" applyAlignment="1">
      <alignment vertical="center" wrapText="1"/>
    </xf>
    <xf numFmtId="0" fontId="32" fillId="10" borderId="13" xfId="6" applyFont="1" applyFill="1" applyBorder="1" applyAlignment="1" applyProtection="1">
      <alignment horizontal="left" vertical="top" wrapText="1"/>
    </xf>
    <xf numFmtId="0" fontId="32" fillId="10" borderId="21" xfId="6" applyFont="1" applyFill="1" applyBorder="1" applyAlignment="1">
      <alignment horizontal="left" vertical="top" wrapText="1"/>
    </xf>
    <xf numFmtId="0" fontId="8" fillId="3" borderId="24" xfId="0" applyFont="1" applyFill="1" applyBorder="1" applyAlignment="1">
      <alignment horizontal="center" vertical="center" wrapText="1"/>
    </xf>
    <xf numFmtId="0" fontId="8" fillId="10" borderId="16" xfId="0" applyFont="1" applyFill="1" applyBorder="1" applyAlignment="1">
      <alignment horizontal="center" vertical="top" wrapText="1"/>
    </xf>
    <xf numFmtId="0" fontId="32" fillId="10" borderId="17" xfId="0" applyFont="1" applyFill="1" applyBorder="1" applyAlignment="1">
      <alignment horizontal="center" vertical="top" wrapText="1"/>
    </xf>
    <xf numFmtId="0" fontId="32" fillId="10" borderId="17" xfId="0" applyFont="1" applyFill="1" applyBorder="1" applyAlignment="1">
      <alignment horizontal="left" vertical="top" wrapText="1"/>
    </xf>
    <xf numFmtId="0" fontId="33" fillId="10" borderId="17" xfId="2" applyFont="1" applyFill="1" applyBorder="1" applyAlignment="1">
      <alignment vertical="top" wrapText="1"/>
    </xf>
    <xf numFmtId="0" fontId="32" fillId="10" borderId="19" xfId="6" applyFont="1" applyFill="1" applyBorder="1" applyAlignment="1">
      <alignment horizontal="left" vertical="top" wrapText="1"/>
    </xf>
    <xf numFmtId="0" fontId="8" fillId="17" borderId="25" xfId="0" applyFont="1" applyFill="1" applyBorder="1" applyAlignment="1">
      <alignment horizontal="center" vertical="center" wrapText="1"/>
    </xf>
    <xf numFmtId="0" fontId="30" fillId="17" borderId="15" xfId="0" applyFont="1" applyFill="1" applyBorder="1" applyAlignment="1">
      <alignment horizontal="left" vertical="center" wrapText="1"/>
    </xf>
    <xf numFmtId="0" fontId="8" fillId="17" borderId="26" xfId="0" applyFont="1" applyFill="1" applyBorder="1" applyAlignment="1">
      <alignment horizontal="center" vertical="center" wrapText="1"/>
    </xf>
    <xf numFmtId="0" fontId="8" fillId="21" borderId="21" xfId="0" applyFont="1" applyFill="1" applyBorder="1" applyAlignment="1">
      <alignment horizontal="center" vertical="center" wrapText="1"/>
    </xf>
    <xf numFmtId="0" fontId="8" fillId="17" borderId="25" xfId="0" applyFont="1" applyFill="1" applyBorder="1" applyAlignment="1">
      <alignment horizontal="left" vertical="center" wrapText="1"/>
    </xf>
    <xf numFmtId="0" fontId="8" fillId="17" borderId="15" xfId="0" applyFont="1" applyFill="1" applyBorder="1" applyAlignment="1">
      <alignment horizontal="left" vertical="center" wrapText="1"/>
    </xf>
    <xf numFmtId="0" fontId="8" fillId="17" borderId="20" xfId="0" applyFont="1" applyFill="1" applyBorder="1" applyAlignment="1">
      <alignment horizontal="left" vertical="center" wrapText="1"/>
    </xf>
    <xf numFmtId="0" fontId="8" fillId="17" borderId="13" xfId="0" applyFont="1" applyFill="1" applyBorder="1" applyAlignment="1">
      <alignment horizontal="left" vertical="center" wrapText="1"/>
    </xf>
    <xf numFmtId="0" fontId="8" fillId="17" borderId="21" xfId="0" applyFont="1" applyFill="1" applyBorder="1" applyAlignment="1">
      <alignment horizontal="center" vertical="center" wrapText="1"/>
    </xf>
    <xf numFmtId="49" fontId="8" fillId="17" borderId="13" xfId="0" applyNumberFormat="1" applyFont="1" applyFill="1" applyBorder="1" applyAlignment="1">
      <alignment horizontal="left" vertical="center" wrapText="1"/>
    </xf>
    <xf numFmtId="0" fontId="8" fillId="17" borderId="22" xfId="0" applyFont="1" applyFill="1" applyBorder="1" applyAlignment="1">
      <alignment horizontal="left" vertical="center" wrapText="1"/>
    </xf>
    <xf numFmtId="0" fontId="8" fillId="17" borderId="23" xfId="0" applyFont="1" applyFill="1" applyBorder="1" applyAlignment="1">
      <alignment horizontal="left" vertical="center" wrapText="1"/>
    </xf>
    <xf numFmtId="0" fontId="8" fillId="17" borderId="24" xfId="0" applyFont="1" applyFill="1" applyBorder="1" applyAlignment="1">
      <alignment horizontal="center" vertical="center" wrapText="1"/>
    </xf>
    <xf numFmtId="165" fontId="8" fillId="21" borderId="13" xfId="1" applyNumberFormat="1" applyFont="1" applyFill="1" applyBorder="1" applyAlignment="1" applyProtection="1">
      <alignment horizontal="left" vertical="center" wrapText="1"/>
    </xf>
    <xf numFmtId="165" fontId="8" fillId="21" borderId="13" xfId="0" applyNumberFormat="1" applyFont="1" applyFill="1" applyBorder="1" applyAlignment="1">
      <alignment horizontal="left" vertical="center" wrapText="1"/>
    </xf>
    <xf numFmtId="165" fontId="8" fillId="21" borderId="23" xfId="1" applyNumberFormat="1" applyFont="1" applyFill="1" applyBorder="1" applyAlignment="1" applyProtection="1">
      <alignment horizontal="left" vertical="center" wrapText="1"/>
    </xf>
    <xf numFmtId="165" fontId="8" fillId="21" borderId="21" xfId="0" applyNumberFormat="1" applyFont="1" applyFill="1" applyBorder="1" applyAlignment="1">
      <alignment horizontal="center" vertical="center" wrapText="1"/>
    </xf>
    <xf numFmtId="165" fontId="7" fillId="21" borderId="13" xfId="1" applyNumberFormat="1" applyFont="1" applyFill="1" applyBorder="1" applyAlignment="1" applyProtection="1">
      <alignment horizontal="left" vertical="center" wrapText="1"/>
    </xf>
    <xf numFmtId="0" fontId="30" fillId="17" borderId="13" xfId="0" applyFont="1" applyFill="1" applyBorder="1" applyAlignment="1">
      <alignment horizontal="left" vertical="center" wrapText="1"/>
    </xf>
    <xf numFmtId="0" fontId="0" fillId="16" borderId="0" xfId="0" applyFill="1" applyAlignment="1">
      <alignment vertical="center"/>
    </xf>
    <xf numFmtId="165" fontId="8" fillId="3" borderId="26" xfId="0" applyNumberFormat="1" applyFont="1" applyFill="1" applyBorder="1" applyAlignment="1">
      <alignment horizontal="center" vertical="center" wrapText="1"/>
    </xf>
    <xf numFmtId="165" fontId="8" fillId="6" borderId="23" xfId="1" applyNumberFormat="1" applyFont="1" applyFill="1" applyBorder="1" applyAlignment="1" applyProtection="1">
      <alignment horizontal="left" vertical="top" wrapText="1"/>
    </xf>
    <xf numFmtId="165" fontId="8" fillId="21" borderId="26" xfId="0" applyNumberFormat="1" applyFont="1" applyFill="1" applyBorder="1" applyAlignment="1">
      <alignment horizontal="center" vertical="center" wrapText="1"/>
    </xf>
    <xf numFmtId="165" fontId="8" fillId="21" borderId="15" xfId="1" applyNumberFormat="1" applyFont="1" applyFill="1" applyBorder="1" applyAlignment="1" applyProtection="1">
      <alignment horizontal="left" vertical="center" wrapText="1"/>
    </xf>
    <xf numFmtId="165" fontId="8" fillId="6" borderId="13" xfId="1" applyNumberFormat="1" applyFont="1" applyFill="1" applyBorder="1" applyAlignment="1" applyProtection="1">
      <alignment horizontal="left" vertical="center" wrapText="1"/>
    </xf>
    <xf numFmtId="165" fontId="8" fillId="21" borderId="13" xfId="0" applyNumberFormat="1" applyFont="1" applyFill="1" applyBorder="1" applyAlignment="1">
      <alignment vertical="center" wrapText="1"/>
    </xf>
    <xf numFmtId="165" fontId="34" fillId="6" borderId="15" xfId="1" applyNumberFormat="1" applyFont="1" applyFill="1" applyBorder="1" applyAlignment="1" applyProtection="1">
      <alignment horizontal="left" vertical="center" wrapText="1"/>
    </xf>
    <xf numFmtId="165" fontId="15" fillId="6" borderId="15" xfId="1" applyNumberFormat="1" applyFont="1" applyFill="1" applyBorder="1" applyAlignment="1" applyProtection="1">
      <alignment horizontal="left" vertical="center" wrapText="1"/>
    </xf>
    <xf numFmtId="165" fontId="15" fillId="6" borderId="13" xfId="1" applyNumberFormat="1" applyFont="1" applyFill="1" applyBorder="1" applyAlignment="1" applyProtection="1">
      <alignment horizontal="left" vertical="center" wrapText="1"/>
    </xf>
    <xf numFmtId="165" fontId="7" fillId="21" borderId="3" xfId="1" applyNumberFormat="1" applyFont="1" applyFill="1" applyBorder="1" applyAlignment="1" applyProtection="1">
      <alignment horizontal="left" vertical="center" wrapText="1"/>
    </xf>
    <xf numFmtId="165" fontId="34" fillId="6" borderId="13" xfId="1" applyNumberFormat="1" applyFont="1" applyFill="1" applyBorder="1" applyAlignment="1" applyProtection="1">
      <alignment horizontal="left" vertical="center" wrapText="1"/>
    </xf>
    <xf numFmtId="0" fontId="32" fillId="7" borderId="21" xfId="6" applyFont="1" applyFill="1" applyBorder="1" applyAlignment="1" applyProtection="1">
      <alignment horizontal="left" vertical="top" wrapText="1"/>
    </xf>
    <xf numFmtId="0" fontId="33" fillId="10" borderId="23" xfId="2" applyFont="1" applyFill="1" applyBorder="1" applyAlignment="1" applyProtection="1">
      <alignment horizontal="left" vertical="top" wrapText="1"/>
    </xf>
    <xf numFmtId="0" fontId="8" fillId="3" borderId="13" xfId="0" applyFont="1" applyFill="1" applyBorder="1" applyAlignment="1">
      <alignment horizontal="center" vertical="center" wrapText="1"/>
    </xf>
    <xf numFmtId="0" fontId="8" fillId="3" borderId="23" xfId="0" applyFont="1" applyFill="1" applyBorder="1" applyAlignment="1">
      <alignment horizontal="center" vertical="center" wrapText="1"/>
    </xf>
    <xf numFmtId="167" fontId="8" fillId="3" borderId="13" xfId="7" applyNumberFormat="1" applyFont="1" applyFill="1" applyBorder="1" applyAlignment="1" applyProtection="1">
      <alignment horizontal="left" vertical="center" wrapText="1"/>
    </xf>
    <xf numFmtId="167" fontId="8" fillId="3" borderId="23" xfId="7" applyNumberFormat="1" applyFont="1" applyFill="1" applyBorder="1" applyAlignment="1" applyProtection="1">
      <alignment horizontal="left" vertical="center" wrapText="1"/>
    </xf>
    <xf numFmtId="165" fontId="15" fillId="6" borderId="23" xfId="1" applyNumberFormat="1" applyFont="1" applyFill="1" applyBorder="1" applyAlignment="1" applyProtection="1">
      <alignment horizontal="left" vertical="center" wrapText="1"/>
    </xf>
    <xf numFmtId="165" fontId="8" fillId="3" borderId="13" xfId="0" applyNumberFormat="1" applyFont="1" applyFill="1" applyBorder="1" applyAlignment="1">
      <alignment horizontal="left" vertical="center" wrapText="1" indent="4"/>
    </xf>
    <xf numFmtId="0" fontId="8" fillId="21" borderId="15" xfId="0" applyFont="1" applyFill="1" applyBorder="1" applyAlignment="1">
      <alignment horizontal="center" vertical="center" wrapText="1"/>
    </xf>
    <xf numFmtId="0" fontId="8" fillId="21" borderId="13" xfId="0" applyFont="1" applyFill="1" applyBorder="1" applyAlignment="1">
      <alignment horizontal="center" vertical="center" wrapText="1"/>
    </xf>
    <xf numFmtId="165" fontId="31" fillId="18" borderId="23" xfId="1" applyNumberFormat="1" applyFont="1" applyFill="1" applyBorder="1" applyAlignment="1">
      <alignment horizontal="center" vertical="center" wrapText="1"/>
    </xf>
    <xf numFmtId="165" fontId="8" fillId="21" borderId="15" xfId="1" applyNumberFormat="1" applyFont="1" applyFill="1" applyBorder="1" applyAlignment="1" applyProtection="1">
      <alignment horizontal="center" vertical="center" wrapText="1"/>
    </xf>
    <xf numFmtId="165" fontId="8" fillId="6" borderId="15" xfId="1" applyNumberFormat="1" applyFont="1" applyFill="1" applyBorder="1" applyAlignment="1" applyProtection="1">
      <alignment horizontal="center" vertical="center" wrapText="1"/>
    </xf>
    <xf numFmtId="165" fontId="8" fillId="21" borderId="13" xfId="1" applyNumberFormat="1" applyFont="1" applyFill="1" applyBorder="1" applyAlignment="1" applyProtection="1">
      <alignment horizontal="center" vertical="center" wrapText="1"/>
    </xf>
    <xf numFmtId="165" fontId="8" fillId="6" borderId="13" xfId="1" applyNumberFormat="1" applyFont="1" applyFill="1" applyBorder="1" applyAlignment="1" applyProtection="1">
      <alignment horizontal="center" vertical="center" wrapText="1"/>
    </xf>
    <xf numFmtId="165" fontId="8" fillId="3" borderId="13" xfId="1" applyNumberFormat="1" applyFont="1" applyFill="1" applyBorder="1" applyAlignment="1" applyProtection="1">
      <alignment horizontal="center" vertical="center" wrapText="1"/>
    </xf>
    <xf numFmtId="165" fontId="8" fillId="3" borderId="23" xfId="1" applyNumberFormat="1" applyFont="1" applyFill="1" applyBorder="1" applyAlignment="1" applyProtection="1">
      <alignment horizontal="center" vertical="center" wrapText="1"/>
    </xf>
    <xf numFmtId="165" fontId="8" fillId="6" borderId="23" xfId="1" applyNumberFormat="1" applyFont="1" applyFill="1" applyBorder="1" applyAlignment="1" applyProtection="1">
      <alignment horizontal="center" vertical="center" wrapText="1"/>
    </xf>
    <xf numFmtId="165" fontId="7" fillId="21" borderId="15" xfId="1" applyNumberFormat="1" applyFont="1" applyFill="1" applyBorder="1" applyAlignment="1" applyProtection="1">
      <alignment horizontal="center" vertical="center" wrapText="1"/>
    </xf>
    <xf numFmtId="0" fontId="0" fillId="16" borderId="0" xfId="0" applyFill="1" applyAlignment="1">
      <alignment horizontal="center" vertical="center"/>
    </xf>
    <xf numFmtId="165" fontId="8" fillId="3" borderId="15" xfId="1" applyNumberFormat="1" applyFont="1" applyFill="1" applyBorder="1" applyAlignment="1" applyProtection="1">
      <alignment horizontal="center" vertical="center" wrapText="1"/>
    </xf>
    <xf numFmtId="0" fontId="8" fillId="21" borderId="35" xfId="0" applyFont="1" applyFill="1" applyBorder="1" applyAlignment="1">
      <alignment horizontal="center" vertical="center" wrapText="1"/>
    </xf>
    <xf numFmtId="0" fontId="8" fillId="21" borderId="36" xfId="0" applyFont="1" applyFill="1" applyBorder="1" applyAlignment="1">
      <alignment horizontal="center" vertical="center" wrapText="1"/>
    </xf>
    <xf numFmtId="0" fontId="8" fillId="3" borderId="36" xfId="0" applyFont="1" applyFill="1" applyBorder="1" applyAlignment="1">
      <alignment horizontal="center" vertical="center" wrapText="1"/>
    </xf>
    <xf numFmtId="165" fontId="8" fillId="21" borderId="36" xfId="0" applyNumberFormat="1" applyFont="1" applyFill="1" applyBorder="1" applyAlignment="1">
      <alignment horizontal="center" vertical="center" wrapText="1"/>
    </xf>
    <xf numFmtId="165" fontId="8" fillId="21" borderId="34" xfId="0" applyNumberFormat="1" applyFont="1" applyFill="1" applyBorder="1" applyAlignment="1">
      <alignment horizontal="center" vertical="center" wrapText="1"/>
    </xf>
    <xf numFmtId="44" fontId="31" fillId="18" borderId="24" xfId="0" applyNumberFormat="1" applyFont="1" applyFill="1" applyBorder="1" applyAlignment="1">
      <alignment horizontal="center" vertical="center" wrapText="1"/>
    </xf>
    <xf numFmtId="0" fontId="32" fillId="21" borderId="10" xfId="0" applyFont="1" applyFill="1" applyBorder="1" applyAlignment="1">
      <alignment horizontal="center" vertical="center" wrapText="1"/>
    </xf>
    <xf numFmtId="0" fontId="32" fillId="21"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37" xfId="0" applyFont="1" applyFill="1" applyBorder="1" applyAlignment="1">
      <alignment horizontal="center" vertical="center" wrapText="1"/>
    </xf>
    <xf numFmtId="44" fontId="31" fillId="18" borderId="27" xfId="0" applyNumberFormat="1" applyFont="1" applyFill="1" applyBorder="1" applyAlignment="1">
      <alignment horizontal="center" vertical="center" wrapText="1"/>
    </xf>
    <xf numFmtId="165" fontId="7" fillId="21" borderId="12" xfId="1" applyNumberFormat="1" applyFont="1" applyFill="1" applyBorder="1" applyAlignment="1" applyProtection="1">
      <alignment horizontal="left" vertical="center" wrapText="1"/>
    </xf>
    <xf numFmtId="165" fontId="7" fillId="21" borderId="3" xfId="0" applyNumberFormat="1" applyFont="1" applyFill="1" applyBorder="1" applyAlignment="1">
      <alignment vertical="center" wrapText="1"/>
    </xf>
    <xf numFmtId="165" fontId="8" fillId="6" borderId="3" xfId="1" applyNumberFormat="1" applyFont="1" applyFill="1" applyBorder="1" applyAlignment="1" applyProtection="1">
      <alignment horizontal="left" vertical="center" wrapText="1"/>
    </xf>
    <xf numFmtId="44" fontId="31" fillId="18" borderId="22" xfId="0" applyNumberFormat="1" applyFont="1" applyFill="1" applyBorder="1" applyAlignment="1">
      <alignment horizontal="center" vertical="center" wrapText="1"/>
    </xf>
    <xf numFmtId="165" fontId="7" fillId="21" borderId="25" xfId="1" applyNumberFormat="1" applyFont="1" applyFill="1" applyBorder="1" applyAlignment="1" applyProtection="1">
      <alignment horizontal="left" vertical="center" wrapText="1"/>
    </xf>
    <xf numFmtId="165" fontId="8" fillId="21" borderId="26" xfId="1" applyNumberFormat="1" applyFont="1" applyFill="1" applyBorder="1" applyAlignment="1" applyProtection="1">
      <alignment horizontal="left" vertical="center" wrapText="1"/>
    </xf>
    <xf numFmtId="165" fontId="7" fillId="21" borderId="20" xfId="1" applyNumberFormat="1" applyFont="1" applyFill="1" applyBorder="1" applyAlignment="1" applyProtection="1">
      <alignment horizontal="left" vertical="center" wrapText="1"/>
    </xf>
    <xf numFmtId="165" fontId="8" fillId="21" borderId="21" xfId="1" applyNumberFormat="1" applyFont="1" applyFill="1" applyBorder="1" applyAlignment="1" applyProtection="1">
      <alignment horizontal="left" vertical="center" wrapText="1"/>
    </xf>
    <xf numFmtId="165" fontId="8" fillId="3" borderId="20" xfId="1" applyNumberFormat="1" applyFont="1" applyFill="1" applyBorder="1" applyAlignment="1" applyProtection="1">
      <alignment horizontal="left" vertical="center" wrapText="1"/>
    </xf>
    <xf numFmtId="165" fontId="8" fillId="3" borderId="21" xfId="1" applyNumberFormat="1" applyFont="1" applyFill="1" applyBorder="1" applyAlignment="1" applyProtection="1">
      <alignment horizontal="left" vertical="center" wrapText="1"/>
    </xf>
    <xf numFmtId="165" fontId="8" fillId="6" borderId="21" xfId="1" applyNumberFormat="1" applyFont="1" applyFill="1" applyBorder="1" applyAlignment="1" applyProtection="1">
      <alignment horizontal="left" vertical="center" wrapText="1"/>
    </xf>
    <xf numFmtId="165" fontId="8" fillId="3" borderId="20" xfId="1" applyNumberFormat="1" applyFont="1" applyFill="1" applyBorder="1" applyAlignment="1" applyProtection="1">
      <alignment horizontal="left" vertical="top" wrapText="1"/>
    </xf>
    <xf numFmtId="165" fontId="8" fillId="3" borderId="22" xfId="1" applyNumberFormat="1" applyFont="1" applyFill="1" applyBorder="1" applyAlignment="1" applyProtection="1">
      <alignment horizontal="left" vertical="top" wrapText="1"/>
    </xf>
    <xf numFmtId="0" fontId="8" fillId="21" borderId="1" xfId="0" applyFont="1" applyFill="1" applyBorder="1" applyAlignment="1">
      <alignment horizontal="center" vertical="center" wrapText="1"/>
    </xf>
    <xf numFmtId="165" fontId="7" fillId="21" borderId="22" xfId="1" applyNumberFormat="1" applyFont="1" applyFill="1" applyBorder="1" applyAlignment="1" applyProtection="1">
      <alignment horizontal="left" vertical="center" wrapText="1"/>
    </xf>
    <xf numFmtId="0" fontId="8" fillId="21" borderId="1" xfId="0" applyFont="1" applyFill="1" applyBorder="1" applyAlignment="1">
      <alignment horizontal="left" vertical="center" wrapText="1"/>
    </xf>
    <xf numFmtId="0" fontId="8" fillId="21" borderId="37" xfId="0" applyFont="1" applyFill="1" applyBorder="1" applyAlignment="1">
      <alignment horizontal="left" vertical="center" wrapText="1"/>
    </xf>
    <xf numFmtId="165" fontId="7" fillId="21" borderId="3" xfId="0" applyNumberFormat="1" applyFont="1" applyFill="1" applyBorder="1" applyAlignment="1">
      <alignment horizontal="left" vertical="center" wrapText="1"/>
    </xf>
    <xf numFmtId="165" fontId="8" fillId="3" borderId="20" xfId="1" applyNumberFormat="1" applyFont="1" applyFill="1" applyBorder="1" applyAlignment="1" applyProtection="1">
      <alignment horizontal="left" vertical="center" wrapText="1" indent="4"/>
    </xf>
    <xf numFmtId="165" fontId="7" fillId="21" borderId="20" xfId="0" applyNumberFormat="1" applyFont="1" applyFill="1" applyBorder="1" applyAlignment="1">
      <alignment horizontal="left" vertical="center" wrapText="1"/>
    </xf>
    <xf numFmtId="0" fontId="8" fillId="17" borderId="13" xfId="0" applyFont="1" applyFill="1" applyBorder="1" applyAlignment="1">
      <alignment horizontal="center" vertical="center" wrapText="1"/>
    </xf>
    <xf numFmtId="165" fontId="8" fillId="3" borderId="13" xfId="1" applyNumberFormat="1" applyFont="1" applyFill="1" applyBorder="1" applyAlignment="1">
      <alignment horizontal="left" vertical="center" wrapText="1"/>
    </xf>
    <xf numFmtId="0" fontId="8" fillId="17" borderId="20" xfId="0" applyFont="1" applyFill="1" applyBorder="1" applyAlignment="1">
      <alignment horizontal="center" vertical="center" wrapText="1"/>
    </xf>
    <xf numFmtId="0" fontId="8" fillId="17" borderId="15" xfId="0" applyFont="1" applyFill="1" applyBorder="1" applyAlignment="1">
      <alignment horizontal="center" vertical="center" wrapText="1"/>
    </xf>
    <xf numFmtId="165" fontId="8" fillId="21" borderId="15" xfId="1" applyNumberFormat="1" applyFont="1" applyFill="1" applyBorder="1" applyAlignment="1">
      <alignment horizontal="left" vertical="center" wrapText="1"/>
    </xf>
    <xf numFmtId="165" fontId="7" fillId="21" borderId="15" xfId="1" applyNumberFormat="1" applyFont="1" applyFill="1" applyBorder="1" applyAlignment="1">
      <alignment horizontal="left" vertical="center" wrapText="1"/>
    </xf>
    <xf numFmtId="0" fontId="8" fillId="21" borderId="26" xfId="0" applyFont="1" applyFill="1" applyBorder="1" applyAlignment="1">
      <alignment horizontal="center" vertical="center" wrapText="1"/>
    </xf>
    <xf numFmtId="0" fontId="8" fillId="21" borderId="10" xfId="0" applyFont="1" applyFill="1" applyBorder="1" applyAlignment="1">
      <alignment horizontal="center" vertical="center" wrapText="1"/>
    </xf>
    <xf numFmtId="165" fontId="8" fillId="21" borderId="10" xfId="1" applyNumberFormat="1" applyFont="1" applyFill="1" applyBorder="1" applyAlignment="1" applyProtection="1">
      <alignment horizontal="center" vertical="center" wrapText="1"/>
    </xf>
    <xf numFmtId="165" fontId="8" fillId="6" borderId="12" xfId="1" applyNumberFormat="1" applyFont="1" applyFill="1" applyBorder="1" applyAlignment="1" applyProtection="1">
      <alignment horizontal="center" vertical="center" wrapText="1"/>
    </xf>
    <xf numFmtId="165" fontId="8" fillId="6" borderId="3" xfId="1" applyNumberFormat="1" applyFont="1" applyFill="1" applyBorder="1" applyAlignment="1" applyProtection="1">
      <alignment horizontal="center" vertical="center" wrapText="1"/>
    </xf>
    <xf numFmtId="165" fontId="8" fillId="6" borderId="27" xfId="1" applyNumberFormat="1" applyFont="1" applyFill="1" applyBorder="1" applyAlignment="1" applyProtection="1">
      <alignment horizontal="center" vertical="center" wrapText="1"/>
    </xf>
    <xf numFmtId="165" fontId="7" fillId="21" borderId="25" xfId="1" applyNumberFormat="1" applyFont="1" applyFill="1" applyBorder="1" applyAlignment="1" applyProtection="1">
      <alignment horizontal="center" vertical="center" wrapText="1"/>
    </xf>
    <xf numFmtId="165" fontId="8" fillId="6" borderId="26" xfId="1" applyNumberFormat="1" applyFont="1" applyFill="1" applyBorder="1" applyAlignment="1" applyProtection="1">
      <alignment horizontal="center" vertical="center" wrapText="1"/>
    </xf>
    <xf numFmtId="165" fontId="8" fillId="21" borderId="26" xfId="1" applyNumberFormat="1" applyFont="1" applyFill="1" applyBorder="1" applyAlignment="1" applyProtection="1">
      <alignment horizontal="center" vertical="center" wrapText="1"/>
    </xf>
    <xf numFmtId="165" fontId="8" fillId="3" borderId="20" xfId="1" applyNumberFormat="1" applyFont="1" applyFill="1" applyBorder="1" applyAlignment="1" applyProtection="1">
      <alignment horizontal="center" vertical="center" wrapText="1"/>
    </xf>
    <xf numFmtId="165" fontId="8" fillId="6" borderId="21" xfId="1" applyNumberFormat="1" applyFont="1" applyFill="1" applyBorder="1" applyAlignment="1" applyProtection="1">
      <alignment horizontal="center" vertical="center" wrapText="1"/>
    </xf>
    <xf numFmtId="165" fontId="8" fillId="3" borderId="21" xfId="1" applyNumberFormat="1" applyFont="1" applyFill="1" applyBorder="1" applyAlignment="1" applyProtection="1">
      <alignment horizontal="center" vertical="center" wrapText="1"/>
    </xf>
    <xf numFmtId="165" fontId="7" fillId="21" borderId="20" xfId="1" applyNumberFormat="1" applyFont="1" applyFill="1" applyBorder="1" applyAlignment="1" applyProtection="1">
      <alignment horizontal="center" vertical="center" wrapText="1"/>
    </xf>
    <xf numFmtId="165" fontId="8" fillId="21" borderId="21" xfId="1" applyNumberFormat="1" applyFont="1" applyFill="1" applyBorder="1" applyAlignment="1" applyProtection="1">
      <alignment horizontal="center" vertical="center" wrapText="1"/>
    </xf>
    <xf numFmtId="165" fontId="8" fillId="3" borderId="22" xfId="1" applyNumberFormat="1" applyFont="1" applyFill="1" applyBorder="1" applyAlignment="1" applyProtection="1">
      <alignment horizontal="center" vertical="center" wrapText="1"/>
    </xf>
    <xf numFmtId="165" fontId="8" fillId="3" borderId="24" xfId="1" applyNumberFormat="1" applyFont="1" applyFill="1" applyBorder="1" applyAlignment="1" applyProtection="1">
      <alignment horizontal="center" vertical="center" wrapText="1"/>
    </xf>
    <xf numFmtId="49" fontId="8" fillId="17" borderId="21" xfId="0" applyNumberFormat="1" applyFont="1" applyFill="1" applyBorder="1" applyAlignment="1">
      <alignment horizontal="center" vertical="center" wrapText="1"/>
    </xf>
    <xf numFmtId="49" fontId="8" fillId="17" borderId="15" xfId="0" applyNumberFormat="1" applyFont="1" applyFill="1" applyBorder="1" applyAlignment="1">
      <alignment horizontal="center" vertical="center" wrapText="1"/>
    </xf>
    <xf numFmtId="0" fontId="8" fillId="16" borderId="0" xfId="0" applyFont="1" applyFill="1" applyAlignment="1">
      <alignment horizontal="left" vertical="top" wrapText="1"/>
    </xf>
    <xf numFmtId="49" fontId="8" fillId="16" borderId="0" xfId="0" applyNumberFormat="1" applyFont="1" applyFill="1" applyAlignment="1">
      <alignment horizontal="center" vertical="top" wrapText="1"/>
    </xf>
    <xf numFmtId="165" fontId="8" fillId="16" borderId="0" xfId="1" applyNumberFormat="1" applyFont="1" applyFill="1" applyBorder="1" applyAlignment="1">
      <alignment horizontal="left" vertical="top" wrapText="1"/>
    </xf>
    <xf numFmtId="165" fontId="8" fillId="16" borderId="0" xfId="0" applyNumberFormat="1" applyFont="1" applyFill="1" applyAlignment="1">
      <alignment horizontal="center" wrapText="1"/>
    </xf>
    <xf numFmtId="165" fontId="8" fillId="3" borderId="3" xfId="1" applyNumberFormat="1" applyFont="1" applyFill="1" applyBorder="1" applyAlignment="1" applyProtection="1">
      <alignment horizontal="center" vertical="center" wrapText="1"/>
    </xf>
    <xf numFmtId="165" fontId="8" fillId="3" borderId="36" xfId="0" applyNumberFormat="1" applyFont="1" applyFill="1" applyBorder="1" applyAlignment="1">
      <alignment horizontal="center" vertical="center" wrapText="1"/>
    </xf>
    <xf numFmtId="165" fontId="8" fillId="6" borderId="20" xfId="1" applyNumberFormat="1" applyFont="1" applyFill="1" applyBorder="1" applyAlignment="1" applyProtection="1">
      <alignment horizontal="center" vertical="center" wrapText="1"/>
    </xf>
    <xf numFmtId="165" fontId="8" fillId="21" borderId="20" xfId="1" applyNumberFormat="1" applyFont="1" applyFill="1" applyBorder="1" applyAlignment="1" applyProtection="1">
      <alignment horizontal="center" vertical="center" wrapText="1"/>
    </xf>
    <xf numFmtId="165" fontId="8" fillId="21" borderId="13" xfId="0" applyNumberFormat="1" applyFont="1" applyFill="1" applyBorder="1" applyAlignment="1">
      <alignment horizontal="center" vertical="center" wrapText="1"/>
    </xf>
    <xf numFmtId="165" fontId="8" fillId="21" borderId="3" xfId="1" applyNumberFormat="1" applyFont="1" applyFill="1" applyBorder="1" applyAlignment="1" applyProtection="1">
      <alignment horizontal="center" vertical="center" wrapText="1"/>
    </xf>
    <xf numFmtId="165" fontId="8" fillId="21" borderId="23" xfId="1" applyNumberFormat="1" applyFont="1" applyFill="1" applyBorder="1" applyAlignment="1" applyProtection="1">
      <alignment horizontal="center" vertical="center" wrapText="1"/>
    </xf>
    <xf numFmtId="0" fontId="8" fillId="21" borderId="37" xfId="0" applyFont="1" applyFill="1" applyBorder="1" applyAlignment="1">
      <alignment horizontal="center" vertical="center" wrapText="1"/>
    </xf>
    <xf numFmtId="165" fontId="7" fillId="21" borderId="13" xfId="1" applyNumberFormat="1" applyFont="1" applyFill="1" applyBorder="1" applyAlignment="1">
      <alignment horizontal="left" vertical="center" wrapText="1"/>
    </xf>
    <xf numFmtId="165" fontId="8" fillId="21" borderId="13" xfId="1" applyNumberFormat="1" applyFont="1" applyFill="1" applyBorder="1" applyAlignment="1">
      <alignment horizontal="left" vertical="center" wrapText="1"/>
    </xf>
    <xf numFmtId="165" fontId="8" fillId="21" borderId="13" xfId="1" applyNumberFormat="1" applyFont="1" applyFill="1" applyBorder="1" applyAlignment="1">
      <alignment horizontal="center" vertical="center" wrapText="1"/>
    </xf>
    <xf numFmtId="165" fontId="8" fillId="16" borderId="0" xfId="0" applyNumberFormat="1" applyFont="1" applyFill="1" applyAlignment="1">
      <alignment horizontal="center" vertical="center" wrapText="1"/>
    </xf>
    <xf numFmtId="165" fontId="8" fillId="6" borderId="25" xfId="1" applyNumberFormat="1" applyFont="1" applyFill="1" applyBorder="1" applyAlignment="1" applyProtection="1">
      <alignment horizontal="center" vertical="center" wrapText="1"/>
    </xf>
    <xf numFmtId="165" fontId="31" fillId="18" borderId="27" xfId="1" applyNumberFormat="1" applyFont="1" applyFill="1" applyBorder="1" applyAlignment="1">
      <alignment horizontal="center" vertical="center" wrapText="1"/>
    </xf>
    <xf numFmtId="0" fontId="32" fillId="10" borderId="16" xfId="0" applyFont="1" applyFill="1" applyBorder="1" applyAlignment="1">
      <alignment horizontal="center" vertical="top" wrapText="1"/>
    </xf>
    <xf numFmtId="0" fontId="33" fillId="10" borderId="17" xfId="2" applyFont="1" applyFill="1" applyBorder="1" applyAlignment="1" applyProtection="1">
      <alignment horizontal="left" vertical="top" wrapText="1"/>
    </xf>
    <xf numFmtId="0" fontId="32" fillId="10" borderId="19" xfId="6" applyFont="1" applyFill="1" applyBorder="1" applyAlignment="1" applyProtection="1">
      <alignment horizontal="left" vertical="top" wrapText="1"/>
    </xf>
    <xf numFmtId="165" fontId="8" fillId="21" borderId="35" xfId="0" applyNumberFormat="1" applyFont="1" applyFill="1" applyBorder="1" applyAlignment="1">
      <alignment horizontal="center" vertical="center" wrapText="1"/>
    </xf>
    <xf numFmtId="165" fontId="7" fillId="7" borderId="13" xfId="1" applyNumberFormat="1" applyFont="1" applyFill="1" applyBorder="1" applyAlignment="1" applyProtection="1">
      <alignment horizontal="left" vertical="center" wrapText="1"/>
    </xf>
    <xf numFmtId="165" fontId="8" fillId="7" borderId="13" xfId="1" applyNumberFormat="1" applyFont="1" applyFill="1" applyBorder="1" applyAlignment="1" applyProtection="1">
      <alignment horizontal="left" vertical="center" wrapText="1"/>
    </xf>
    <xf numFmtId="49" fontId="8" fillId="17" borderId="26" xfId="0" applyNumberFormat="1" applyFont="1" applyFill="1" applyBorder="1" applyAlignment="1">
      <alignment horizontal="center" vertical="center" wrapText="1"/>
    </xf>
    <xf numFmtId="165" fontId="8" fillId="21" borderId="12" xfId="1" applyNumberFormat="1" applyFont="1" applyFill="1" applyBorder="1" applyAlignment="1" applyProtection="1">
      <alignment horizontal="center" vertical="center" wrapText="1"/>
    </xf>
    <xf numFmtId="0" fontId="7" fillId="16" borderId="38" xfId="0" applyFont="1" applyFill="1" applyBorder="1" applyAlignment="1">
      <alignment horizontal="center" vertical="center" wrapText="1"/>
    </xf>
    <xf numFmtId="0" fontId="7" fillId="16" borderId="39" xfId="0" applyFont="1" applyFill="1" applyBorder="1" applyAlignment="1">
      <alignment horizontal="center" vertical="center" wrapText="1"/>
    </xf>
    <xf numFmtId="0" fontId="17" fillId="16" borderId="0" xfId="0" applyFont="1" applyFill="1"/>
    <xf numFmtId="0" fontId="17" fillId="16" borderId="0" xfId="0" applyFont="1" applyFill="1" applyAlignment="1">
      <alignment horizontal="center"/>
    </xf>
    <xf numFmtId="0" fontId="36" fillId="0" borderId="0" xfId="0" applyFont="1"/>
    <xf numFmtId="0" fontId="0" fillId="22" borderId="0" xfId="0" applyFill="1"/>
    <xf numFmtId="0" fontId="0" fillId="4" borderId="0" xfId="0" applyFill="1"/>
    <xf numFmtId="6" fontId="0" fillId="0" borderId="0" xfId="0" applyNumberFormat="1"/>
    <xf numFmtId="0" fontId="38" fillId="4" borderId="0" xfId="2" applyFont="1" applyFill="1"/>
    <xf numFmtId="0" fontId="8" fillId="3" borderId="10" xfId="0" applyFont="1" applyFill="1" applyBorder="1" applyAlignment="1">
      <alignment horizontal="center" vertical="center" wrapText="1"/>
    </xf>
    <xf numFmtId="165" fontId="8" fillId="3" borderId="25" xfId="1" applyNumberFormat="1" applyFont="1" applyFill="1" applyBorder="1" applyAlignment="1" applyProtection="1">
      <alignment horizontal="center" vertical="center" wrapText="1"/>
    </xf>
    <xf numFmtId="0" fontId="8" fillId="17" borderId="22" xfId="0" applyFont="1" applyFill="1" applyBorder="1" applyAlignment="1">
      <alignment horizontal="center" vertical="center" wrapText="1"/>
    </xf>
    <xf numFmtId="0" fontId="30" fillId="17" borderId="23" xfId="0" applyFont="1" applyFill="1" applyBorder="1" applyAlignment="1">
      <alignment horizontal="left" vertical="center" wrapText="1"/>
    </xf>
    <xf numFmtId="49" fontId="8" fillId="17" borderId="23" xfId="0" applyNumberFormat="1" applyFont="1" applyFill="1" applyBorder="1" applyAlignment="1">
      <alignment horizontal="center" vertical="center" wrapText="1"/>
    </xf>
    <xf numFmtId="165" fontId="7" fillId="21" borderId="23" xfId="1" applyNumberFormat="1" applyFont="1" applyFill="1" applyBorder="1" applyAlignment="1" applyProtection="1">
      <alignment horizontal="center" vertical="center" wrapText="1"/>
    </xf>
    <xf numFmtId="165" fontId="7" fillId="21" borderId="22" xfId="1" applyNumberFormat="1" applyFont="1" applyFill="1" applyBorder="1" applyAlignment="1" applyProtection="1">
      <alignment horizontal="center" vertical="center" wrapText="1"/>
    </xf>
    <xf numFmtId="165" fontId="8" fillId="21" borderId="24" xfId="1" applyNumberFormat="1" applyFont="1" applyFill="1" applyBorder="1" applyAlignment="1" applyProtection="1">
      <alignment horizontal="center" vertical="center" wrapText="1"/>
    </xf>
    <xf numFmtId="165" fontId="8" fillId="21" borderId="24" xfId="0" applyNumberFormat="1" applyFont="1" applyFill="1" applyBorder="1" applyAlignment="1">
      <alignment horizontal="center" vertical="center" wrapText="1"/>
    </xf>
    <xf numFmtId="0" fontId="35" fillId="16" borderId="0" xfId="0" applyFont="1" applyFill="1"/>
    <xf numFmtId="0" fontId="40" fillId="16" borderId="0" xfId="0" applyFont="1" applyFill="1"/>
    <xf numFmtId="165" fontId="35" fillId="16" borderId="0" xfId="0" applyNumberFormat="1" applyFont="1" applyFill="1"/>
    <xf numFmtId="165" fontId="40" fillId="16" borderId="0" xfId="0" applyNumberFormat="1" applyFont="1" applyFill="1"/>
    <xf numFmtId="49" fontId="37" fillId="10" borderId="13" xfId="0" applyNumberFormat="1" applyFont="1" applyFill="1" applyBorder="1" applyAlignment="1">
      <alignment horizontal="left" vertical="top" wrapText="1"/>
    </xf>
    <xf numFmtId="165" fontId="37" fillId="10" borderId="13" xfId="1" applyNumberFormat="1" applyFont="1" applyFill="1" applyBorder="1" applyAlignment="1">
      <alignment horizontal="center" vertical="center"/>
    </xf>
    <xf numFmtId="0" fontId="8" fillId="10" borderId="16"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8" fillId="10" borderId="17" xfId="0" applyFont="1" applyFill="1" applyBorder="1" applyAlignment="1">
      <alignment horizontal="left" vertical="center" wrapText="1"/>
    </xf>
    <xf numFmtId="0" fontId="33" fillId="10" borderId="17" xfId="2" applyFont="1" applyFill="1" applyBorder="1" applyAlignment="1">
      <alignment horizontal="left" vertical="center" wrapText="1"/>
    </xf>
    <xf numFmtId="0" fontId="8" fillId="10" borderId="19" xfId="0" applyFont="1" applyFill="1" applyBorder="1" applyAlignment="1">
      <alignment horizontal="left" vertical="center" wrapText="1"/>
    </xf>
    <xf numFmtId="0" fontId="32" fillId="10" borderId="24" xfId="6" applyFont="1" applyFill="1" applyBorder="1" applyAlignment="1" applyProtection="1">
      <alignment horizontal="left" wrapText="1"/>
    </xf>
    <xf numFmtId="0" fontId="32" fillId="10" borderId="21" xfId="6" applyFont="1" applyFill="1" applyBorder="1" applyAlignment="1" applyProtection="1">
      <alignment horizontal="left" vertical="center" wrapText="1"/>
    </xf>
    <xf numFmtId="0" fontId="24" fillId="16" borderId="0" xfId="0" applyFont="1" applyFill="1"/>
    <xf numFmtId="0" fontId="42" fillId="16" borderId="0" xfId="0" applyFont="1" applyFill="1"/>
    <xf numFmtId="0" fontId="32" fillId="10" borderId="15" xfId="6" applyFont="1" applyFill="1" applyBorder="1" applyAlignment="1" applyProtection="1">
      <alignment horizontal="left" vertical="top" wrapText="1"/>
    </xf>
    <xf numFmtId="165" fontId="7" fillId="21" borderId="15" xfId="1" applyNumberFormat="1" applyFont="1" applyFill="1" applyBorder="1" applyAlignment="1" applyProtection="1">
      <alignment horizontal="left" vertical="center" wrapText="1"/>
    </xf>
    <xf numFmtId="165" fontId="8" fillId="21" borderId="15" xfId="0" applyNumberFormat="1" applyFont="1" applyFill="1" applyBorder="1" applyAlignment="1">
      <alignment horizontal="center" vertical="center" wrapText="1"/>
    </xf>
    <xf numFmtId="0" fontId="8" fillId="17" borderId="23" xfId="0" applyFont="1" applyFill="1" applyBorder="1" applyAlignment="1">
      <alignment horizontal="center" vertical="center" wrapText="1"/>
    </xf>
    <xf numFmtId="165" fontId="7" fillId="21" borderId="23" xfId="1" applyNumberFormat="1" applyFont="1" applyFill="1" applyBorder="1" applyAlignment="1" applyProtection="1">
      <alignment horizontal="left" vertical="center" wrapText="1"/>
    </xf>
    <xf numFmtId="0" fontId="32" fillId="0" borderId="0" xfId="3" applyFont="1" applyAlignment="1">
      <alignment horizontal="left"/>
    </xf>
    <xf numFmtId="0" fontId="44" fillId="0" borderId="0" xfId="3" applyFont="1" applyAlignment="1">
      <alignment horizontal="left"/>
    </xf>
    <xf numFmtId="164" fontId="32" fillId="0" borderId="0" xfId="3" applyNumberFormat="1" applyFont="1" applyAlignment="1">
      <alignment horizontal="left"/>
    </xf>
    <xf numFmtId="2" fontId="32" fillId="0" borderId="0" xfId="3" applyNumberFormat="1" applyFont="1" applyAlignment="1">
      <alignment horizontal="left"/>
    </xf>
    <xf numFmtId="3" fontId="32" fillId="0" borderId="0" xfId="3" applyNumberFormat="1" applyFont="1" applyAlignment="1">
      <alignment horizontal="left"/>
    </xf>
    <xf numFmtId="164" fontId="32" fillId="0" borderId="0" xfId="3" applyNumberFormat="1" applyFont="1" applyAlignment="1">
      <alignment horizontal="right"/>
    </xf>
    <xf numFmtId="2" fontId="32" fillId="0" borderId="0" xfId="3" applyNumberFormat="1" applyFont="1" applyAlignment="1">
      <alignment horizontal="right"/>
    </xf>
    <xf numFmtId="3" fontId="32" fillId="0" borderId="0" xfId="3" applyNumberFormat="1" applyFont="1" applyAlignment="1">
      <alignment horizontal="right"/>
    </xf>
    <xf numFmtId="0" fontId="32" fillId="0" borderId="0" xfId="3" applyFont="1"/>
    <xf numFmtId="0" fontId="32" fillId="0" borderId="0" xfId="3" applyFont="1" applyAlignment="1">
      <alignment horizontal="left" vertical="top" wrapText="1"/>
    </xf>
    <xf numFmtId="164" fontId="32" fillId="0" borderId="0" xfId="3" applyNumberFormat="1" applyFont="1" applyAlignment="1">
      <alignment horizontal="right" vertical="top" wrapText="1"/>
    </xf>
    <xf numFmtId="3" fontId="32" fillId="0" borderId="0" xfId="3" applyNumberFormat="1" applyFont="1" applyAlignment="1">
      <alignment horizontal="left" vertical="top" wrapText="1"/>
    </xf>
    <xf numFmtId="164" fontId="32" fillId="0" borderId="0" xfId="3" applyNumberFormat="1" applyFont="1"/>
    <xf numFmtId="0" fontId="31" fillId="0" borderId="0" xfId="3" applyFont="1"/>
    <xf numFmtId="2" fontId="32" fillId="0" borderId="0" xfId="3" applyNumberFormat="1" applyFont="1"/>
    <xf numFmtId="3" fontId="32" fillId="0" borderId="0" xfId="3" applyNumberFormat="1" applyFont="1"/>
    <xf numFmtId="164" fontId="32" fillId="0" borderId="0" xfId="3" applyNumberFormat="1" applyFont="1" applyAlignment="1">
      <alignment horizontal="left" vertical="top" wrapText="1"/>
    </xf>
    <xf numFmtId="0" fontId="46" fillId="0" borderId="0" xfId="0" applyFont="1" applyAlignment="1">
      <alignment vertical="center"/>
    </xf>
    <xf numFmtId="0" fontId="25" fillId="16" borderId="0" xfId="0" applyFont="1" applyFill="1" applyAlignment="1">
      <alignment vertical="top"/>
    </xf>
    <xf numFmtId="0" fontId="1" fillId="23" borderId="0" xfId="10" applyFill="1"/>
    <xf numFmtId="0" fontId="26" fillId="23" borderId="0" xfId="10" applyFont="1" applyFill="1"/>
    <xf numFmtId="0" fontId="8" fillId="23" borderId="0" xfId="0" applyFont="1" applyFill="1"/>
    <xf numFmtId="0" fontId="0" fillId="23" borderId="0" xfId="0" applyFill="1"/>
    <xf numFmtId="0" fontId="47" fillId="16" borderId="0" xfId="0" applyFont="1" applyFill="1" applyAlignment="1">
      <alignment vertical="top"/>
    </xf>
    <xf numFmtId="0" fontId="32" fillId="16" borderId="0" xfId="0" applyFont="1" applyFill="1" applyAlignment="1">
      <alignment vertical="top" wrapText="1"/>
    </xf>
    <xf numFmtId="0" fontId="37" fillId="10" borderId="13" xfId="0" applyFont="1" applyFill="1" applyBorder="1" applyAlignment="1">
      <alignment horizontal="center" vertical="center"/>
    </xf>
    <xf numFmtId="165" fontId="37" fillId="24" borderId="13" xfId="1" applyNumberFormat="1" applyFont="1" applyFill="1" applyBorder="1" applyAlignment="1">
      <alignment horizontal="center" vertical="center"/>
    </xf>
    <xf numFmtId="0" fontId="31" fillId="16" borderId="0" xfId="0" applyFont="1" applyFill="1" applyAlignment="1">
      <alignment horizontal="left" wrapText="1"/>
    </xf>
    <xf numFmtId="0" fontId="35" fillId="16" borderId="0" xfId="0" applyFont="1" applyFill="1" applyAlignment="1">
      <alignment horizontal="left" wrapText="1"/>
    </xf>
    <xf numFmtId="0" fontId="37" fillId="3" borderId="13" xfId="0" applyFont="1" applyFill="1" applyBorder="1" applyAlignment="1">
      <alignment horizontal="center" vertical="center"/>
    </xf>
    <xf numFmtId="0" fontId="49" fillId="16" borderId="0" xfId="0" applyFont="1" applyFill="1"/>
    <xf numFmtId="0" fontId="39" fillId="12" borderId="0" xfId="2" applyFont="1" applyFill="1" applyAlignment="1">
      <alignment vertical="center"/>
    </xf>
    <xf numFmtId="49" fontId="35" fillId="10" borderId="13" xfId="0" applyNumberFormat="1" applyFont="1" applyFill="1" applyBorder="1" applyAlignment="1">
      <alignment horizontal="left" vertical="top" wrapText="1"/>
    </xf>
    <xf numFmtId="0" fontId="35" fillId="3" borderId="13" xfId="0" applyFont="1" applyFill="1" applyBorder="1" applyAlignment="1">
      <alignment horizontal="center" vertical="center"/>
    </xf>
    <xf numFmtId="0" fontId="35" fillId="10" borderId="13" xfId="0" applyFont="1" applyFill="1" applyBorder="1" applyAlignment="1">
      <alignment horizontal="center" vertical="center"/>
    </xf>
    <xf numFmtId="165" fontId="35" fillId="24" borderId="13" xfId="1" applyNumberFormat="1" applyFont="1" applyFill="1" applyBorder="1" applyAlignment="1">
      <alignment horizontal="center" vertical="center"/>
    </xf>
    <xf numFmtId="0" fontId="39" fillId="13" borderId="0" xfId="2" applyFont="1" applyFill="1"/>
    <xf numFmtId="0" fontId="39" fillId="14" borderId="0" xfId="2" applyFont="1" applyFill="1"/>
    <xf numFmtId="0" fontId="39" fillId="15" borderId="0" xfId="2" applyFont="1" applyFill="1"/>
    <xf numFmtId="0" fontId="39" fillId="9" borderId="0" xfId="2" applyFont="1" applyFill="1"/>
    <xf numFmtId="0" fontId="39" fillId="4" borderId="0" xfId="2" applyFont="1" applyFill="1"/>
    <xf numFmtId="165" fontId="50" fillId="10" borderId="13" xfId="1" applyNumberFormat="1" applyFont="1" applyFill="1" applyBorder="1" applyAlignment="1">
      <alignment horizontal="center" vertical="center"/>
    </xf>
    <xf numFmtId="0" fontId="35" fillId="10" borderId="6" xfId="0" applyFont="1" applyFill="1" applyBorder="1" applyAlignment="1">
      <alignment horizontal="center" vertical="center"/>
    </xf>
    <xf numFmtId="0" fontId="35" fillId="3" borderId="6" xfId="0" applyFont="1" applyFill="1" applyBorder="1" applyAlignment="1">
      <alignment horizontal="center" vertical="center"/>
    </xf>
    <xf numFmtId="165" fontId="35" fillId="24" borderId="6" xfId="1" applyNumberFormat="1" applyFont="1" applyFill="1" applyBorder="1" applyAlignment="1">
      <alignment horizontal="center" vertical="center"/>
    </xf>
    <xf numFmtId="165" fontId="35" fillId="10" borderId="6" xfId="1" applyNumberFormat="1" applyFont="1" applyFill="1" applyBorder="1" applyAlignment="1">
      <alignment horizontal="center" vertical="center"/>
    </xf>
    <xf numFmtId="165" fontId="40" fillId="17" borderId="13" xfId="1" applyNumberFormat="1" applyFont="1" applyFill="1" applyBorder="1" applyAlignment="1">
      <alignment horizontal="center" vertical="center"/>
    </xf>
    <xf numFmtId="165" fontId="40" fillId="3" borderId="13" xfId="1" applyNumberFormat="1" applyFont="1" applyFill="1" applyBorder="1" applyAlignment="1">
      <alignment horizontal="center" vertical="center"/>
    </xf>
    <xf numFmtId="0" fontId="7" fillId="16" borderId="13" xfId="0" applyFont="1" applyFill="1" applyBorder="1"/>
    <xf numFmtId="165" fontId="40" fillId="17" borderId="6" xfId="1" applyNumberFormat="1" applyFont="1" applyFill="1" applyBorder="1" applyAlignment="1">
      <alignment horizontal="center" vertical="center"/>
    </xf>
    <xf numFmtId="0" fontId="49" fillId="16" borderId="0" xfId="0" applyFont="1" applyFill="1" applyAlignment="1">
      <alignment horizontal="center" vertical="center" textRotation="90"/>
    </xf>
    <xf numFmtId="165" fontId="43" fillId="16" borderId="0" xfId="1" applyNumberFormat="1" applyFont="1" applyFill="1" applyBorder="1" applyAlignment="1">
      <alignment horizontal="center" vertical="center"/>
    </xf>
    <xf numFmtId="0" fontId="7" fillId="16" borderId="1" xfId="0" applyFont="1" applyFill="1" applyBorder="1"/>
    <xf numFmtId="0" fontId="39" fillId="9" borderId="13" xfId="2" applyFont="1" applyFill="1" applyBorder="1"/>
    <xf numFmtId="0" fontId="41" fillId="16" borderId="0" xfId="0" applyFont="1" applyFill="1" applyAlignment="1">
      <alignment vertical="center" wrapText="1"/>
    </xf>
    <xf numFmtId="0" fontId="35" fillId="16" borderId="0" xfId="0" applyFont="1" applyFill="1" applyAlignment="1">
      <alignment horizontal="left" vertical="center"/>
    </xf>
    <xf numFmtId="165" fontId="35" fillId="16" borderId="0" xfId="1" applyNumberFormat="1" applyFont="1" applyFill="1" applyBorder="1" applyAlignment="1">
      <alignment horizontal="center" vertical="center"/>
    </xf>
    <xf numFmtId="49" fontId="35" fillId="16" borderId="0" xfId="0" applyNumberFormat="1" applyFont="1" applyFill="1" applyAlignment="1">
      <alignment wrapText="1"/>
    </xf>
    <xf numFmtId="0" fontId="40" fillId="16" borderId="0" xfId="0" applyFont="1" applyFill="1" applyAlignment="1">
      <alignment horizontal="left" vertical="center"/>
    </xf>
    <xf numFmtId="165" fontId="40" fillId="16" borderId="0" xfId="0" applyNumberFormat="1" applyFont="1" applyFill="1" applyAlignment="1">
      <alignment horizontal="center" vertical="center" wrapText="1"/>
    </xf>
    <xf numFmtId="44" fontId="35" fillId="16" borderId="0" xfId="0" applyNumberFormat="1" applyFont="1" applyFill="1"/>
    <xf numFmtId="0" fontId="35" fillId="16" borderId="0" xfId="0" applyFont="1" applyFill="1" applyAlignment="1">
      <alignment horizontal="left" vertical="center" wrapText="1"/>
    </xf>
    <xf numFmtId="0" fontId="52" fillId="16" borderId="0" xfId="0" applyFont="1" applyFill="1"/>
    <xf numFmtId="0" fontId="8" fillId="16" borderId="0" xfId="0" applyFont="1" applyFill="1" applyAlignment="1">
      <alignment horizontal="left" vertical="center"/>
    </xf>
    <xf numFmtId="165" fontId="8" fillId="16" borderId="0" xfId="1" applyNumberFormat="1" applyFont="1" applyFill="1" applyBorder="1" applyAlignment="1">
      <alignment horizontal="center" vertical="center"/>
    </xf>
    <xf numFmtId="165" fontId="8" fillId="16" borderId="0" xfId="1" applyNumberFormat="1" applyFont="1" applyFill="1" applyBorder="1" applyAlignment="1">
      <alignment horizontal="left" vertical="center"/>
    </xf>
    <xf numFmtId="0" fontId="53" fillId="16" borderId="0" xfId="0" applyFont="1" applyFill="1"/>
    <xf numFmtId="49" fontId="53" fillId="10" borderId="13" xfId="0" applyNumberFormat="1" applyFont="1" applyFill="1" applyBorder="1" applyAlignment="1">
      <alignment horizontal="left" vertical="top" wrapText="1"/>
    </xf>
    <xf numFmtId="0" fontId="39" fillId="12" borderId="13" xfId="2" applyFont="1" applyFill="1" applyBorder="1" applyAlignment="1">
      <alignment vertical="center"/>
    </xf>
    <xf numFmtId="0" fontId="39" fillId="13" borderId="13" xfId="2" applyFont="1" applyFill="1" applyBorder="1"/>
    <xf numFmtId="0" fontId="39" fillId="14" borderId="13" xfId="2" applyFont="1" applyFill="1" applyBorder="1"/>
    <xf numFmtId="0" fontId="39" fillId="15" borderId="13" xfId="2" applyFont="1" applyFill="1" applyBorder="1"/>
    <xf numFmtId="0" fontId="39" fillId="4" borderId="13" xfId="2" applyFont="1" applyFill="1" applyBorder="1"/>
    <xf numFmtId="0" fontId="33" fillId="12" borderId="0" xfId="2" applyFont="1" applyFill="1" applyAlignment="1">
      <alignment vertical="center"/>
    </xf>
    <xf numFmtId="0" fontId="33" fillId="13" borderId="0" xfId="2" applyFont="1" applyFill="1"/>
    <xf numFmtId="0" fontId="33" fillId="14" borderId="0" xfId="2" applyFont="1" applyFill="1"/>
    <xf numFmtId="0" fontId="33" fillId="15" borderId="0" xfId="2" applyFont="1" applyFill="1"/>
    <xf numFmtId="0" fontId="33" fillId="9" borderId="0" xfId="2" applyFont="1" applyFill="1"/>
    <xf numFmtId="0" fontId="33" fillId="4" borderId="0" xfId="2" applyFont="1" applyFill="1"/>
    <xf numFmtId="0" fontId="1" fillId="16" borderId="0" xfId="10" applyFill="1" applyAlignment="1">
      <alignment horizontal="center"/>
    </xf>
    <xf numFmtId="165" fontId="55" fillId="10" borderId="13" xfId="1" applyNumberFormat="1" applyFont="1" applyFill="1" applyBorder="1" applyAlignment="1">
      <alignment horizontal="center" vertical="center"/>
    </xf>
    <xf numFmtId="0" fontId="35" fillId="10" borderId="13" xfId="0" applyFont="1" applyFill="1" applyBorder="1" applyAlignment="1">
      <alignment horizontal="left" vertical="center" indent="2"/>
    </xf>
    <xf numFmtId="0" fontId="35" fillId="10" borderId="1" xfId="0" applyFont="1" applyFill="1" applyBorder="1" applyAlignment="1">
      <alignment horizontal="left" vertical="center" indent="2"/>
    </xf>
    <xf numFmtId="0" fontId="35" fillId="10" borderId="7" xfId="0" applyFont="1" applyFill="1" applyBorder="1" applyAlignment="1">
      <alignment horizontal="left" vertical="center" indent="2"/>
    </xf>
    <xf numFmtId="0" fontId="33" fillId="25" borderId="0" xfId="2" applyFont="1" applyFill="1"/>
    <xf numFmtId="0" fontId="56" fillId="16" borderId="0" xfId="0" applyFont="1" applyFill="1" applyAlignment="1">
      <alignment horizontal="left" vertical="center" readingOrder="1"/>
    </xf>
    <xf numFmtId="0" fontId="33" fillId="16" borderId="0" xfId="2" applyFont="1" applyFill="1" applyAlignment="1">
      <alignment vertical="center"/>
    </xf>
    <xf numFmtId="0" fontId="33" fillId="16" borderId="0" xfId="2" applyFont="1" applyFill="1"/>
    <xf numFmtId="0" fontId="32" fillId="16" borderId="0" xfId="2" applyFont="1" applyFill="1" applyAlignment="1">
      <alignment vertical="center"/>
    </xf>
    <xf numFmtId="0" fontId="57" fillId="0" borderId="0" xfId="11" applyFill="1" applyAlignment="1">
      <alignment vertical="top"/>
    </xf>
    <xf numFmtId="0" fontId="0" fillId="0" borderId="0" xfId="0" applyAlignment="1">
      <alignment vertical="top"/>
    </xf>
    <xf numFmtId="0" fontId="58" fillId="0" borderId="13" xfId="12" applyFill="1" applyBorder="1" applyAlignment="1">
      <alignment vertical="top"/>
    </xf>
    <xf numFmtId="0" fontId="58" fillId="0" borderId="13" xfId="12" applyFill="1" applyBorder="1" applyAlignment="1">
      <alignment vertical="top" wrapText="1"/>
    </xf>
    <xf numFmtId="0" fontId="4" fillId="0" borderId="47" xfId="0" applyFont="1" applyBorder="1" applyAlignment="1">
      <alignment vertical="top"/>
    </xf>
    <xf numFmtId="0" fontId="59" fillId="27" borderId="48" xfId="13" applyBorder="1" applyAlignment="1">
      <alignment vertical="top"/>
    </xf>
    <xf numFmtId="0" fontId="23" fillId="11" borderId="49" xfId="9" applyBorder="1" applyAlignment="1">
      <alignment vertical="top"/>
    </xf>
    <xf numFmtId="0" fontId="9" fillId="2" borderId="50" xfId="6" applyBorder="1" applyAlignment="1">
      <alignment vertical="top"/>
    </xf>
    <xf numFmtId="0" fontId="60" fillId="16" borderId="0" xfId="0" applyFont="1" applyFill="1"/>
    <xf numFmtId="0" fontId="0" fillId="0" borderId="0" xfId="0" applyAlignment="1">
      <alignment vertical="top" wrapText="1"/>
    </xf>
    <xf numFmtId="0" fontId="0" fillId="0" borderId="13" xfId="0" applyBorder="1" applyAlignment="1">
      <alignment horizontal="center" vertical="top"/>
    </xf>
    <xf numFmtId="14" fontId="0" fillId="0" borderId="13" xfId="0" applyNumberFormat="1" applyBorder="1" applyAlignment="1">
      <alignment vertical="top"/>
    </xf>
    <xf numFmtId="0" fontId="0" fillId="0" borderId="13" xfId="0" applyBorder="1" applyAlignment="1">
      <alignment vertical="top"/>
    </xf>
    <xf numFmtId="0" fontId="1" fillId="28" borderId="13" xfId="14" applyBorder="1" applyAlignment="1">
      <alignment vertical="top"/>
    </xf>
    <xf numFmtId="0" fontId="1" fillId="28" borderId="13" xfId="14" applyBorder="1" applyAlignment="1">
      <alignment vertical="top" wrapText="1"/>
    </xf>
    <xf numFmtId="0" fontId="0" fillId="3" borderId="13" xfId="0" applyFill="1" applyBorder="1" applyAlignment="1">
      <alignment vertical="top"/>
    </xf>
    <xf numFmtId="0" fontId="59" fillId="27" borderId="13" xfId="13" applyBorder="1" applyAlignment="1">
      <alignment vertical="top"/>
    </xf>
    <xf numFmtId="3" fontId="32" fillId="0" borderId="0" xfId="4" applyNumberFormat="1" applyFont="1" applyBorder="1"/>
    <xf numFmtId="0" fontId="32" fillId="0" borderId="0" xfId="3" quotePrefix="1" applyFont="1" applyAlignment="1">
      <alignment horizontal="left"/>
    </xf>
    <xf numFmtId="3" fontId="32" fillId="0" borderId="0" xfId="4" applyNumberFormat="1" applyFont="1" applyBorder="1" applyAlignment="1">
      <alignment horizontal="right"/>
    </xf>
    <xf numFmtId="0" fontId="1" fillId="29" borderId="0" xfId="10" applyFill="1"/>
    <xf numFmtId="0" fontId="26" fillId="29" borderId="0" xfId="10" applyFont="1" applyFill="1"/>
    <xf numFmtId="0" fontId="8" fillId="29" borderId="0" xfId="0" applyFont="1" applyFill="1"/>
    <xf numFmtId="0" fontId="0" fillId="29" borderId="0" xfId="0" applyFill="1"/>
    <xf numFmtId="169" fontId="0" fillId="29" borderId="0" xfId="8" applyNumberFormat="1" applyFont="1" applyFill="1"/>
    <xf numFmtId="0" fontId="8" fillId="29" borderId="0" xfId="0" applyFont="1" applyFill="1" applyAlignment="1">
      <alignment wrapText="1"/>
    </xf>
    <xf numFmtId="0" fontId="8" fillId="29" borderId="0" xfId="0" applyFont="1" applyFill="1" applyAlignment="1">
      <alignment vertical="top"/>
    </xf>
    <xf numFmtId="0" fontId="8" fillId="0" borderId="0" xfId="0" applyFont="1"/>
    <xf numFmtId="0" fontId="7" fillId="16" borderId="11" xfId="0" applyFont="1" applyFill="1" applyBorder="1"/>
    <xf numFmtId="0" fontId="7" fillId="16" borderId="11" xfId="0" applyFont="1" applyFill="1" applyBorder="1" applyAlignment="1">
      <alignment horizontal="right"/>
    </xf>
    <xf numFmtId="0" fontId="8" fillId="29" borderId="0" xfId="0" applyFont="1" applyFill="1" applyAlignment="1">
      <alignment horizontal="center" vertical="center"/>
    </xf>
    <xf numFmtId="168" fontId="8" fillId="29" borderId="0" xfId="8" applyNumberFormat="1" applyFont="1" applyFill="1" applyBorder="1" applyAlignment="1">
      <alignment horizontal="center" vertical="center"/>
    </xf>
    <xf numFmtId="169" fontId="8" fillId="29" borderId="0" xfId="8" applyNumberFormat="1" applyFont="1" applyFill="1" applyBorder="1" applyAlignment="1">
      <alignment horizontal="center" vertical="center"/>
    </xf>
    <xf numFmtId="170" fontId="8" fillId="29" borderId="0" xfId="0" applyNumberFormat="1" applyFont="1" applyFill="1" applyAlignment="1">
      <alignment horizontal="center" vertical="center"/>
    </xf>
    <xf numFmtId="169" fontId="8" fillId="29" borderId="0" xfId="8" applyNumberFormat="1" applyFont="1" applyFill="1" applyBorder="1" applyAlignment="1">
      <alignment horizontal="center"/>
    </xf>
    <xf numFmtId="0" fontId="8" fillId="29" borderId="5" xfId="0" applyFont="1" applyFill="1" applyBorder="1" applyAlignment="1">
      <alignment horizontal="center" vertical="center"/>
    </xf>
    <xf numFmtId="0" fontId="7" fillId="16" borderId="12" xfId="0" applyFont="1" applyFill="1" applyBorder="1"/>
    <xf numFmtId="0" fontId="8" fillId="16" borderId="5" xfId="0" applyFont="1" applyFill="1" applyBorder="1"/>
    <xf numFmtId="3" fontId="31" fillId="0" borderId="0" xfId="3" applyNumberFormat="1" applyFont="1" applyAlignment="1">
      <alignment horizontal="centerContinuous"/>
    </xf>
    <xf numFmtId="0" fontId="32" fillId="0" borderId="5" xfId="3" applyFont="1" applyBorder="1" applyAlignment="1">
      <alignment horizontal="left"/>
    </xf>
    <xf numFmtId="0" fontId="32" fillId="0" borderId="5" xfId="3" applyFont="1" applyBorder="1" applyAlignment="1">
      <alignment horizontal="left" vertical="top" wrapText="1"/>
    </xf>
    <xf numFmtId="0" fontId="32" fillId="0" borderId="5" xfId="3" applyFont="1" applyBorder="1"/>
    <xf numFmtId="0" fontId="31" fillId="0" borderId="12" xfId="3" applyFont="1" applyBorder="1" applyAlignment="1">
      <alignment horizontal="left" vertical="top" wrapText="1"/>
    </xf>
    <xf numFmtId="0" fontId="32" fillId="0" borderId="5" xfId="3" quotePrefix="1" applyFont="1" applyBorder="1" applyAlignment="1">
      <alignment horizontal="left"/>
    </xf>
    <xf numFmtId="0" fontId="9" fillId="2" borderId="13" xfId="6" applyBorder="1" applyAlignment="1">
      <alignment vertical="top"/>
    </xf>
    <xf numFmtId="0" fontId="23" fillId="11" borderId="13" xfId="9" applyBorder="1" applyAlignment="1">
      <alignment vertical="top"/>
    </xf>
    <xf numFmtId="165" fontId="54" fillId="16" borderId="0" xfId="1" applyNumberFormat="1" applyFont="1" applyFill="1" applyBorder="1" applyAlignment="1">
      <alignment horizontal="center" vertical="center"/>
    </xf>
    <xf numFmtId="0" fontId="51" fillId="29" borderId="0" xfId="0" applyFont="1" applyFill="1" applyAlignment="1">
      <alignment horizontal="center" vertical="center" textRotation="90"/>
    </xf>
    <xf numFmtId="0" fontId="40" fillId="29" borderId="0" xfId="0" applyFont="1" applyFill="1" applyAlignment="1">
      <alignment horizontal="left" vertical="center"/>
    </xf>
    <xf numFmtId="165" fontId="40" fillId="29" borderId="0" xfId="1" applyNumberFormat="1" applyFont="1" applyFill="1" applyBorder="1" applyAlignment="1">
      <alignment horizontal="center" vertical="center"/>
    </xf>
    <xf numFmtId="165" fontId="35" fillId="29" borderId="0" xfId="1" applyNumberFormat="1" applyFont="1" applyFill="1" applyBorder="1" applyAlignment="1">
      <alignment horizontal="center" vertical="center"/>
    </xf>
    <xf numFmtId="49" fontId="35" fillId="29" borderId="0" xfId="0" applyNumberFormat="1" applyFont="1" applyFill="1" applyAlignment="1">
      <alignment horizontal="left" vertical="top" wrapText="1"/>
    </xf>
    <xf numFmtId="0" fontId="17" fillId="29" borderId="0" xfId="0" applyFont="1" applyFill="1"/>
    <xf numFmtId="0" fontId="35" fillId="29" borderId="0" xfId="0" applyFont="1" applyFill="1"/>
    <xf numFmtId="0" fontId="7" fillId="29" borderId="1" xfId="0" applyFont="1" applyFill="1" applyBorder="1"/>
    <xf numFmtId="0" fontId="49" fillId="29" borderId="0" xfId="0" applyFont="1" applyFill="1"/>
    <xf numFmtId="165" fontId="35" fillId="29" borderId="0" xfId="0" applyNumberFormat="1" applyFont="1" applyFill="1"/>
    <xf numFmtId="0" fontId="7" fillId="29" borderId="13" xfId="0" applyFont="1" applyFill="1" applyBorder="1"/>
    <xf numFmtId="0" fontId="0" fillId="3" borderId="13" xfId="0" applyFill="1" applyBorder="1" applyAlignment="1">
      <alignment vertical="top" wrapText="1"/>
    </xf>
    <xf numFmtId="165" fontId="7" fillId="16" borderId="0" xfId="1" applyNumberFormat="1" applyFont="1" applyFill="1" applyBorder="1" applyAlignment="1">
      <alignment horizontal="left" vertical="center"/>
    </xf>
    <xf numFmtId="14" fontId="0" fillId="3" borderId="13" xfId="0" applyNumberFormat="1" applyFill="1" applyBorder="1" applyAlignment="1">
      <alignment vertical="top" wrapText="1"/>
    </xf>
    <xf numFmtId="0" fontId="30" fillId="16" borderId="0" xfId="0" applyFont="1" applyFill="1"/>
    <xf numFmtId="0" fontId="4" fillId="16" borderId="0" xfId="0" applyFont="1" applyFill="1" applyAlignment="1">
      <alignment horizontal="left" vertical="center"/>
    </xf>
    <xf numFmtId="0" fontId="53" fillId="16" borderId="0" xfId="0" applyFont="1" applyFill="1" applyAlignment="1">
      <alignment horizontal="left" vertical="center"/>
    </xf>
    <xf numFmtId="165" fontId="4" fillId="16" borderId="0" xfId="1" applyNumberFormat="1" applyFont="1" applyFill="1" applyBorder="1" applyAlignment="1">
      <alignment horizontal="center" vertical="center"/>
    </xf>
    <xf numFmtId="1" fontId="32" fillId="0" borderId="0" xfId="3" applyNumberFormat="1" applyFont="1" applyAlignment="1">
      <alignment horizontal="right" vertical="top" wrapText="1"/>
    </xf>
    <xf numFmtId="2" fontId="4" fillId="0" borderId="0" xfId="0" applyNumberFormat="1" applyFont="1" applyAlignment="1">
      <alignment horizontal="left" vertical="top" wrapText="1"/>
    </xf>
    <xf numFmtId="3" fontId="4" fillId="0" borderId="0" xfId="0" applyNumberFormat="1" applyFont="1" applyAlignment="1">
      <alignment horizontal="left" vertical="top" wrapText="1"/>
    </xf>
    <xf numFmtId="0" fontId="61" fillId="0" borderId="0" xfId="0" quotePrefix="1" applyFont="1" applyAlignment="1">
      <alignment horizontal="right" vertical="top"/>
    </xf>
    <xf numFmtId="0" fontId="4" fillId="0" borderId="0" xfId="0" applyFont="1"/>
    <xf numFmtId="164" fontId="4" fillId="0" borderId="0" xfId="0" applyNumberFormat="1" applyFont="1"/>
    <xf numFmtId="2" fontId="4" fillId="0" borderId="0" xfId="0" applyNumberFormat="1" applyFont="1"/>
    <xf numFmtId="3" fontId="4" fillId="0" borderId="0" xfId="0" applyNumberFormat="1" applyFont="1"/>
    <xf numFmtId="0" fontId="4" fillId="0" borderId="0" xfId="0" applyFont="1" applyAlignment="1">
      <alignment horizontal="left"/>
    </xf>
    <xf numFmtId="164" fontId="4" fillId="0" borderId="0" xfId="0" applyNumberFormat="1" applyFont="1" applyAlignment="1">
      <alignment horizontal="right"/>
    </xf>
    <xf numFmtId="2"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vertical="top"/>
    </xf>
    <xf numFmtId="164" fontId="37" fillId="0" borderId="0" xfId="0" applyNumberFormat="1" applyFont="1" applyAlignment="1">
      <alignment horizontal="left" vertical="top" wrapText="1"/>
    </xf>
    <xf numFmtId="0" fontId="37" fillId="0" borderId="0" xfId="0" applyFont="1" applyAlignment="1">
      <alignment horizontal="left" vertical="top" wrapText="1"/>
    </xf>
    <xf numFmtId="2" fontId="37" fillId="0" borderId="0" xfId="0" applyNumberFormat="1" applyFont="1" applyAlignment="1">
      <alignment horizontal="left" vertical="top" wrapText="1"/>
    </xf>
    <xf numFmtId="165" fontId="8" fillId="3" borderId="25" xfId="1" applyNumberFormat="1" applyFont="1" applyFill="1" applyBorder="1" applyAlignment="1" applyProtection="1">
      <alignment horizontal="left" vertical="top" wrapText="1"/>
    </xf>
    <xf numFmtId="165" fontId="8" fillId="3" borderId="15" xfId="1" applyNumberFormat="1" applyFont="1" applyFill="1" applyBorder="1" applyAlignment="1" applyProtection="1">
      <alignment horizontal="left" vertical="top" wrapText="1"/>
    </xf>
    <xf numFmtId="165" fontId="8" fillId="6" borderId="20" xfId="1" applyNumberFormat="1" applyFont="1" applyFill="1" applyBorder="1" applyAlignment="1" applyProtection="1">
      <alignment horizontal="left" vertical="center" wrapText="1"/>
    </xf>
    <xf numFmtId="165" fontId="8" fillId="6" borderId="24" xfId="1" applyNumberFormat="1" applyFont="1" applyFill="1" applyBorder="1" applyAlignment="1" applyProtection="1">
      <alignment horizontal="left" vertical="center" wrapText="1"/>
    </xf>
    <xf numFmtId="0" fontId="43" fillId="26" borderId="13" xfId="0" applyFont="1" applyFill="1" applyBorder="1" applyAlignment="1">
      <alignment horizontal="center"/>
    </xf>
    <xf numFmtId="165" fontId="35" fillId="10" borderId="13" xfId="1" applyNumberFormat="1" applyFont="1" applyFill="1" applyBorder="1" applyAlignment="1">
      <alignment horizontal="center" vertical="center"/>
    </xf>
    <xf numFmtId="0" fontId="43" fillId="16" borderId="0" xfId="0" applyFont="1" applyFill="1" applyAlignment="1">
      <alignment horizontal="center"/>
    </xf>
    <xf numFmtId="0" fontId="43" fillId="16" borderId="0" xfId="0" applyFont="1" applyFill="1" applyAlignment="1">
      <alignment horizontal="left" vertical="center"/>
    </xf>
    <xf numFmtId="0" fontId="35" fillId="10" borderId="13" xfId="0" applyFont="1" applyFill="1" applyBorder="1" applyAlignment="1">
      <alignment horizontal="left" vertical="center"/>
    </xf>
    <xf numFmtId="0" fontId="4" fillId="0" borderId="0" xfId="0" applyFont="1" applyAlignment="1">
      <alignment horizontal="left" vertical="top" wrapText="1"/>
    </xf>
    <xf numFmtId="0" fontId="0" fillId="0" borderId="0" xfId="0" applyAlignment="1">
      <alignment horizontal="center"/>
    </xf>
    <xf numFmtId="0" fontId="2" fillId="0" borderId="0" xfId="0" applyFont="1" applyAlignment="1">
      <alignment horizontal="center"/>
    </xf>
    <xf numFmtId="0" fontId="16" fillId="8" borderId="0" xfId="0" applyFont="1" applyFill="1" applyAlignment="1">
      <alignment horizontal="center"/>
    </xf>
    <xf numFmtId="0" fontId="32" fillId="16" borderId="0" xfId="0" applyFont="1" applyFill="1" applyAlignment="1">
      <alignment horizontal="left" wrapText="1"/>
    </xf>
    <xf numFmtId="0" fontId="31" fillId="6" borderId="6" xfId="0" applyFont="1" applyFill="1" applyBorder="1" applyAlignment="1">
      <alignment horizontal="center" vertical="center" wrapText="1"/>
    </xf>
    <xf numFmtId="0" fontId="31" fillId="6" borderId="23" xfId="0" applyFont="1" applyFill="1" applyBorder="1" applyAlignment="1">
      <alignment horizontal="center" vertical="center" wrapText="1"/>
    </xf>
    <xf numFmtId="0" fontId="63" fillId="16" borderId="0" xfId="0" applyFont="1" applyFill="1"/>
    <xf numFmtId="0" fontId="64" fillId="16" borderId="0" xfId="0" applyFont="1" applyFill="1"/>
    <xf numFmtId="0" fontId="63" fillId="16" borderId="0" xfId="0" applyFont="1" applyFill="1" applyAlignment="1">
      <alignment horizontal="center"/>
    </xf>
    <xf numFmtId="0" fontId="65" fillId="26" borderId="13" xfId="0" applyFont="1" applyFill="1" applyBorder="1" applyAlignment="1">
      <alignment horizontal="center"/>
    </xf>
    <xf numFmtId="49" fontId="8" fillId="10" borderId="13" xfId="0" applyNumberFormat="1" applyFont="1" applyFill="1" applyBorder="1" applyAlignment="1">
      <alignment horizontal="left" vertical="top" wrapText="1"/>
    </xf>
    <xf numFmtId="0" fontId="32" fillId="10" borderId="13" xfId="0" applyFont="1" applyFill="1" applyBorder="1" applyAlignment="1">
      <alignment horizontal="left" vertical="center" indent="2"/>
    </xf>
    <xf numFmtId="0" fontId="32" fillId="3" borderId="13" xfId="0" applyFont="1" applyFill="1" applyBorder="1" applyAlignment="1">
      <alignment horizontal="center" vertical="center"/>
    </xf>
    <xf numFmtId="0" fontId="32" fillId="10" borderId="13" xfId="0" applyFont="1" applyFill="1" applyBorder="1" applyAlignment="1">
      <alignment horizontal="center" vertical="center"/>
    </xf>
    <xf numFmtId="165" fontId="8" fillId="10" borderId="13" xfId="1" applyNumberFormat="1" applyFont="1" applyFill="1" applyBorder="1" applyAlignment="1">
      <alignment horizontal="center" vertical="center"/>
    </xf>
    <xf numFmtId="165" fontId="8" fillId="24" borderId="13" xfId="1" applyNumberFormat="1" applyFont="1" applyFill="1" applyBorder="1" applyAlignment="1">
      <alignment horizontal="center" vertical="center"/>
    </xf>
    <xf numFmtId="0" fontId="32" fillId="10" borderId="13" xfId="0" applyFont="1" applyFill="1" applyBorder="1" applyAlignment="1">
      <alignment horizontal="left" vertical="center"/>
    </xf>
    <xf numFmtId="0" fontId="32" fillId="10" borderId="1" xfId="0" applyFont="1" applyFill="1" applyBorder="1" applyAlignment="1">
      <alignment horizontal="left" vertical="center" indent="2"/>
    </xf>
    <xf numFmtId="165" fontId="7" fillId="3" borderId="13" xfId="1" applyNumberFormat="1" applyFont="1" applyFill="1" applyBorder="1" applyAlignment="1">
      <alignment horizontal="center" vertical="center"/>
    </xf>
    <xf numFmtId="165" fontId="7" fillId="17" borderId="13" xfId="1" applyNumberFormat="1" applyFont="1" applyFill="1" applyBorder="1" applyAlignment="1">
      <alignment horizontal="center" vertical="center"/>
    </xf>
    <xf numFmtId="0" fontId="66" fillId="10" borderId="14" xfId="0" applyFont="1" applyFill="1" applyBorder="1" applyAlignment="1">
      <alignment vertical="center" textRotation="90"/>
    </xf>
    <xf numFmtId="0" fontId="31" fillId="16" borderId="0" xfId="0" applyFont="1" applyFill="1" applyAlignment="1">
      <alignment horizontal="left" vertical="center"/>
    </xf>
    <xf numFmtId="165" fontId="31" fillId="16" borderId="0" xfId="1" applyNumberFormat="1" applyFont="1" applyFill="1" applyBorder="1" applyAlignment="1">
      <alignment horizontal="center" vertical="center"/>
    </xf>
    <xf numFmtId="165" fontId="67" fillId="10" borderId="13" xfId="1" applyNumberFormat="1" applyFont="1" applyFill="1" applyBorder="1" applyAlignment="1">
      <alignment horizontal="center" vertical="center"/>
    </xf>
    <xf numFmtId="165" fontId="68" fillId="16" borderId="0" xfId="0" applyNumberFormat="1" applyFont="1" applyFill="1"/>
    <xf numFmtId="165" fontId="8" fillId="16" borderId="0" xfId="0" applyNumberFormat="1" applyFont="1" applyFill="1"/>
    <xf numFmtId="0" fontId="8" fillId="16" borderId="0" xfId="0" applyFont="1" applyFill="1" applyAlignment="1">
      <alignment horizontal="left" wrapText="1"/>
    </xf>
    <xf numFmtId="0" fontId="0" fillId="16" borderId="0" xfId="0" applyFill="1" applyAlignment="1">
      <alignment horizontal="left"/>
    </xf>
    <xf numFmtId="0" fontId="0" fillId="16" borderId="0" xfId="0" applyFill="1" applyAlignment="1">
      <alignment horizontal="center"/>
    </xf>
    <xf numFmtId="0" fontId="0" fillId="16" borderId="0" xfId="0" applyFill="1" applyAlignment="1">
      <alignment vertical="top"/>
    </xf>
    <xf numFmtId="165" fontId="31" fillId="18" borderId="27" xfId="1" applyNumberFormat="1" applyFont="1" applyFill="1" applyBorder="1" applyAlignment="1">
      <alignment horizontal="left" vertical="center" wrapText="1"/>
    </xf>
    <xf numFmtId="165" fontId="42" fillId="6" borderId="13" xfId="1" applyNumberFormat="1" applyFont="1" applyFill="1" applyBorder="1" applyAlignment="1" applyProtection="1">
      <alignment horizontal="left" vertical="center" wrapText="1"/>
    </xf>
    <xf numFmtId="165" fontId="42" fillId="6" borderId="21" xfId="1" applyNumberFormat="1" applyFont="1" applyFill="1" applyBorder="1" applyAlignment="1" applyProtection="1">
      <alignment horizontal="left" vertical="center" wrapText="1"/>
    </xf>
    <xf numFmtId="165" fontId="42" fillId="6" borderId="3" xfId="0" applyNumberFormat="1" applyFont="1" applyFill="1" applyBorder="1" applyAlignment="1">
      <alignment horizontal="left" vertical="center" wrapText="1"/>
    </xf>
    <xf numFmtId="165" fontId="42" fillId="6" borderId="13" xfId="0" applyNumberFormat="1" applyFont="1" applyFill="1" applyBorder="1" applyAlignment="1">
      <alignment horizontal="left" vertical="center" wrapText="1"/>
    </xf>
    <xf numFmtId="165" fontId="42" fillId="6" borderId="21" xfId="0" applyNumberFormat="1" applyFont="1" applyFill="1" applyBorder="1" applyAlignment="1">
      <alignment horizontal="left" vertical="center" wrapText="1"/>
    </xf>
    <xf numFmtId="165" fontId="69" fillId="6" borderId="21" xfId="1" applyNumberFormat="1" applyFont="1" applyFill="1" applyBorder="1" applyAlignment="1" applyProtection="1">
      <alignment horizontal="left" vertical="center" wrapText="1"/>
    </xf>
    <xf numFmtId="165" fontId="69" fillId="6" borderId="3" xfId="0" applyNumberFormat="1" applyFont="1" applyFill="1" applyBorder="1" applyAlignment="1">
      <alignment horizontal="left" vertical="center" wrapText="1"/>
    </xf>
    <xf numFmtId="165" fontId="69" fillId="6" borderId="13" xfId="0" applyNumberFormat="1" applyFont="1" applyFill="1" applyBorder="1" applyAlignment="1">
      <alignment horizontal="left" vertical="center" wrapText="1"/>
    </xf>
    <xf numFmtId="165" fontId="69" fillId="6" borderId="21" xfId="0" applyNumberFormat="1" applyFont="1" applyFill="1" applyBorder="1" applyAlignment="1">
      <alignment horizontal="left" vertical="center" wrapText="1"/>
    </xf>
    <xf numFmtId="0" fontId="8" fillId="5" borderId="13" xfId="0" applyFont="1" applyFill="1" applyBorder="1" applyAlignment="1">
      <alignment horizontal="left" vertical="center" wrapText="1" indent="4"/>
    </xf>
    <xf numFmtId="0" fontId="8" fillId="5" borderId="21" xfId="0" applyFont="1" applyFill="1" applyBorder="1" applyAlignment="1">
      <alignment horizontal="center" vertical="center" wrapText="1"/>
    </xf>
    <xf numFmtId="0" fontId="8" fillId="3" borderId="1" xfId="0" applyFont="1" applyFill="1" applyBorder="1" applyAlignment="1">
      <alignment horizontal="left" vertical="center" wrapText="1" indent="2"/>
    </xf>
    <xf numFmtId="0" fontId="8" fillId="16" borderId="0" xfId="0" applyFont="1" applyFill="1" applyAlignment="1">
      <alignment horizontal="left" vertical="center" wrapText="1" indent="4"/>
    </xf>
    <xf numFmtId="165" fontId="7" fillId="6" borderId="21" xfId="0" applyNumberFormat="1" applyFont="1" applyFill="1" applyBorder="1" applyAlignment="1">
      <alignment horizontal="left" vertical="center" wrapText="1"/>
    </xf>
    <xf numFmtId="165" fontId="42" fillId="6" borderId="23" xfId="0" applyNumberFormat="1" applyFont="1" applyFill="1" applyBorder="1" applyAlignment="1">
      <alignment horizontal="left" vertical="center" wrapText="1"/>
    </xf>
    <xf numFmtId="165" fontId="7" fillId="6" borderId="24" xfId="1" applyNumberFormat="1" applyFont="1" applyFill="1" applyBorder="1" applyAlignment="1" applyProtection="1">
      <alignment horizontal="left" vertical="center" wrapText="1"/>
    </xf>
    <xf numFmtId="165" fontId="69" fillId="6" borderId="27" xfId="0" applyNumberFormat="1" applyFont="1" applyFill="1" applyBorder="1" applyAlignment="1">
      <alignment horizontal="left" vertical="center" wrapText="1"/>
    </xf>
    <xf numFmtId="165" fontId="69" fillId="6" borderId="23" xfId="0" applyNumberFormat="1" applyFont="1" applyFill="1" applyBorder="1" applyAlignment="1">
      <alignment horizontal="left" vertical="center" wrapText="1"/>
    </xf>
    <xf numFmtId="165" fontId="69" fillId="6" borderId="24" xfId="0" applyNumberFormat="1" applyFont="1" applyFill="1" applyBorder="1" applyAlignment="1">
      <alignment horizontal="left" vertical="center" wrapText="1"/>
    </xf>
    <xf numFmtId="165" fontId="0" fillId="16" borderId="0" xfId="0" applyNumberFormat="1" applyFill="1"/>
    <xf numFmtId="165" fontId="70" fillId="16" borderId="0" xfId="1" applyNumberFormat="1" applyFont="1" applyFill="1" applyAlignment="1">
      <alignment horizontal="left" vertical="center"/>
    </xf>
    <xf numFmtId="0" fontId="70" fillId="16" borderId="0" xfId="0" applyFont="1" applyFill="1" applyAlignment="1">
      <alignment horizontal="left" vertical="center"/>
    </xf>
    <xf numFmtId="0" fontId="71" fillId="10" borderId="23" xfId="2" applyFont="1" applyFill="1" applyBorder="1" applyAlignment="1">
      <alignment horizontal="left" vertical="center" wrapText="1"/>
    </xf>
    <xf numFmtId="165" fontId="1" fillId="16" borderId="0" xfId="1" applyNumberFormat="1" applyFont="1" applyFill="1" applyBorder="1"/>
    <xf numFmtId="165" fontId="31" fillId="18" borderId="23" xfId="1" applyNumberFormat="1" applyFont="1" applyFill="1" applyBorder="1" applyAlignment="1">
      <alignment horizontal="left" vertical="center" wrapText="1"/>
    </xf>
    <xf numFmtId="44" fontId="31" fillId="18" borderId="23" xfId="0" applyNumberFormat="1" applyFont="1" applyFill="1" applyBorder="1" applyAlignment="1">
      <alignment horizontal="left" vertical="center" wrapText="1"/>
    </xf>
    <xf numFmtId="0" fontId="8" fillId="5" borderId="13" xfId="0" applyFont="1" applyFill="1" applyBorder="1" applyAlignment="1">
      <alignment horizontal="left" vertical="center" wrapText="1" indent="3"/>
    </xf>
    <xf numFmtId="0" fontId="8" fillId="5" borderId="23" xfId="0" applyFont="1" applyFill="1" applyBorder="1" applyAlignment="1">
      <alignment horizontal="left" vertical="center" wrapText="1" indent="3"/>
    </xf>
    <xf numFmtId="0" fontId="31" fillId="19" borderId="23" xfId="0" applyFont="1" applyFill="1" applyBorder="1" applyAlignment="1">
      <alignment horizontal="center" vertical="center" wrapText="1"/>
    </xf>
    <xf numFmtId="0" fontId="8" fillId="5" borderId="13" xfId="0" applyFont="1" applyFill="1" applyBorder="1" applyAlignment="1">
      <alignment horizontal="left" vertical="center" wrapText="1" indent="2"/>
    </xf>
    <xf numFmtId="0" fontId="8" fillId="5" borderId="20" xfId="0" applyFont="1" applyFill="1" applyBorder="1" applyAlignment="1">
      <alignment horizontal="left" vertical="center" wrapText="1" indent="2"/>
    </xf>
    <xf numFmtId="49" fontId="8" fillId="5" borderId="21" xfId="0" applyNumberFormat="1" applyFont="1" applyFill="1" applyBorder="1" applyAlignment="1">
      <alignment horizontal="left" vertical="center" wrapText="1" indent="2"/>
    </xf>
    <xf numFmtId="165" fontId="8" fillId="6" borderId="26" xfId="1" applyNumberFormat="1" applyFont="1" applyFill="1" applyBorder="1" applyAlignment="1" applyProtection="1">
      <alignment horizontal="left" vertical="top" wrapText="1"/>
    </xf>
    <xf numFmtId="165" fontId="8" fillId="6" borderId="21" xfId="1" applyNumberFormat="1" applyFont="1" applyFill="1" applyBorder="1" applyAlignment="1" applyProtection="1">
      <alignment horizontal="left" vertical="top" wrapText="1"/>
    </xf>
    <xf numFmtId="0" fontId="8" fillId="5" borderId="22" xfId="0" applyFont="1" applyFill="1" applyBorder="1" applyAlignment="1">
      <alignment horizontal="left" vertical="center" wrapText="1" indent="2"/>
    </xf>
    <xf numFmtId="0" fontId="8" fillId="5" borderId="23" xfId="0" applyFont="1" applyFill="1" applyBorder="1" applyAlignment="1">
      <alignment horizontal="left" vertical="center" wrapText="1" indent="2"/>
    </xf>
    <xf numFmtId="49" fontId="8" fillId="5" borderId="24" xfId="0" applyNumberFormat="1" applyFont="1" applyFill="1" applyBorder="1" applyAlignment="1">
      <alignment horizontal="left" vertical="center" wrapText="1" indent="2"/>
    </xf>
    <xf numFmtId="165" fontId="8" fillId="6" borderId="24" xfId="1" applyNumberFormat="1" applyFont="1" applyFill="1" applyBorder="1" applyAlignment="1" applyProtection="1">
      <alignment horizontal="left" vertical="top" wrapText="1"/>
    </xf>
    <xf numFmtId="165" fontId="8" fillId="6" borderId="27" xfId="1" applyNumberFormat="1" applyFont="1" applyFill="1" applyBorder="1" applyAlignment="1" applyProtection="1">
      <alignment horizontal="left" vertical="top" wrapText="1"/>
    </xf>
    <xf numFmtId="0" fontId="8" fillId="5" borderId="25" xfId="0" applyFont="1" applyFill="1" applyBorder="1" applyAlignment="1">
      <alignment horizontal="left" vertical="center" wrapText="1" indent="2"/>
    </xf>
    <xf numFmtId="49" fontId="8" fillId="5" borderId="15" xfId="0" applyNumberFormat="1" applyFont="1" applyFill="1" applyBorder="1" applyAlignment="1">
      <alignment horizontal="center" vertical="center" wrapText="1"/>
    </xf>
    <xf numFmtId="0" fontId="32" fillId="5" borderId="13" xfId="0" applyFont="1" applyFill="1" applyBorder="1" applyAlignment="1">
      <alignment horizontal="left" vertical="center" wrapText="1" indent="2"/>
    </xf>
    <xf numFmtId="0" fontId="8" fillId="5" borderId="15" xfId="0" applyFont="1" applyFill="1" applyBorder="1" applyAlignment="1">
      <alignment horizontal="left" vertical="center" wrapText="1" indent="2"/>
    </xf>
    <xf numFmtId="49" fontId="8" fillId="5" borderId="15" xfId="0" applyNumberFormat="1" applyFont="1" applyFill="1" applyBorder="1" applyAlignment="1">
      <alignment horizontal="left" vertical="center" wrapText="1" indent="6"/>
    </xf>
    <xf numFmtId="49" fontId="8" fillId="5" borderId="13" xfId="0" applyNumberFormat="1" applyFont="1" applyFill="1" applyBorder="1" applyAlignment="1">
      <alignment horizontal="left" vertical="center" wrapText="1" indent="6"/>
    </xf>
    <xf numFmtId="49" fontId="8" fillId="5" borderId="23" xfId="0" applyNumberFormat="1" applyFont="1" applyFill="1" applyBorder="1" applyAlignment="1">
      <alignment horizontal="left" vertical="center" wrapText="1" indent="6"/>
    </xf>
    <xf numFmtId="0" fontId="8" fillId="5" borderId="20" xfId="0" applyFont="1" applyFill="1" applyBorder="1" applyAlignment="1">
      <alignment horizontal="left" vertical="center" wrapText="1" indent="3"/>
    </xf>
    <xf numFmtId="49" fontId="8" fillId="5" borderId="21" xfId="0" applyNumberFormat="1" applyFont="1" applyFill="1" applyBorder="1" applyAlignment="1">
      <alignment horizontal="left" vertical="center" wrapText="1" indent="7"/>
    </xf>
    <xf numFmtId="2" fontId="32" fillId="0" borderId="11" xfId="3" applyNumberFormat="1" applyFont="1" applyBorder="1" applyAlignment="1">
      <alignment horizontal="left" vertical="top" wrapText="1"/>
    </xf>
    <xf numFmtId="3" fontId="32" fillId="0" borderId="11" xfId="3" applyNumberFormat="1" applyFont="1" applyBorder="1" applyAlignment="1">
      <alignment horizontal="left" vertical="top" wrapText="1"/>
    </xf>
    <xf numFmtId="164" fontId="32" fillId="0" borderId="11" xfId="3" applyNumberFormat="1" applyFont="1" applyBorder="1" applyAlignment="1">
      <alignment horizontal="left" vertical="top" wrapText="1"/>
    </xf>
    <xf numFmtId="164" fontId="32" fillId="0" borderId="11" xfId="3" applyNumberFormat="1" applyFont="1" applyBorder="1" applyAlignment="1">
      <alignment vertical="top" wrapText="1"/>
    </xf>
    <xf numFmtId="164" fontId="42" fillId="0" borderId="0" xfId="3" applyNumberFormat="1" applyFont="1"/>
    <xf numFmtId="0" fontId="32" fillId="29" borderId="11" xfId="0" applyFont="1" applyFill="1" applyBorder="1" applyAlignment="1">
      <alignment horizontal="center" vertical="center" wrapText="1"/>
    </xf>
    <xf numFmtId="0" fontId="8" fillId="5" borderId="13" xfId="0" applyFont="1" applyFill="1" applyBorder="1" applyAlignment="1">
      <alignment horizontal="left" vertical="center" wrapText="1" indent="6"/>
    </xf>
    <xf numFmtId="0" fontId="8" fillId="5" borderId="23" xfId="0" applyFont="1" applyFill="1" applyBorder="1" applyAlignment="1">
      <alignment horizontal="left" vertical="center" wrapText="1" indent="6"/>
    </xf>
    <xf numFmtId="49" fontId="8" fillId="5" borderId="26" xfId="0" applyNumberFormat="1" applyFont="1" applyFill="1" applyBorder="1" applyAlignment="1">
      <alignment horizontal="left" vertical="center" wrapText="1" indent="2"/>
    </xf>
    <xf numFmtId="165" fontId="8" fillId="3" borderId="12" xfId="1" applyNumberFormat="1" applyFont="1" applyFill="1" applyBorder="1" applyAlignment="1" applyProtection="1">
      <alignment horizontal="left" vertical="center" wrapText="1"/>
    </xf>
    <xf numFmtId="167" fontId="8" fillId="3" borderId="15" xfId="7" applyNumberFormat="1" applyFont="1" applyFill="1" applyBorder="1" applyAlignment="1" applyProtection="1">
      <alignment horizontal="left" vertical="center" wrapText="1"/>
    </xf>
    <xf numFmtId="165" fontId="8" fillId="6" borderId="15" xfId="1" applyNumberFormat="1" applyFont="1" applyFill="1" applyBorder="1" applyAlignment="1" applyProtection="1">
      <alignment horizontal="left" vertical="center" wrapText="1"/>
    </xf>
    <xf numFmtId="49" fontId="8" fillId="17" borderId="24" xfId="0" applyNumberFormat="1" applyFont="1" applyFill="1" applyBorder="1" applyAlignment="1">
      <alignment horizontal="center" vertical="center" wrapText="1"/>
    </xf>
    <xf numFmtId="165" fontId="8" fillId="21" borderId="27" xfId="1" applyNumberFormat="1" applyFont="1" applyFill="1" applyBorder="1" applyAlignment="1" applyProtection="1">
      <alignment horizontal="left" vertical="center" wrapText="1"/>
    </xf>
    <xf numFmtId="167" fontId="8" fillId="21" borderId="23" xfId="7" applyNumberFormat="1" applyFont="1" applyFill="1" applyBorder="1" applyAlignment="1" applyProtection="1">
      <alignment horizontal="left" vertical="center" wrapText="1"/>
    </xf>
    <xf numFmtId="0" fontId="32" fillId="21" borderId="37" xfId="0" applyFont="1" applyFill="1" applyBorder="1" applyAlignment="1">
      <alignment horizontal="center" vertical="center" wrapText="1"/>
    </xf>
    <xf numFmtId="165" fontId="8" fillId="6" borderId="27" xfId="1" applyNumberFormat="1" applyFont="1" applyFill="1" applyBorder="1" applyAlignment="1" applyProtection="1">
      <alignment horizontal="left" vertical="center" wrapText="1"/>
    </xf>
    <xf numFmtId="0" fontId="7" fillId="19" borderId="6" xfId="0" applyFont="1" applyFill="1" applyBorder="1" applyAlignment="1">
      <alignment horizontal="center" vertical="center" wrapText="1"/>
    </xf>
    <xf numFmtId="0" fontId="31" fillId="19" borderId="6" xfId="0" applyFont="1" applyFill="1" applyBorder="1" applyAlignment="1">
      <alignment horizontal="center" vertical="center" wrapText="1"/>
    </xf>
    <xf numFmtId="0" fontId="1" fillId="23" borderId="0" xfId="10" applyFill="1" applyAlignment="1">
      <alignment vertical="center"/>
    </xf>
    <xf numFmtId="0" fontId="8" fillId="16" borderId="0" xfId="0" applyFont="1" applyFill="1" applyAlignment="1">
      <alignment horizontal="left" vertical="center" wrapText="1"/>
    </xf>
    <xf numFmtId="0" fontId="8" fillId="16" borderId="0" xfId="0" applyFont="1" applyFill="1" applyAlignment="1">
      <alignment horizontal="left" vertical="top" wrapText="1"/>
    </xf>
    <xf numFmtId="43" fontId="7" fillId="16" borderId="13" xfId="7" applyFont="1" applyFill="1" applyBorder="1" applyAlignment="1">
      <alignment horizontal="right"/>
    </xf>
    <xf numFmtId="0" fontId="8" fillId="10" borderId="1" xfId="0" applyFont="1" applyFill="1" applyBorder="1" applyAlignment="1">
      <alignment horizontal="left" vertical="center"/>
    </xf>
    <xf numFmtId="0" fontId="8" fillId="10" borderId="2" xfId="0" applyFont="1" applyFill="1" applyBorder="1" applyAlignment="1">
      <alignment horizontal="left" vertical="center"/>
    </xf>
    <xf numFmtId="0" fontId="8" fillId="10" borderId="3" xfId="0" applyFont="1" applyFill="1" applyBorder="1" applyAlignment="1">
      <alignment horizontal="left" vertical="center"/>
    </xf>
    <xf numFmtId="0" fontId="31" fillId="17" borderId="13" xfId="0" applyFont="1" applyFill="1" applyBorder="1" applyAlignment="1">
      <alignment horizontal="left" vertical="center"/>
    </xf>
    <xf numFmtId="43" fontId="7" fillId="16" borderId="1" xfId="7" applyFont="1" applyFill="1" applyBorder="1" applyAlignment="1">
      <alignment horizontal="right"/>
    </xf>
    <xf numFmtId="43" fontId="7" fillId="16" borderId="3" xfId="7" applyFont="1" applyFill="1" applyBorder="1" applyAlignment="1">
      <alignment horizontal="right"/>
    </xf>
    <xf numFmtId="0" fontId="66" fillId="10" borderId="6" xfId="0" applyFont="1" applyFill="1" applyBorder="1" applyAlignment="1">
      <alignment horizontal="center" vertical="center" textRotation="90"/>
    </xf>
    <xf numFmtId="0" fontId="66" fillId="10" borderId="14" xfId="0" applyFont="1" applyFill="1" applyBorder="1" applyAlignment="1">
      <alignment horizontal="center" vertical="center" textRotation="90"/>
    </xf>
    <xf numFmtId="0" fontId="66" fillId="10" borderId="13" xfId="0" applyFont="1" applyFill="1" applyBorder="1" applyAlignment="1">
      <alignment horizontal="center" vertical="center" textRotation="90"/>
    </xf>
    <xf numFmtId="0" fontId="7" fillId="17" borderId="1" xfId="0" applyFont="1" applyFill="1" applyBorder="1" applyAlignment="1">
      <alignment horizontal="left" vertical="center"/>
    </xf>
    <xf numFmtId="0" fontId="7" fillId="17" borderId="2" xfId="0" applyFont="1" applyFill="1" applyBorder="1" applyAlignment="1">
      <alignment horizontal="left" vertical="center"/>
    </xf>
    <xf numFmtId="0" fontId="7" fillId="17" borderId="3" xfId="0" applyFont="1" applyFill="1" applyBorder="1" applyAlignment="1">
      <alignment horizontal="left" vertical="center"/>
    </xf>
    <xf numFmtId="0" fontId="32" fillId="10" borderId="1" xfId="0" applyFont="1" applyFill="1" applyBorder="1" applyAlignment="1">
      <alignment horizontal="left" vertical="center"/>
    </xf>
    <xf numFmtId="0" fontId="32" fillId="10" borderId="2" xfId="0" applyFont="1" applyFill="1" applyBorder="1" applyAlignment="1">
      <alignment horizontal="left" vertical="center"/>
    </xf>
    <xf numFmtId="0" fontId="32" fillId="10" borderId="3" xfId="0" applyFont="1" applyFill="1" applyBorder="1" applyAlignment="1">
      <alignment horizontal="left" vertical="center"/>
    </xf>
    <xf numFmtId="167" fontId="7" fillId="16" borderId="13" xfId="7" applyNumberFormat="1" applyFont="1" applyFill="1" applyBorder="1" applyAlignment="1">
      <alignment horizontal="right"/>
    </xf>
    <xf numFmtId="43" fontId="7" fillId="16" borderId="13" xfId="7" applyFont="1" applyFill="1" applyBorder="1" applyAlignment="1">
      <alignment horizontal="center"/>
    </xf>
    <xf numFmtId="165" fontId="8" fillId="10" borderId="1" xfId="1" applyNumberFormat="1" applyFont="1" applyFill="1" applyBorder="1" applyAlignment="1">
      <alignment horizontal="center" vertical="center"/>
    </xf>
    <xf numFmtId="165" fontId="8" fillId="10" borderId="2" xfId="1" applyNumberFormat="1" applyFont="1" applyFill="1" applyBorder="1" applyAlignment="1">
      <alignment horizontal="center" vertical="center"/>
    </xf>
    <xf numFmtId="165" fontId="8" fillId="10" borderId="3" xfId="1" applyNumberFormat="1" applyFont="1" applyFill="1" applyBorder="1" applyAlignment="1">
      <alignment horizontal="center" vertical="center"/>
    </xf>
    <xf numFmtId="0" fontId="65" fillId="26" borderId="4" xfId="0" applyFont="1" applyFill="1" applyBorder="1" applyAlignment="1">
      <alignment horizontal="center" vertical="center"/>
    </xf>
    <xf numFmtId="0" fontId="65" fillId="26" borderId="10" xfId="0" applyFont="1" applyFill="1" applyBorder="1" applyAlignment="1">
      <alignment horizontal="center" vertical="center"/>
    </xf>
    <xf numFmtId="0" fontId="65" fillId="26" borderId="13" xfId="0" applyFont="1" applyFill="1" applyBorder="1" applyAlignment="1">
      <alignment horizontal="center"/>
    </xf>
    <xf numFmtId="0" fontId="65" fillId="26" borderId="6" xfId="0" applyFont="1" applyFill="1" applyBorder="1" applyAlignment="1">
      <alignment horizontal="center" vertical="center"/>
    </xf>
    <xf numFmtId="0" fontId="65" fillId="26" borderId="14" xfId="0" applyFont="1" applyFill="1" applyBorder="1" applyAlignment="1">
      <alignment horizontal="center" vertical="center"/>
    </xf>
    <xf numFmtId="0" fontId="65" fillId="26" borderId="15" xfId="0" applyFont="1" applyFill="1" applyBorder="1" applyAlignment="1">
      <alignment horizontal="center" vertical="center"/>
    </xf>
    <xf numFmtId="0" fontId="65" fillId="26" borderId="1" xfId="0" applyFont="1" applyFill="1" applyBorder="1" applyAlignment="1">
      <alignment horizontal="center"/>
    </xf>
    <xf numFmtId="0" fontId="65" fillId="26" borderId="2" xfId="0" applyFont="1" applyFill="1" applyBorder="1" applyAlignment="1">
      <alignment horizontal="center"/>
    </xf>
    <xf numFmtId="0" fontId="65" fillId="26" borderId="3" xfId="0" applyFont="1" applyFill="1" applyBorder="1" applyAlignment="1">
      <alignment horizontal="center"/>
    </xf>
    <xf numFmtId="0" fontId="65" fillId="26" borderId="6" xfId="0" applyFont="1" applyFill="1" applyBorder="1" applyAlignment="1">
      <alignment horizontal="center"/>
    </xf>
    <xf numFmtId="0" fontId="65" fillId="26" borderId="15" xfId="0" applyFont="1" applyFill="1" applyBorder="1" applyAlignment="1">
      <alignment horizontal="center"/>
    </xf>
    <xf numFmtId="0" fontId="32" fillId="16" borderId="0" xfId="0" applyFont="1" applyFill="1" applyAlignment="1">
      <alignment horizontal="left" wrapText="1"/>
    </xf>
    <xf numFmtId="0" fontId="65" fillId="26" borderId="13" xfId="0" applyFont="1" applyFill="1" applyBorder="1" applyAlignment="1">
      <alignment horizontal="center" vertical="center" wrapText="1"/>
    </xf>
    <xf numFmtId="0" fontId="65" fillId="26" borderId="1" xfId="0" applyFont="1" applyFill="1" applyBorder="1" applyAlignment="1">
      <alignment horizontal="center" vertical="center" wrapText="1"/>
    </xf>
    <xf numFmtId="0" fontId="65" fillId="26" borderId="2" xfId="0" applyFont="1" applyFill="1" applyBorder="1" applyAlignment="1">
      <alignment horizontal="center" vertical="center" wrapText="1"/>
    </xf>
    <xf numFmtId="0" fontId="65" fillId="26" borderId="3" xfId="0" applyFont="1" applyFill="1" applyBorder="1" applyAlignment="1">
      <alignment horizontal="center" vertical="center" wrapText="1"/>
    </xf>
    <xf numFmtId="0" fontId="65" fillId="26" borderId="13" xfId="0" applyFont="1" applyFill="1" applyBorder="1" applyAlignment="1">
      <alignment horizontal="left" vertical="center"/>
    </xf>
    <xf numFmtId="43" fontId="7" fillId="29" borderId="1" xfId="7" applyFont="1" applyFill="1" applyBorder="1" applyAlignment="1">
      <alignment horizontal="center"/>
    </xf>
    <xf numFmtId="43" fontId="7" fillId="29" borderId="3" xfId="7" applyFont="1" applyFill="1" applyBorder="1" applyAlignment="1">
      <alignment horizontal="center"/>
    </xf>
    <xf numFmtId="167" fontId="7" fillId="29" borderId="1" xfId="7" applyNumberFormat="1" applyFont="1" applyFill="1" applyBorder="1" applyAlignment="1">
      <alignment horizontal="right"/>
    </xf>
    <xf numFmtId="167" fontId="7" fillId="29" borderId="3" xfId="7" applyNumberFormat="1" applyFont="1" applyFill="1" applyBorder="1" applyAlignment="1">
      <alignment horizontal="right"/>
    </xf>
    <xf numFmtId="165" fontId="35" fillId="10" borderId="13" xfId="1" applyNumberFormat="1" applyFont="1" applyFill="1" applyBorder="1" applyAlignment="1">
      <alignment horizontal="center" vertical="center"/>
    </xf>
    <xf numFmtId="0" fontId="35" fillId="10" borderId="1" xfId="0" applyFont="1" applyFill="1" applyBorder="1" applyAlignment="1">
      <alignment horizontal="left" vertical="center"/>
    </xf>
    <xf numFmtId="0" fontId="35" fillId="10" borderId="2" xfId="0" applyFont="1" applyFill="1" applyBorder="1" applyAlignment="1">
      <alignment horizontal="left" vertical="center"/>
    </xf>
    <xf numFmtId="0" fontId="35" fillId="10" borderId="3" xfId="0" applyFont="1" applyFill="1" applyBorder="1" applyAlignment="1">
      <alignment horizontal="left" vertical="center"/>
    </xf>
    <xf numFmtId="0" fontId="40" fillId="17" borderId="1" xfId="0" applyFont="1" applyFill="1" applyBorder="1" applyAlignment="1">
      <alignment horizontal="left" vertical="center"/>
    </xf>
    <xf numFmtId="0" fontId="40" fillId="17" borderId="2" xfId="0" applyFont="1" applyFill="1" applyBorder="1" applyAlignment="1">
      <alignment horizontal="left" vertical="center"/>
    </xf>
    <xf numFmtId="0" fontId="40" fillId="17" borderId="3" xfId="0" applyFont="1" applyFill="1" applyBorder="1" applyAlignment="1">
      <alignment horizontal="left" vertical="center"/>
    </xf>
    <xf numFmtId="43" fontId="7" fillId="29" borderId="1" xfId="7" applyFont="1" applyFill="1" applyBorder="1" applyAlignment="1">
      <alignment horizontal="right"/>
    </xf>
    <xf numFmtId="43" fontId="7" fillId="29" borderId="3" xfId="7" applyFont="1" applyFill="1" applyBorder="1" applyAlignment="1">
      <alignment horizontal="right"/>
    </xf>
    <xf numFmtId="0" fontId="43" fillId="26" borderId="13" xfId="0" applyFont="1" applyFill="1" applyBorder="1" applyAlignment="1">
      <alignment horizontal="center" vertical="center"/>
    </xf>
    <xf numFmtId="0" fontId="43" fillId="26" borderId="13" xfId="0" applyFont="1" applyFill="1" applyBorder="1" applyAlignment="1">
      <alignment horizontal="center"/>
    </xf>
    <xf numFmtId="0" fontId="43" fillId="26" borderId="13" xfId="0" applyFont="1" applyFill="1" applyBorder="1" applyAlignment="1">
      <alignment horizontal="center" vertical="center" wrapText="1"/>
    </xf>
    <xf numFmtId="0" fontId="51" fillId="10" borderId="13" xfId="0" applyFont="1" applyFill="1" applyBorder="1" applyAlignment="1">
      <alignment horizontal="center" vertical="center" textRotation="90"/>
    </xf>
    <xf numFmtId="0" fontId="35" fillId="10" borderId="13" xfId="0" applyFont="1" applyFill="1" applyBorder="1" applyAlignment="1">
      <alignment horizontal="left" vertical="center"/>
    </xf>
    <xf numFmtId="0" fontId="40" fillId="17" borderId="13" xfId="0" applyFont="1" applyFill="1" applyBorder="1" applyAlignment="1">
      <alignment horizontal="left" vertical="center"/>
    </xf>
    <xf numFmtId="0" fontId="43" fillId="16" borderId="0" xfId="0" applyFont="1" applyFill="1" applyAlignment="1">
      <alignment horizontal="center" vertical="center"/>
    </xf>
    <xf numFmtId="0" fontId="43" fillId="16" borderId="0" xfId="0" applyFont="1" applyFill="1" applyAlignment="1">
      <alignment horizontal="center"/>
    </xf>
    <xf numFmtId="0" fontId="43" fillId="16" borderId="0" xfId="0" applyFont="1" applyFill="1" applyAlignment="1">
      <alignment horizontal="left" vertical="center"/>
    </xf>
    <xf numFmtId="0" fontId="40" fillId="17" borderId="7" xfId="0" applyFont="1" applyFill="1" applyBorder="1" applyAlignment="1">
      <alignment horizontal="left" vertical="center"/>
    </xf>
    <xf numFmtId="0" fontId="40" fillId="17" borderId="8" xfId="0" applyFont="1" applyFill="1" applyBorder="1" applyAlignment="1">
      <alignment horizontal="left" vertical="center"/>
    </xf>
    <xf numFmtId="0" fontId="40" fillId="17" borderId="9" xfId="0" applyFont="1" applyFill="1" applyBorder="1" applyAlignment="1">
      <alignment horizontal="left" vertical="center"/>
    </xf>
    <xf numFmtId="0" fontId="51" fillId="10" borderId="6" xfId="0" applyFont="1" applyFill="1" applyBorder="1" applyAlignment="1">
      <alignment horizontal="center" vertical="center" textRotation="90"/>
    </xf>
    <xf numFmtId="0" fontId="51" fillId="10" borderId="14" xfId="0" applyFont="1" applyFill="1" applyBorder="1" applyAlignment="1">
      <alignment horizontal="center" vertical="center" textRotation="90"/>
    </xf>
    <xf numFmtId="0" fontId="35" fillId="16" borderId="0" xfId="0" applyFont="1" applyFill="1" applyAlignment="1">
      <alignment horizontal="left" wrapText="1"/>
    </xf>
    <xf numFmtId="0" fontId="35" fillId="10" borderId="10" xfId="0" applyFont="1" applyFill="1" applyBorder="1" applyAlignment="1">
      <alignment horizontal="left" vertical="center"/>
    </xf>
    <xf numFmtId="0" fontId="43" fillId="26" borderId="13" xfId="0" applyFont="1" applyFill="1" applyBorder="1" applyAlignment="1">
      <alignment horizontal="left" vertical="center"/>
    </xf>
    <xf numFmtId="0" fontId="43" fillId="26" borderId="1" xfId="0" applyFont="1" applyFill="1" applyBorder="1" applyAlignment="1">
      <alignment horizontal="center" vertical="center" wrapText="1"/>
    </xf>
    <xf numFmtId="0" fontId="43" fillId="26" borderId="2" xfId="0" applyFont="1" applyFill="1" applyBorder="1" applyAlignment="1">
      <alignment horizontal="center" vertical="center" wrapText="1"/>
    </xf>
    <xf numFmtId="0" fontId="43" fillId="26" borderId="3" xfId="0" applyFont="1" applyFill="1" applyBorder="1" applyAlignment="1">
      <alignment horizontal="center" vertical="center" wrapText="1"/>
    </xf>
    <xf numFmtId="0" fontId="43" fillId="26" borderId="6" xfId="0" applyFont="1" applyFill="1" applyBorder="1" applyAlignment="1">
      <alignment horizontal="center"/>
    </xf>
    <xf numFmtId="0" fontId="43" fillId="26" borderId="15" xfId="0" applyFont="1" applyFill="1" applyBorder="1" applyAlignment="1">
      <alignment horizontal="center"/>
    </xf>
    <xf numFmtId="0" fontId="43" fillId="26" borderId="6" xfId="0" applyFont="1" applyFill="1" applyBorder="1" applyAlignment="1">
      <alignment horizontal="center" vertical="center"/>
    </xf>
    <xf numFmtId="0" fontId="43" fillId="26" borderId="14" xfId="0" applyFont="1" applyFill="1" applyBorder="1" applyAlignment="1">
      <alignment horizontal="center" vertical="center"/>
    </xf>
    <xf numFmtId="0" fontId="43" fillId="26" borderId="15" xfId="0" applyFont="1" applyFill="1" applyBorder="1" applyAlignment="1">
      <alignment horizontal="center" vertical="center"/>
    </xf>
    <xf numFmtId="0" fontId="43" fillId="26" borderId="1" xfId="0" applyFont="1" applyFill="1" applyBorder="1" applyAlignment="1">
      <alignment horizontal="center"/>
    </xf>
    <xf numFmtId="0" fontId="43" fillId="26" borderId="2" xfId="0" applyFont="1" applyFill="1" applyBorder="1" applyAlignment="1">
      <alignment horizontal="center"/>
    </xf>
    <xf numFmtId="0" fontId="43" fillId="26" borderId="3" xfId="0" applyFont="1" applyFill="1" applyBorder="1" applyAlignment="1">
      <alignment horizontal="center"/>
    </xf>
    <xf numFmtId="43" fontId="7" fillId="29" borderId="13" xfId="7" applyFont="1" applyFill="1" applyBorder="1" applyAlignment="1">
      <alignment horizontal="center"/>
    </xf>
    <xf numFmtId="167" fontId="7" fillId="29" borderId="13" xfId="7" applyNumberFormat="1" applyFont="1" applyFill="1" applyBorder="1" applyAlignment="1">
      <alignment horizontal="right"/>
    </xf>
    <xf numFmtId="165" fontId="35" fillId="10" borderId="1" xfId="1" applyNumberFormat="1" applyFont="1" applyFill="1" applyBorder="1" applyAlignment="1">
      <alignment horizontal="center" vertical="center"/>
    </xf>
    <xf numFmtId="165" fontId="35" fillId="10" borderId="2" xfId="1" applyNumberFormat="1" applyFont="1" applyFill="1" applyBorder="1" applyAlignment="1">
      <alignment horizontal="center" vertical="center"/>
    </xf>
    <xf numFmtId="165" fontId="35" fillId="10" borderId="3" xfId="1" applyNumberFormat="1" applyFont="1" applyFill="1" applyBorder="1" applyAlignment="1">
      <alignment horizontal="center" vertical="center"/>
    </xf>
    <xf numFmtId="0" fontId="32" fillId="16" borderId="0" xfId="0" applyFont="1" applyFill="1" applyAlignment="1">
      <alignment horizontal="left" vertical="top" wrapText="1"/>
    </xf>
    <xf numFmtId="0" fontId="48" fillId="16" borderId="0" xfId="0" applyFont="1" applyFill="1" applyAlignment="1">
      <alignment horizontal="left" vertical="center" wrapText="1"/>
    </xf>
    <xf numFmtId="0" fontId="7" fillId="18" borderId="29" xfId="0" applyFont="1" applyFill="1" applyBorder="1" applyAlignment="1">
      <alignment horizontal="center" vertical="top" wrapText="1"/>
    </xf>
    <xf numFmtId="0" fontId="7" fillId="18" borderId="33" xfId="0" applyFont="1" applyFill="1" applyBorder="1" applyAlignment="1">
      <alignment horizontal="center" vertical="top" wrapText="1"/>
    </xf>
    <xf numFmtId="0" fontId="7" fillId="18" borderId="33" xfId="0" applyFont="1" applyFill="1" applyBorder="1" applyAlignment="1">
      <alignment horizontal="center" vertical="center" wrapText="1"/>
    </xf>
    <xf numFmtId="0" fontId="7" fillId="18" borderId="34" xfId="0" applyFont="1" applyFill="1" applyBorder="1" applyAlignment="1">
      <alignment horizontal="center" vertical="center" wrapText="1"/>
    </xf>
    <xf numFmtId="0" fontId="7" fillId="19" borderId="19" xfId="0" applyFont="1" applyFill="1" applyBorder="1" applyAlignment="1">
      <alignment horizontal="center" vertical="center" wrapText="1"/>
    </xf>
    <xf numFmtId="0" fontId="7" fillId="19" borderId="32" xfId="0" applyFont="1" applyFill="1" applyBorder="1" applyAlignment="1">
      <alignment horizontal="center" vertical="center" wrapText="1"/>
    </xf>
    <xf numFmtId="0" fontId="7" fillId="19" borderId="16" xfId="0" applyFont="1" applyFill="1" applyBorder="1" applyAlignment="1">
      <alignment horizontal="center" vertical="center" wrapText="1"/>
    </xf>
    <xf numFmtId="0" fontId="7" fillId="19" borderId="31" xfId="0" applyFont="1" applyFill="1" applyBorder="1" applyAlignment="1">
      <alignment horizontal="center" vertical="center" wrapText="1"/>
    </xf>
    <xf numFmtId="0" fontId="7" fillId="19" borderId="17" xfId="0" applyFont="1" applyFill="1" applyBorder="1" applyAlignment="1">
      <alignment horizontal="center" vertical="center" wrapText="1"/>
    </xf>
    <xf numFmtId="0" fontId="7" fillId="19" borderId="6" xfId="0" applyFont="1" applyFill="1" applyBorder="1" applyAlignment="1">
      <alignment horizontal="center" vertical="center" wrapText="1"/>
    </xf>
    <xf numFmtId="0" fontId="7" fillId="19" borderId="17" xfId="0" applyFont="1" applyFill="1" applyBorder="1" applyAlignment="1">
      <alignment horizontal="center" vertical="top" wrapText="1"/>
    </xf>
    <xf numFmtId="0" fontId="7" fillId="18" borderId="16" xfId="0" applyFont="1" applyFill="1" applyBorder="1" applyAlignment="1">
      <alignment horizontal="center" vertical="top" wrapText="1"/>
    </xf>
    <xf numFmtId="0" fontId="7" fillId="18" borderId="17" xfId="0" applyFont="1" applyFill="1" applyBorder="1" applyAlignment="1">
      <alignment horizontal="center" vertical="top" wrapText="1"/>
    </xf>
    <xf numFmtId="0" fontId="7" fillId="18" borderId="19" xfId="0" applyFont="1" applyFill="1" applyBorder="1" applyAlignment="1">
      <alignment horizontal="center" vertical="top" wrapText="1"/>
    </xf>
    <xf numFmtId="0" fontId="7" fillId="20" borderId="16" xfId="0" applyFont="1" applyFill="1" applyBorder="1" applyAlignment="1">
      <alignment horizontal="center" vertical="center" wrapText="1"/>
    </xf>
    <xf numFmtId="0" fontId="7" fillId="20" borderId="22" xfId="0" applyFont="1" applyFill="1" applyBorder="1" applyAlignment="1">
      <alignment horizontal="center" vertical="center" wrapText="1"/>
    </xf>
    <xf numFmtId="165" fontId="7" fillId="18" borderId="28" xfId="1" applyNumberFormat="1" applyFont="1" applyFill="1" applyBorder="1" applyAlignment="1">
      <alignment horizontal="center" vertical="center" wrapText="1"/>
    </xf>
    <xf numFmtId="165" fontId="7" fillId="18" borderId="29" xfId="1" applyNumberFormat="1" applyFont="1" applyFill="1" applyBorder="1" applyAlignment="1">
      <alignment horizontal="center" vertical="center" wrapText="1"/>
    </xf>
    <xf numFmtId="165" fontId="7" fillId="18" borderId="18" xfId="1" applyNumberFormat="1" applyFont="1" applyFill="1" applyBorder="1" applyAlignment="1">
      <alignment horizontal="center" vertical="center" wrapText="1"/>
    </xf>
    <xf numFmtId="0" fontId="7" fillId="18" borderId="30" xfId="0" applyFont="1" applyFill="1" applyBorder="1" applyAlignment="1">
      <alignment horizontal="center" vertical="top" wrapText="1"/>
    </xf>
    <xf numFmtId="0" fontId="7" fillId="18" borderId="37" xfId="0" applyFont="1" applyFill="1" applyBorder="1" applyAlignment="1">
      <alignment horizontal="center" vertical="top" wrapText="1"/>
    </xf>
    <xf numFmtId="0" fontId="7" fillId="20" borderId="17" xfId="0" applyFont="1" applyFill="1" applyBorder="1" applyAlignment="1">
      <alignment horizontal="center" vertical="center" wrapText="1"/>
    </xf>
    <xf numFmtId="0" fontId="7" fillId="20" borderId="23"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7" fillId="20" borderId="24" xfId="0" applyFont="1" applyFill="1" applyBorder="1" applyAlignment="1">
      <alignment horizontal="center" vertical="center" wrapText="1"/>
    </xf>
    <xf numFmtId="0" fontId="7" fillId="18" borderId="19" xfId="0" applyFont="1" applyFill="1" applyBorder="1" applyAlignment="1">
      <alignment horizontal="center" vertical="center" wrapText="1"/>
    </xf>
    <xf numFmtId="0" fontId="7" fillId="18" borderId="24" xfId="0" applyFont="1" applyFill="1" applyBorder="1" applyAlignment="1">
      <alignment horizontal="center" vertical="center" wrapText="1"/>
    </xf>
    <xf numFmtId="0" fontId="31" fillId="19" borderId="19" xfId="0" applyFont="1" applyFill="1" applyBorder="1" applyAlignment="1">
      <alignment horizontal="center" vertical="center" wrapText="1"/>
    </xf>
    <xf numFmtId="0" fontId="31" fillId="19" borderId="32" xfId="0" applyFont="1" applyFill="1" applyBorder="1" applyAlignment="1">
      <alignment horizontal="center" vertical="center" wrapText="1"/>
    </xf>
    <xf numFmtId="0" fontId="31" fillId="19" borderId="17" xfId="0" applyFont="1" applyFill="1" applyBorder="1" applyAlignment="1">
      <alignment horizontal="center" vertical="center" wrapText="1"/>
    </xf>
    <xf numFmtId="0" fontId="31" fillId="19" borderId="6" xfId="0" applyFont="1" applyFill="1" applyBorder="1" applyAlignment="1">
      <alignment horizontal="center" vertical="center" wrapText="1"/>
    </xf>
    <xf numFmtId="0" fontId="31" fillId="19" borderId="17" xfId="0" applyFont="1" applyFill="1" applyBorder="1" applyAlignment="1">
      <alignment horizontal="center" vertical="top" wrapText="1"/>
    </xf>
    <xf numFmtId="165" fontId="7" fillId="18" borderId="17" xfId="1" applyNumberFormat="1" applyFont="1" applyFill="1" applyBorder="1" applyAlignment="1">
      <alignment horizontal="center" vertical="center" wrapText="1"/>
    </xf>
    <xf numFmtId="0" fontId="7" fillId="18" borderId="23" xfId="0" applyFont="1" applyFill="1" applyBorder="1" applyAlignment="1">
      <alignment horizontal="center" vertical="top" wrapText="1"/>
    </xf>
    <xf numFmtId="0" fontId="7" fillId="18" borderId="29" xfId="0" applyFont="1" applyFill="1" applyBorder="1" applyAlignment="1">
      <alignment horizontal="center" vertical="center" wrapText="1"/>
    </xf>
    <xf numFmtId="0" fontId="7" fillId="18" borderId="18" xfId="0" applyFont="1" applyFill="1" applyBorder="1" applyAlignment="1">
      <alignment horizontal="center" vertical="center" wrapText="1"/>
    </xf>
    <xf numFmtId="0" fontId="7" fillId="18" borderId="40" xfId="0" applyFont="1" applyFill="1" applyBorder="1" applyAlignment="1">
      <alignment horizontal="center" vertical="center" wrapText="1"/>
    </xf>
    <xf numFmtId="0" fontId="7" fillId="18" borderId="41" xfId="0" applyFont="1" applyFill="1" applyBorder="1" applyAlignment="1">
      <alignment horizontal="center" vertical="center" wrapText="1"/>
    </xf>
    <xf numFmtId="0" fontId="31" fillId="19" borderId="40" xfId="0" applyFont="1" applyFill="1" applyBorder="1" applyAlignment="1">
      <alignment horizontal="center" vertical="center" wrapText="1"/>
    </xf>
    <xf numFmtId="0" fontId="31" fillId="19" borderId="41" xfId="0" applyFont="1" applyFill="1" applyBorder="1" applyAlignment="1">
      <alignment horizontal="center" vertical="center" wrapText="1"/>
    </xf>
    <xf numFmtId="0" fontId="7" fillId="19" borderId="44"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31" fillId="19" borderId="42" xfId="0" applyFont="1" applyFill="1" applyBorder="1" applyAlignment="1">
      <alignment horizontal="center" vertical="center" wrapText="1"/>
    </xf>
    <xf numFmtId="0" fontId="31" fillId="19" borderId="43" xfId="0" applyFont="1" applyFill="1" applyBorder="1" applyAlignment="1">
      <alignment horizontal="center" vertical="center" wrapText="1"/>
    </xf>
    <xf numFmtId="0" fontId="31" fillId="19" borderId="30" xfId="0" applyFont="1" applyFill="1" applyBorder="1" applyAlignment="1">
      <alignment horizontal="center" vertical="top" wrapText="1"/>
    </xf>
    <xf numFmtId="0" fontId="31" fillId="19" borderId="29" xfId="0" applyFont="1" applyFill="1" applyBorder="1" applyAlignment="1">
      <alignment horizontal="center" vertical="top" wrapText="1"/>
    </xf>
    <xf numFmtId="0" fontId="31" fillId="19" borderId="18" xfId="0" applyFont="1" applyFill="1" applyBorder="1" applyAlignment="1">
      <alignment horizontal="center" vertical="top" wrapText="1"/>
    </xf>
    <xf numFmtId="0" fontId="7" fillId="18" borderId="28" xfId="0" applyFont="1" applyFill="1" applyBorder="1" applyAlignment="1">
      <alignment horizontal="center" vertical="center" wrapText="1"/>
    </xf>
    <xf numFmtId="0" fontId="7" fillId="20" borderId="44" xfId="0" applyFont="1" applyFill="1" applyBorder="1" applyAlignment="1">
      <alignment horizontal="left" vertical="center" wrapText="1"/>
    </xf>
    <xf numFmtId="0" fontId="7" fillId="20" borderId="45" xfId="0" applyFont="1" applyFill="1" applyBorder="1" applyAlignment="1">
      <alignment horizontal="left" vertical="center" wrapText="1"/>
    </xf>
    <xf numFmtId="0" fontId="7" fillId="20" borderId="42" xfId="0" applyFont="1" applyFill="1" applyBorder="1" applyAlignment="1">
      <alignment horizontal="center" vertical="center" wrapText="1"/>
    </xf>
    <xf numFmtId="0" fontId="7" fillId="20" borderId="43" xfId="0" applyFont="1" applyFill="1" applyBorder="1" applyAlignment="1">
      <alignment horizontal="center" vertical="center" wrapText="1"/>
    </xf>
    <xf numFmtId="0" fontId="7" fillId="18" borderId="51" xfId="0" applyFont="1" applyFill="1" applyBorder="1" applyAlignment="1">
      <alignment horizontal="center" vertical="center" wrapText="1"/>
    </xf>
    <xf numFmtId="0" fontId="7" fillId="18" borderId="52" xfId="0" applyFont="1" applyFill="1" applyBorder="1" applyAlignment="1">
      <alignment horizontal="center" vertical="center" wrapText="1"/>
    </xf>
    <xf numFmtId="0" fontId="7" fillId="20" borderId="40" xfId="0" applyFont="1" applyFill="1" applyBorder="1" applyAlignment="1">
      <alignment horizontal="center" vertical="center" wrapText="1"/>
    </xf>
    <xf numFmtId="0" fontId="7" fillId="20" borderId="41" xfId="0" applyFont="1" applyFill="1" applyBorder="1" applyAlignment="1">
      <alignment horizontal="center" vertical="center" wrapText="1"/>
    </xf>
    <xf numFmtId="0" fontId="7" fillId="18" borderId="17" xfId="0" applyFont="1" applyFill="1" applyBorder="1" applyAlignment="1">
      <alignment horizontal="center" vertical="center" wrapText="1"/>
    </xf>
    <xf numFmtId="0" fontId="31" fillId="6" borderId="19" xfId="0" applyFont="1" applyFill="1" applyBorder="1" applyAlignment="1">
      <alignment horizontal="center" vertical="center" wrapText="1"/>
    </xf>
    <xf numFmtId="0" fontId="31" fillId="6" borderId="32" xfId="0" applyFont="1" applyFill="1" applyBorder="1" applyAlignment="1">
      <alignment horizontal="center" vertical="center" wrapText="1"/>
    </xf>
    <xf numFmtId="0" fontId="31" fillId="6" borderId="17" xfId="0" applyFont="1" applyFill="1" applyBorder="1" applyAlignment="1">
      <alignment horizontal="center" vertical="center" wrapText="1"/>
    </xf>
    <xf numFmtId="0" fontId="31" fillId="6" borderId="6" xfId="0" applyFont="1" applyFill="1" applyBorder="1" applyAlignment="1">
      <alignment horizontal="center" vertical="center" wrapText="1"/>
    </xf>
    <xf numFmtId="0" fontId="31" fillId="6" borderId="17" xfId="0" applyFont="1" applyFill="1" applyBorder="1" applyAlignment="1">
      <alignment horizontal="center" vertical="top" wrapText="1"/>
    </xf>
    <xf numFmtId="0" fontId="7" fillId="18" borderId="16" xfId="0" applyFont="1" applyFill="1" applyBorder="1" applyAlignment="1">
      <alignment horizontal="center" vertical="center" wrapText="1"/>
    </xf>
    <xf numFmtId="0" fontId="7" fillId="20" borderId="16" xfId="0" applyFont="1" applyFill="1" applyBorder="1" applyAlignment="1">
      <alignment horizontal="left" vertical="center" wrapText="1"/>
    </xf>
    <xf numFmtId="0" fontId="7" fillId="20" borderId="22" xfId="0" applyFont="1" applyFill="1" applyBorder="1" applyAlignment="1">
      <alignment horizontal="left" vertical="center" wrapText="1"/>
    </xf>
    <xf numFmtId="0" fontId="7" fillId="18" borderId="30" xfId="0" applyFont="1" applyFill="1" applyBorder="1" applyAlignment="1">
      <alignment horizontal="center" vertical="center" wrapText="1"/>
    </xf>
    <xf numFmtId="0" fontId="7" fillId="18" borderId="37" xfId="0" applyFont="1" applyFill="1" applyBorder="1" applyAlignment="1">
      <alignment horizontal="center" vertical="center" wrapText="1"/>
    </xf>
    <xf numFmtId="0" fontId="31" fillId="6" borderId="24" xfId="0" applyFont="1" applyFill="1" applyBorder="1" applyAlignment="1">
      <alignment horizontal="center" vertical="center" wrapText="1"/>
    </xf>
    <xf numFmtId="0" fontId="7" fillId="19" borderId="22" xfId="0" applyFont="1" applyFill="1" applyBorder="1" applyAlignment="1">
      <alignment horizontal="center" vertical="center" wrapText="1"/>
    </xf>
    <xf numFmtId="0" fontId="31" fillId="6" borderId="23" xfId="0" applyFont="1" applyFill="1" applyBorder="1" applyAlignment="1">
      <alignment horizontal="center" vertical="center" wrapText="1"/>
    </xf>
    <xf numFmtId="0" fontId="7" fillId="18" borderId="23" xfId="0" applyFont="1" applyFill="1" applyBorder="1" applyAlignment="1">
      <alignment horizontal="center" vertical="center" wrapText="1"/>
    </xf>
    <xf numFmtId="0" fontId="10" fillId="16" borderId="0" xfId="0" applyFont="1" applyFill="1" applyAlignment="1">
      <alignment horizontal="left" vertical="top" wrapText="1"/>
    </xf>
    <xf numFmtId="0" fontId="11" fillId="0" borderId="0" xfId="2" quotePrefix="1" applyFont="1" applyAlignment="1">
      <alignment horizontal="left" vertical="top" wrapText="1"/>
    </xf>
    <xf numFmtId="0" fontId="32" fillId="0" borderId="0" xfId="3" applyFont="1" applyAlignment="1">
      <alignment horizontal="left"/>
    </xf>
    <xf numFmtId="0" fontId="31" fillId="0" borderId="0" xfId="3" applyFont="1" applyAlignment="1">
      <alignment horizontal="center"/>
    </xf>
    <xf numFmtId="0" fontId="6" fillId="0" borderId="0" xfId="5" applyBorder="1" applyAlignment="1" applyProtection="1">
      <alignment horizontal="left" vertical="top" wrapText="1"/>
    </xf>
    <xf numFmtId="0" fontId="4" fillId="0" borderId="0" xfId="0" applyFont="1" applyAlignment="1">
      <alignment horizontal="left" vertical="top" wrapText="1"/>
    </xf>
    <xf numFmtId="0" fontId="62" fillId="0" borderId="0" xfId="0" applyFont="1" applyAlignment="1">
      <alignment horizontal="left" vertical="top" wrapText="1"/>
    </xf>
    <xf numFmtId="49" fontId="62" fillId="0" borderId="0" xfId="0" applyNumberFormat="1" applyFont="1" applyAlignment="1">
      <alignment horizontal="left" vertical="top" wrapText="1"/>
    </xf>
    <xf numFmtId="0" fontId="8" fillId="29" borderId="0" xfId="0" applyFont="1" applyFill="1" applyAlignment="1">
      <alignment horizontal="left" wrapText="1"/>
    </xf>
    <xf numFmtId="0" fontId="7" fillId="29" borderId="0" xfId="0" applyFont="1" applyFill="1" applyAlignment="1">
      <alignment horizontal="center" vertical="center" wrapText="1"/>
    </xf>
    <xf numFmtId="0" fontId="31" fillId="29" borderId="5" xfId="0" applyFont="1" applyFill="1" applyBorder="1" applyAlignment="1">
      <alignment horizontal="center" vertical="center" wrapText="1"/>
    </xf>
    <xf numFmtId="0" fontId="31" fillId="29" borderId="12" xfId="0" applyFont="1" applyFill="1" applyBorder="1" applyAlignment="1">
      <alignment horizontal="center" vertical="center" wrapText="1"/>
    </xf>
    <xf numFmtId="0" fontId="20" fillId="0" borderId="0" xfId="0" applyFont="1" applyAlignment="1">
      <alignment horizontal="left" vertical="center"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center" vertical="center" wrapText="1"/>
    </xf>
    <xf numFmtId="0" fontId="16" fillId="8" borderId="0" xfId="0" applyFont="1" applyFill="1" applyAlignment="1">
      <alignment horizontal="center"/>
    </xf>
    <xf numFmtId="0" fontId="2" fillId="0" borderId="0" xfId="0" applyFont="1" applyAlignment="1">
      <alignment horizontal="center"/>
    </xf>
  </cellXfs>
  <cellStyles count="15">
    <cellStyle name="20% - Accent3" xfId="14" builtinId="38"/>
    <cellStyle name="Bad" xfId="6" builtinId="27"/>
    <cellStyle name="Comma" xfId="7" builtinId="3"/>
    <cellStyle name="Comma 2" xfId="4" xr:uid="{BD1D446B-2AE9-4E7C-9B8E-00428B077F91}"/>
    <cellStyle name="Currency" xfId="1" builtinId="4"/>
    <cellStyle name="Good" xfId="13" builtinId="26"/>
    <cellStyle name="Heading 3" xfId="12" builtinId="18"/>
    <cellStyle name="Hyperlink" xfId="2" builtinId="8"/>
    <cellStyle name="Hyperlink 2" xfId="5" xr:uid="{138A6702-BD1A-439A-8FAE-81E151A118C8}"/>
    <cellStyle name="Neutral" xfId="9" builtinId="28"/>
    <cellStyle name="Normal" xfId="0" builtinId="0"/>
    <cellStyle name="Normal 2" xfId="3" xr:uid="{B5084F63-89A8-4593-8BE9-2F828A4403C2}"/>
    <cellStyle name="Normal 3" xfId="10" xr:uid="{0316E271-3360-4056-B9A9-218FFED840A3}"/>
    <cellStyle name="Percent" xfId="8" builtinId="5"/>
    <cellStyle name="Title" xfId="11" builtinId="15"/>
  </cellStyles>
  <dxfs count="9">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colors>
    <mruColors>
      <color rgb="FFFF5050"/>
      <color rgb="FFFFFFFF"/>
      <color rgb="FF990000"/>
      <color rgb="FFEB0000"/>
      <color rgb="FF5D7992"/>
      <color rgb="FF8497B0"/>
      <color rgb="FF008577"/>
      <color rgb="FF0085B3"/>
      <color rgb="FF00859E"/>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Part 1 - Social cost-benefit'!A1"/><Relationship Id="rId2" Type="http://schemas.openxmlformats.org/officeDocument/2006/relationships/hyperlink" Target="#'Front sheet'!_GoBack"/><Relationship Id="rId1" Type="http://schemas.openxmlformats.org/officeDocument/2006/relationships/image" Target="../media/image1.png"/><Relationship Id="rId5" Type="http://schemas.openxmlformats.org/officeDocument/2006/relationships/hyperlink" Target="#'Part 3 - Annexes'!A1"/><Relationship Id="rId4" Type="http://schemas.openxmlformats.org/officeDocument/2006/relationships/hyperlink" Target="#'Part 2 - UC database'!A1"/></Relationships>
</file>

<file path=xl/drawings/_rels/drawing2.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3.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hyperlink" Target="#'Part 3 - Annexes'!A1"/><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hyperlink" Target="#'Part 2 - UC database'!A1"/><Relationship Id="rId5" Type="http://schemas.openxmlformats.org/officeDocument/2006/relationships/image" Target="../media/image6.png"/><Relationship Id="rId10" Type="http://schemas.openxmlformats.org/officeDocument/2006/relationships/hyperlink" Target="#'Part 1 - Social cost-benefit'!A1"/><Relationship Id="rId4" Type="http://schemas.openxmlformats.org/officeDocument/2006/relationships/image" Target="../media/image5.png"/><Relationship Id="rId9" Type="http://schemas.openxmlformats.org/officeDocument/2006/relationships/hyperlink" Target="#'Front sheet'!_GoBack"/></Relationships>
</file>

<file path=xl/drawings/_rels/drawing5.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6.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7.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8.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9.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0.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1.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2.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3.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4.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5.xml.rels><?xml version="1.0" encoding="UTF-8" standalone="yes"?>
<Relationships xmlns="http://schemas.openxmlformats.org/package/2006/relationships"><Relationship Id="rId3" Type="http://schemas.openxmlformats.org/officeDocument/2006/relationships/hyperlink" Target="#'Part 2 - UC database'!A1"/><Relationship Id="rId2" Type="http://schemas.openxmlformats.org/officeDocument/2006/relationships/hyperlink" Target="#'Part 1 - Social cost-benefit'!A1"/><Relationship Id="rId1" Type="http://schemas.openxmlformats.org/officeDocument/2006/relationships/hyperlink" Target="#'Front sheet'!_GoBack"/><Relationship Id="rId4" Type="http://schemas.openxmlformats.org/officeDocument/2006/relationships/hyperlink" Target="#'Part 3 - Annexes'!A1"/></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2</xdr:col>
      <xdr:colOff>0</xdr:colOff>
      <xdr:row>1</xdr:row>
      <xdr:rowOff>57150</xdr:rowOff>
    </xdr:from>
    <xdr:ext cx="2335941" cy="1047750"/>
    <xdr:pic>
      <xdr:nvPicPr>
        <xdr:cNvPr id="2" name="Picture 1">
          <a:extLst>
            <a:ext uri="{FF2B5EF4-FFF2-40B4-BE49-F238E27FC236}">
              <a16:creationId xmlns:a16="http://schemas.microsoft.com/office/drawing/2014/main" id="{88426E3D-CFAA-411D-96E8-D416142D7F9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878" t="20881"/>
        <a:stretch/>
      </xdr:blipFill>
      <xdr:spPr>
        <a:xfrm>
          <a:off x="2028824" y="247650"/>
          <a:ext cx="2335941" cy="1047750"/>
        </a:xfrm>
        <a:prstGeom prst="rect">
          <a:avLst/>
        </a:prstGeom>
      </xdr:spPr>
    </xdr:pic>
    <xdr:clientData/>
  </xdr:oneCellAnchor>
  <xdr:twoCellAnchor>
    <xdr:from>
      <xdr:col>0</xdr:col>
      <xdr:colOff>139066</xdr:colOff>
      <xdr:row>0</xdr:row>
      <xdr:rowOff>167641</xdr:rowOff>
    </xdr:from>
    <xdr:to>
      <xdr:col>0</xdr:col>
      <xdr:colOff>2162176</xdr:colOff>
      <xdr:row>7</xdr:row>
      <xdr:rowOff>38101</xdr:rowOff>
    </xdr:to>
    <xdr:grpSp>
      <xdr:nvGrpSpPr>
        <xdr:cNvPr id="3" name="Group 2">
          <a:extLst>
            <a:ext uri="{FF2B5EF4-FFF2-40B4-BE49-F238E27FC236}">
              <a16:creationId xmlns:a16="http://schemas.microsoft.com/office/drawing/2014/main" id="{B36F7B05-FBEB-491F-B7D2-A78B50FCF6FB}"/>
            </a:ext>
          </a:extLst>
        </xdr:cNvPr>
        <xdr:cNvGrpSpPr/>
      </xdr:nvGrpSpPr>
      <xdr:grpSpPr>
        <a:xfrm>
          <a:off x="139066" y="167641"/>
          <a:ext cx="2023110" cy="1642110"/>
          <a:chOff x="139065" y="491490"/>
          <a:chExt cx="1819275" cy="2357467"/>
        </a:xfrm>
      </xdr:grpSpPr>
      <xdr:sp macro="" textlink="">
        <xdr:nvSpPr>
          <xdr:cNvPr id="8" name="Rounded Rectangle 10">
            <a:hlinkClick xmlns:r="http://schemas.openxmlformats.org/officeDocument/2006/relationships" r:id="rId2"/>
            <a:extLst>
              <a:ext uri="{FF2B5EF4-FFF2-40B4-BE49-F238E27FC236}">
                <a16:creationId xmlns:a16="http://schemas.microsoft.com/office/drawing/2014/main" id="{7218FB9D-C955-4C4C-BFB4-BC7578014B29}"/>
              </a:ext>
            </a:extLst>
          </xdr:cNvPr>
          <xdr:cNvSpPr/>
        </xdr:nvSpPr>
        <xdr:spPr>
          <a:xfrm>
            <a:off x="139065" y="491490"/>
            <a:ext cx="1232150" cy="430547"/>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8002E"/>
                </a:solidFill>
                <a:latin typeface="Arial" panose="020B0604020202020204" pitchFamily="34" charset="0"/>
                <a:cs typeface="Arial" panose="020B0604020202020204" pitchFamily="34" charset="0"/>
              </a:rPr>
              <a:t>Front</a:t>
            </a:r>
            <a:r>
              <a:rPr lang="en-GB" sz="1100" b="1" baseline="0">
                <a:solidFill>
                  <a:srgbClr val="98002E"/>
                </a:solidFill>
                <a:latin typeface="Arial" panose="020B0604020202020204" pitchFamily="34" charset="0"/>
                <a:cs typeface="Arial" panose="020B0604020202020204" pitchFamily="34" charset="0"/>
              </a:rPr>
              <a:t> sheet</a:t>
            </a:r>
            <a:endParaRPr lang="en-GB" sz="1100" b="1">
              <a:solidFill>
                <a:srgbClr val="98002E"/>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3"/>
            <a:extLst>
              <a:ext uri="{FF2B5EF4-FFF2-40B4-BE49-F238E27FC236}">
                <a16:creationId xmlns:a16="http://schemas.microsoft.com/office/drawing/2014/main" id="{3DA45561-D741-467E-BADE-ADC10838787A}"/>
              </a:ext>
            </a:extLst>
          </xdr:cNvPr>
          <xdr:cNvSpPr/>
        </xdr:nvSpPr>
        <xdr:spPr>
          <a:xfrm>
            <a:off x="152224" y="1073215"/>
            <a:ext cx="1806116" cy="461198"/>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 Social cost-benefit</a:t>
            </a:r>
          </a:p>
        </xdr:txBody>
      </xdr:sp>
      <xdr:sp macro="" textlink="">
        <xdr:nvSpPr>
          <xdr:cNvPr id="10" name="Rounded Rectangle 20">
            <a:hlinkClick xmlns:r="http://schemas.openxmlformats.org/officeDocument/2006/relationships" r:id="rId4"/>
            <a:extLst>
              <a:ext uri="{FF2B5EF4-FFF2-40B4-BE49-F238E27FC236}">
                <a16:creationId xmlns:a16="http://schemas.microsoft.com/office/drawing/2014/main" id="{F6C7C1F8-61FD-4E8C-9BDF-DD005F6396F8}"/>
              </a:ext>
            </a:extLst>
          </xdr:cNvPr>
          <xdr:cNvSpPr/>
        </xdr:nvSpPr>
        <xdr:spPr>
          <a:xfrm>
            <a:off x="150812" y="1716157"/>
            <a:ext cx="1807528" cy="465008"/>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 cost database</a:t>
            </a: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5"/>
            <a:extLst>
              <a:ext uri="{FF2B5EF4-FFF2-40B4-BE49-F238E27FC236}">
                <a16:creationId xmlns:a16="http://schemas.microsoft.com/office/drawing/2014/main" id="{AB104E7A-9B14-433F-82B0-66C9D8F5C560}"/>
              </a:ext>
            </a:extLst>
          </xdr:cNvPr>
          <xdr:cNvSpPr/>
        </xdr:nvSpPr>
        <xdr:spPr>
          <a:xfrm>
            <a:off x="150811" y="2374424"/>
            <a:ext cx="1803718" cy="474533"/>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131445</xdr:colOff>
      <xdr:row>1</xdr:row>
      <xdr:rowOff>15517</xdr:rowOff>
    </xdr:from>
    <xdr:to>
      <xdr:col>0</xdr:col>
      <xdr:colOff>2286341</xdr:colOff>
      <xdr:row>4</xdr:row>
      <xdr:rowOff>609600</xdr:rowOff>
    </xdr:to>
    <xdr:grpSp>
      <xdr:nvGrpSpPr>
        <xdr:cNvPr id="7" name="Group 6">
          <a:extLst>
            <a:ext uri="{FF2B5EF4-FFF2-40B4-BE49-F238E27FC236}">
              <a16:creationId xmlns:a16="http://schemas.microsoft.com/office/drawing/2014/main" id="{FF3D73D9-0A55-4841-B59D-33690370DD24}"/>
            </a:ext>
          </a:extLst>
        </xdr:cNvPr>
        <xdr:cNvGrpSpPr/>
      </xdr:nvGrpSpPr>
      <xdr:grpSpPr>
        <a:xfrm>
          <a:off x="131445" y="198397"/>
          <a:ext cx="2154896" cy="1839953"/>
          <a:chOff x="131445" y="196492"/>
          <a:chExt cx="2154896" cy="1832333"/>
        </a:xfrm>
      </xdr:grpSpPr>
      <xdr:sp macro="" textlink="">
        <xdr:nvSpPr>
          <xdr:cNvPr id="3" name="Rounded Rectangle 10">
            <a:hlinkClick xmlns:r="http://schemas.openxmlformats.org/officeDocument/2006/relationships" r:id="rId1"/>
            <a:extLst>
              <a:ext uri="{FF2B5EF4-FFF2-40B4-BE49-F238E27FC236}">
                <a16:creationId xmlns:a16="http://schemas.microsoft.com/office/drawing/2014/main" id="{94EB9A39-2C4C-452C-953C-2835553D8FEB}"/>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4" name="Rounded Rectangle 11">
            <a:hlinkClick xmlns:r="http://schemas.openxmlformats.org/officeDocument/2006/relationships" r:id="rId2"/>
            <a:extLst>
              <a:ext uri="{FF2B5EF4-FFF2-40B4-BE49-F238E27FC236}">
                <a16:creationId xmlns:a16="http://schemas.microsoft.com/office/drawing/2014/main" id="{B186AABC-0361-40F6-A497-4C0832BA7390}"/>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8002E"/>
                </a:solidFill>
                <a:latin typeface="Arial" panose="020B0604020202020204" pitchFamily="34" charset="0"/>
                <a:cs typeface="Arial" panose="020B0604020202020204" pitchFamily="34" charset="0"/>
              </a:rPr>
              <a:t>Part 1:</a:t>
            </a:r>
            <a:r>
              <a:rPr lang="en-GB" sz="1100" b="1" baseline="0">
                <a:solidFill>
                  <a:srgbClr val="98002E"/>
                </a:solidFill>
                <a:latin typeface="Arial" panose="020B0604020202020204" pitchFamily="34" charset="0"/>
                <a:cs typeface="Arial" panose="020B0604020202020204" pitchFamily="34" charset="0"/>
              </a:rPr>
              <a:t> Social cost-benefit</a:t>
            </a:r>
            <a:endParaRPr lang="en-GB" sz="1100" b="1">
              <a:solidFill>
                <a:srgbClr val="98002E"/>
              </a:solidFill>
              <a:latin typeface="Arial" panose="020B0604020202020204" pitchFamily="34" charset="0"/>
              <a:cs typeface="Arial" panose="020B0604020202020204" pitchFamily="34" charset="0"/>
            </a:endParaRPr>
          </a:p>
        </xdr:txBody>
      </xdr:sp>
      <xdr:sp macro="" textlink="">
        <xdr:nvSpPr>
          <xdr:cNvPr id="5" name="Rounded Rectangle 20">
            <a:hlinkClick xmlns:r="http://schemas.openxmlformats.org/officeDocument/2006/relationships" r:id="rId3"/>
            <a:extLst>
              <a:ext uri="{FF2B5EF4-FFF2-40B4-BE49-F238E27FC236}">
                <a16:creationId xmlns:a16="http://schemas.microsoft.com/office/drawing/2014/main" id="{57C7A7AE-B8B3-49A0-A8D4-6E1402F6F2CA}"/>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6" name="Rounded Rectangle 21">
            <a:hlinkClick xmlns:r="http://schemas.openxmlformats.org/officeDocument/2006/relationships" r:id="rId4"/>
            <a:extLst>
              <a:ext uri="{FF2B5EF4-FFF2-40B4-BE49-F238E27FC236}">
                <a16:creationId xmlns:a16="http://schemas.microsoft.com/office/drawing/2014/main" id="{FF1ED81D-0B90-4144-9EBD-262425628ADD}"/>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131445</xdr:colOff>
      <xdr:row>1</xdr:row>
      <xdr:rowOff>15517</xdr:rowOff>
    </xdr:from>
    <xdr:to>
      <xdr:col>0</xdr:col>
      <xdr:colOff>2247900</xdr:colOff>
      <xdr:row>5</xdr:row>
      <xdr:rowOff>0</xdr:rowOff>
    </xdr:to>
    <xdr:grpSp>
      <xdr:nvGrpSpPr>
        <xdr:cNvPr id="2" name="Group 1">
          <a:extLst>
            <a:ext uri="{FF2B5EF4-FFF2-40B4-BE49-F238E27FC236}">
              <a16:creationId xmlns:a16="http://schemas.microsoft.com/office/drawing/2014/main" id="{DD593500-45A7-482C-9BF0-3EF121BAFE11}"/>
            </a:ext>
          </a:extLst>
        </xdr:cNvPr>
        <xdr:cNvGrpSpPr/>
      </xdr:nvGrpSpPr>
      <xdr:grpSpPr>
        <a:xfrm>
          <a:off x="131445" y="198397"/>
          <a:ext cx="2116455" cy="1588493"/>
          <a:chOff x="131445" y="196492"/>
          <a:chExt cx="2154896" cy="1832333"/>
        </a:xfrm>
      </xdr:grpSpPr>
      <xdr:sp macro="" textlink="">
        <xdr:nvSpPr>
          <xdr:cNvPr id="3" name="Rounded Rectangle 10">
            <a:hlinkClick xmlns:r="http://schemas.openxmlformats.org/officeDocument/2006/relationships" r:id="rId1"/>
            <a:extLst>
              <a:ext uri="{FF2B5EF4-FFF2-40B4-BE49-F238E27FC236}">
                <a16:creationId xmlns:a16="http://schemas.microsoft.com/office/drawing/2014/main" id="{659040B3-0F7A-47F1-8085-5EF8BFFE4AA0}"/>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4" name="Rounded Rectangle 11">
            <a:hlinkClick xmlns:r="http://schemas.openxmlformats.org/officeDocument/2006/relationships" r:id="rId2"/>
            <a:extLst>
              <a:ext uri="{FF2B5EF4-FFF2-40B4-BE49-F238E27FC236}">
                <a16:creationId xmlns:a16="http://schemas.microsoft.com/office/drawing/2014/main" id="{DD6119EC-682F-4EB6-8131-C2F6B4C9340D}"/>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8002E"/>
                </a:solidFill>
                <a:latin typeface="Arial" panose="020B0604020202020204" pitchFamily="34" charset="0"/>
                <a:cs typeface="Arial" panose="020B0604020202020204" pitchFamily="34" charset="0"/>
              </a:rPr>
              <a:t>Part 1:</a:t>
            </a:r>
            <a:r>
              <a:rPr lang="en-GB" sz="1100" b="1" baseline="0">
                <a:solidFill>
                  <a:srgbClr val="98002E"/>
                </a:solidFill>
                <a:latin typeface="Arial" panose="020B0604020202020204" pitchFamily="34" charset="0"/>
                <a:cs typeface="Arial" panose="020B0604020202020204" pitchFamily="34" charset="0"/>
              </a:rPr>
              <a:t> Social cost-benefit</a:t>
            </a:r>
            <a:endParaRPr lang="en-GB" sz="1100" b="1">
              <a:solidFill>
                <a:srgbClr val="98002E"/>
              </a:solidFill>
              <a:latin typeface="Arial" panose="020B0604020202020204" pitchFamily="34" charset="0"/>
              <a:cs typeface="Arial" panose="020B0604020202020204" pitchFamily="34" charset="0"/>
            </a:endParaRPr>
          </a:p>
        </xdr:txBody>
      </xdr:sp>
      <xdr:sp macro="" textlink="">
        <xdr:nvSpPr>
          <xdr:cNvPr id="5" name="Rounded Rectangle 20">
            <a:hlinkClick xmlns:r="http://schemas.openxmlformats.org/officeDocument/2006/relationships" r:id="rId3"/>
            <a:extLst>
              <a:ext uri="{FF2B5EF4-FFF2-40B4-BE49-F238E27FC236}">
                <a16:creationId xmlns:a16="http://schemas.microsoft.com/office/drawing/2014/main" id="{2842AAB9-E962-4751-BD06-D85747C245F7}"/>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6" name="Rounded Rectangle 21">
            <a:hlinkClick xmlns:r="http://schemas.openxmlformats.org/officeDocument/2006/relationships" r:id="rId4"/>
            <a:extLst>
              <a:ext uri="{FF2B5EF4-FFF2-40B4-BE49-F238E27FC236}">
                <a16:creationId xmlns:a16="http://schemas.microsoft.com/office/drawing/2014/main" id="{52EA1935-1574-4C8E-A500-1F30EB1FCE67}"/>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114299</xdr:colOff>
      <xdr:row>7</xdr:row>
      <xdr:rowOff>66674</xdr:rowOff>
    </xdr:from>
    <xdr:to>
      <xdr:col>7</xdr:col>
      <xdr:colOff>228971</xdr:colOff>
      <xdr:row>28</xdr:row>
      <xdr:rowOff>46376</xdr:rowOff>
    </xdr:to>
    <xdr:pic>
      <xdr:nvPicPr>
        <xdr:cNvPr id="7" name="Picture 6">
          <a:extLst>
            <a:ext uri="{FF2B5EF4-FFF2-40B4-BE49-F238E27FC236}">
              <a16:creationId xmlns:a16="http://schemas.microsoft.com/office/drawing/2014/main" id="{6F2E2F93-3F65-4F9A-9280-7D75E6BE1DAA}"/>
            </a:ext>
          </a:extLst>
        </xdr:cNvPr>
        <xdr:cNvPicPr>
          <a:picLocks noChangeAspect="1"/>
        </xdr:cNvPicPr>
      </xdr:nvPicPr>
      <xdr:blipFill>
        <a:blip xmlns:r="http://schemas.openxmlformats.org/officeDocument/2006/relationships" r:embed="rId1"/>
        <a:stretch>
          <a:fillRect/>
        </a:stretch>
      </xdr:blipFill>
      <xdr:spPr>
        <a:xfrm>
          <a:off x="2562224" y="1628774"/>
          <a:ext cx="5591175" cy="4193381"/>
        </a:xfrm>
        <a:prstGeom prst="rect">
          <a:avLst/>
        </a:prstGeom>
      </xdr:spPr>
    </xdr:pic>
    <xdr:clientData/>
  </xdr:twoCellAnchor>
  <xdr:twoCellAnchor editAs="oneCell">
    <xdr:from>
      <xdr:col>7</xdr:col>
      <xdr:colOff>672353</xdr:colOff>
      <xdr:row>7</xdr:row>
      <xdr:rowOff>90767</xdr:rowOff>
    </xdr:from>
    <xdr:to>
      <xdr:col>13</xdr:col>
      <xdr:colOff>376518</xdr:colOff>
      <xdr:row>28</xdr:row>
      <xdr:rowOff>84757</xdr:rowOff>
    </xdr:to>
    <xdr:pic>
      <xdr:nvPicPr>
        <xdr:cNvPr id="21" name="Picture 20">
          <a:extLst>
            <a:ext uri="{FF2B5EF4-FFF2-40B4-BE49-F238E27FC236}">
              <a16:creationId xmlns:a16="http://schemas.microsoft.com/office/drawing/2014/main" id="{8D6BB471-85B2-49AB-B8C7-FF8DFAF2636D}"/>
            </a:ext>
          </a:extLst>
        </xdr:cNvPr>
        <xdr:cNvPicPr>
          <a:picLocks noChangeAspect="1"/>
        </xdr:cNvPicPr>
      </xdr:nvPicPr>
      <xdr:blipFill>
        <a:blip xmlns:r="http://schemas.openxmlformats.org/officeDocument/2006/relationships" r:embed="rId2"/>
        <a:stretch>
          <a:fillRect/>
        </a:stretch>
      </xdr:blipFill>
      <xdr:spPr>
        <a:xfrm>
          <a:off x="8449235" y="1749238"/>
          <a:ext cx="5609665" cy="4189739"/>
        </a:xfrm>
        <a:prstGeom prst="rect">
          <a:avLst/>
        </a:prstGeom>
      </xdr:spPr>
    </xdr:pic>
    <xdr:clientData/>
  </xdr:twoCellAnchor>
  <xdr:twoCellAnchor editAs="oneCell">
    <xdr:from>
      <xdr:col>2</xdr:col>
      <xdr:colOff>268942</xdr:colOff>
      <xdr:row>102</xdr:row>
      <xdr:rowOff>73136</xdr:rowOff>
    </xdr:from>
    <xdr:to>
      <xdr:col>7</xdr:col>
      <xdr:colOff>286496</xdr:colOff>
      <xdr:row>124</xdr:row>
      <xdr:rowOff>298</xdr:rowOff>
    </xdr:to>
    <xdr:pic>
      <xdr:nvPicPr>
        <xdr:cNvPr id="22" name="Picture 21">
          <a:extLst>
            <a:ext uri="{FF2B5EF4-FFF2-40B4-BE49-F238E27FC236}">
              <a16:creationId xmlns:a16="http://schemas.microsoft.com/office/drawing/2014/main" id="{46AAC91D-1C31-44C1-903A-EB2F21EF74B2}"/>
            </a:ext>
          </a:extLst>
        </xdr:cNvPr>
        <xdr:cNvPicPr>
          <a:picLocks noChangeAspect="1"/>
        </xdr:cNvPicPr>
      </xdr:nvPicPr>
      <xdr:blipFill>
        <a:blip xmlns:r="http://schemas.openxmlformats.org/officeDocument/2006/relationships" r:embed="rId3"/>
        <a:stretch>
          <a:fillRect/>
        </a:stretch>
      </xdr:blipFill>
      <xdr:spPr>
        <a:xfrm>
          <a:off x="2711824" y="20725577"/>
          <a:ext cx="5490882" cy="4118162"/>
        </a:xfrm>
        <a:prstGeom prst="rect">
          <a:avLst/>
        </a:prstGeom>
      </xdr:spPr>
    </xdr:pic>
    <xdr:clientData/>
  </xdr:twoCellAnchor>
  <xdr:twoCellAnchor editAs="oneCell">
    <xdr:from>
      <xdr:col>7</xdr:col>
      <xdr:colOff>560693</xdr:colOff>
      <xdr:row>102</xdr:row>
      <xdr:rowOff>101152</xdr:rowOff>
    </xdr:from>
    <xdr:to>
      <xdr:col>13</xdr:col>
      <xdr:colOff>129615</xdr:colOff>
      <xdr:row>124</xdr:row>
      <xdr:rowOff>11204</xdr:rowOff>
    </xdr:to>
    <xdr:pic>
      <xdr:nvPicPr>
        <xdr:cNvPr id="8" name="Picture 7">
          <a:extLst>
            <a:ext uri="{FF2B5EF4-FFF2-40B4-BE49-F238E27FC236}">
              <a16:creationId xmlns:a16="http://schemas.microsoft.com/office/drawing/2014/main" id="{B5BCEF1E-BB4E-46CE-B5FF-0A6D7834F2BF}"/>
            </a:ext>
          </a:extLst>
        </xdr:cNvPr>
        <xdr:cNvPicPr>
          <a:picLocks noChangeAspect="1"/>
        </xdr:cNvPicPr>
      </xdr:nvPicPr>
      <xdr:blipFill>
        <a:blip xmlns:r="http://schemas.openxmlformats.org/officeDocument/2006/relationships" r:embed="rId4"/>
        <a:stretch>
          <a:fillRect/>
        </a:stretch>
      </xdr:blipFill>
      <xdr:spPr>
        <a:xfrm>
          <a:off x="8337575" y="17739211"/>
          <a:ext cx="5468072" cy="4101052"/>
        </a:xfrm>
        <a:prstGeom prst="rect">
          <a:avLst/>
        </a:prstGeom>
      </xdr:spPr>
    </xdr:pic>
    <xdr:clientData/>
  </xdr:twoCellAnchor>
  <xdr:twoCellAnchor editAs="oneCell">
    <xdr:from>
      <xdr:col>7</xdr:col>
      <xdr:colOff>168089</xdr:colOff>
      <xdr:row>189</xdr:row>
      <xdr:rowOff>266437</xdr:rowOff>
    </xdr:from>
    <xdr:to>
      <xdr:col>12</xdr:col>
      <xdr:colOff>140821</xdr:colOff>
      <xdr:row>209</xdr:row>
      <xdr:rowOff>45121</xdr:rowOff>
    </xdr:to>
    <xdr:pic>
      <xdr:nvPicPr>
        <xdr:cNvPr id="10" name="Picture 9">
          <a:extLst>
            <a:ext uri="{FF2B5EF4-FFF2-40B4-BE49-F238E27FC236}">
              <a16:creationId xmlns:a16="http://schemas.microsoft.com/office/drawing/2014/main" id="{554A2461-CB42-4FBE-9E29-83115CC78201}"/>
            </a:ext>
          </a:extLst>
        </xdr:cNvPr>
        <xdr:cNvPicPr>
          <a:picLocks noChangeAspect="1"/>
        </xdr:cNvPicPr>
      </xdr:nvPicPr>
      <xdr:blipFill>
        <a:blip xmlns:r="http://schemas.openxmlformats.org/officeDocument/2006/relationships" r:embed="rId5"/>
        <a:stretch>
          <a:fillRect/>
        </a:stretch>
      </xdr:blipFill>
      <xdr:spPr>
        <a:xfrm>
          <a:off x="8090648" y="29805143"/>
          <a:ext cx="4919382" cy="3689537"/>
        </a:xfrm>
        <a:prstGeom prst="rect">
          <a:avLst/>
        </a:prstGeom>
      </xdr:spPr>
    </xdr:pic>
    <xdr:clientData/>
  </xdr:twoCellAnchor>
  <xdr:twoCellAnchor editAs="oneCell">
    <xdr:from>
      <xdr:col>2</xdr:col>
      <xdr:colOff>246529</xdr:colOff>
      <xdr:row>189</xdr:row>
      <xdr:rowOff>288848</xdr:rowOff>
    </xdr:from>
    <xdr:to>
      <xdr:col>5</xdr:col>
      <xdr:colOff>408267</xdr:colOff>
      <xdr:row>209</xdr:row>
      <xdr:rowOff>67532</xdr:rowOff>
    </xdr:to>
    <xdr:pic>
      <xdr:nvPicPr>
        <xdr:cNvPr id="11" name="Picture 10">
          <a:extLst>
            <a:ext uri="{FF2B5EF4-FFF2-40B4-BE49-F238E27FC236}">
              <a16:creationId xmlns:a16="http://schemas.microsoft.com/office/drawing/2014/main" id="{4CB1B81B-A76A-4345-849A-6DFE57F91C55}"/>
            </a:ext>
          </a:extLst>
        </xdr:cNvPr>
        <xdr:cNvPicPr>
          <a:picLocks noChangeAspect="1"/>
        </xdr:cNvPicPr>
      </xdr:nvPicPr>
      <xdr:blipFill>
        <a:blip xmlns:r="http://schemas.openxmlformats.org/officeDocument/2006/relationships" r:embed="rId6"/>
        <a:stretch>
          <a:fillRect/>
        </a:stretch>
      </xdr:blipFill>
      <xdr:spPr>
        <a:xfrm>
          <a:off x="2689411" y="29827554"/>
          <a:ext cx="4919382" cy="3689537"/>
        </a:xfrm>
        <a:prstGeom prst="rect">
          <a:avLst/>
        </a:prstGeom>
      </xdr:spPr>
    </xdr:pic>
    <xdr:clientData/>
  </xdr:twoCellAnchor>
  <xdr:twoCellAnchor editAs="oneCell">
    <xdr:from>
      <xdr:col>2</xdr:col>
      <xdr:colOff>257735</xdr:colOff>
      <xdr:row>273</xdr:row>
      <xdr:rowOff>78738</xdr:rowOff>
    </xdr:from>
    <xdr:to>
      <xdr:col>5</xdr:col>
      <xdr:colOff>705971</xdr:colOff>
      <xdr:row>293</xdr:row>
      <xdr:rowOff>67533</xdr:rowOff>
    </xdr:to>
    <xdr:pic>
      <xdr:nvPicPr>
        <xdr:cNvPr id="12" name="Picture 11">
          <a:extLst>
            <a:ext uri="{FF2B5EF4-FFF2-40B4-BE49-F238E27FC236}">
              <a16:creationId xmlns:a16="http://schemas.microsoft.com/office/drawing/2014/main" id="{D1D127F7-0D42-457E-BAC8-20040B7793C8}"/>
            </a:ext>
          </a:extLst>
        </xdr:cNvPr>
        <xdr:cNvPicPr>
          <a:picLocks noChangeAspect="1"/>
        </xdr:cNvPicPr>
      </xdr:nvPicPr>
      <xdr:blipFill>
        <a:blip xmlns:r="http://schemas.openxmlformats.org/officeDocument/2006/relationships" r:embed="rId7"/>
        <a:stretch>
          <a:fillRect/>
        </a:stretch>
      </xdr:blipFill>
      <xdr:spPr>
        <a:xfrm>
          <a:off x="2700617" y="40800914"/>
          <a:ext cx="5199530" cy="3899648"/>
        </a:xfrm>
        <a:prstGeom prst="rect">
          <a:avLst/>
        </a:prstGeom>
      </xdr:spPr>
    </xdr:pic>
    <xdr:clientData/>
  </xdr:twoCellAnchor>
  <xdr:twoCellAnchor editAs="oneCell">
    <xdr:from>
      <xdr:col>7</xdr:col>
      <xdr:colOff>156880</xdr:colOff>
      <xdr:row>273</xdr:row>
      <xdr:rowOff>134767</xdr:rowOff>
    </xdr:from>
    <xdr:to>
      <xdr:col>12</xdr:col>
      <xdr:colOff>416110</xdr:colOff>
      <xdr:row>293</xdr:row>
      <xdr:rowOff>123562</xdr:rowOff>
    </xdr:to>
    <xdr:pic>
      <xdr:nvPicPr>
        <xdr:cNvPr id="14" name="Picture 13">
          <a:extLst>
            <a:ext uri="{FF2B5EF4-FFF2-40B4-BE49-F238E27FC236}">
              <a16:creationId xmlns:a16="http://schemas.microsoft.com/office/drawing/2014/main" id="{AA6099C3-2A5E-4077-9C67-912D74F1E97F}"/>
            </a:ext>
          </a:extLst>
        </xdr:cNvPr>
        <xdr:cNvPicPr>
          <a:picLocks noChangeAspect="1"/>
        </xdr:cNvPicPr>
      </xdr:nvPicPr>
      <xdr:blipFill>
        <a:blip xmlns:r="http://schemas.openxmlformats.org/officeDocument/2006/relationships" r:embed="rId8"/>
        <a:stretch>
          <a:fillRect/>
        </a:stretch>
      </xdr:blipFill>
      <xdr:spPr>
        <a:xfrm>
          <a:off x="8079439" y="40856943"/>
          <a:ext cx="5199530" cy="3899648"/>
        </a:xfrm>
        <a:prstGeom prst="rect">
          <a:avLst/>
        </a:prstGeom>
      </xdr:spPr>
    </xdr:pic>
    <xdr:clientData/>
  </xdr:twoCellAnchor>
  <xdr:twoCellAnchor>
    <xdr:from>
      <xdr:col>0</xdr:col>
      <xdr:colOff>131445</xdr:colOff>
      <xdr:row>1</xdr:row>
      <xdr:rowOff>15516</xdr:rowOff>
    </xdr:from>
    <xdr:to>
      <xdr:col>0</xdr:col>
      <xdr:colOff>2286000</xdr:colOff>
      <xdr:row>6</xdr:row>
      <xdr:rowOff>142874</xdr:rowOff>
    </xdr:to>
    <xdr:grpSp>
      <xdr:nvGrpSpPr>
        <xdr:cNvPr id="13" name="Group 12">
          <a:extLst>
            <a:ext uri="{FF2B5EF4-FFF2-40B4-BE49-F238E27FC236}">
              <a16:creationId xmlns:a16="http://schemas.microsoft.com/office/drawing/2014/main" id="{82B9080B-A9CF-4E22-A41E-BDBC6FB9F801}"/>
            </a:ext>
          </a:extLst>
        </xdr:cNvPr>
        <xdr:cNvGrpSpPr/>
      </xdr:nvGrpSpPr>
      <xdr:grpSpPr>
        <a:xfrm>
          <a:off x="131445" y="198396"/>
          <a:ext cx="2154555" cy="1384658"/>
          <a:chOff x="131445" y="196492"/>
          <a:chExt cx="2154896" cy="1832333"/>
        </a:xfrm>
      </xdr:grpSpPr>
      <xdr:sp macro="" textlink="">
        <xdr:nvSpPr>
          <xdr:cNvPr id="15" name="Rounded Rectangle 10">
            <a:hlinkClick xmlns:r="http://schemas.openxmlformats.org/officeDocument/2006/relationships" r:id="rId9"/>
            <a:extLst>
              <a:ext uri="{FF2B5EF4-FFF2-40B4-BE49-F238E27FC236}">
                <a16:creationId xmlns:a16="http://schemas.microsoft.com/office/drawing/2014/main" id="{2001FD70-998F-42D8-9678-79118A47C165}"/>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16" name="Rounded Rectangle 11">
            <a:hlinkClick xmlns:r="http://schemas.openxmlformats.org/officeDocument/2006/relationships" r:id="rId10"/>
            <a:extLst>
              <a:ext uri="{FF2B5EF4-FFF2-40B4-BE49-F238E27FC236}">
                <a16:creationId xmlns:a16="http://schemas.microsoft.com/office/drawing/2014/main" id="{4EDE66FB-E411-4FB5-AD74-88F6E1875C8D}"/>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8002E"/>
                </a:solidFill>
                <a:latin typeface="Arial" panose="020B0604020202020204" pitchFamily="34" charset="0"/>
                <a:cs typeface="Arial" panose="020B0604020202020204" pitchFamily="34" charset="0"/>
              </a:rPr>
              <a:t>Part 1:</a:t>
            </a:r>
            <a:r>
              <a:rPr lang="en-GB" sz="1100" b="1" baseline="0">
                <a:solidFill>
                  <a:srgbClr val="98002E"/>
                </a:solidFill>
                <a:latin typeface="Arial" panose="020B0604020202020204" pitchFamily="34" charset="0"/>
                <a:cs typeface="Arial" panose="020B0604020202020204" pitchFamily="34" charset="0"/>
              </a:rPr>
              <a:t> Social cost-benefit</a:t>
            </a:r>
            <a:endParaRPr lang="en-GB" sz="1100" b="1">
              <a:solidFill>
                <a:srgbClr val="98002E"/>
              </a:solidFill>
              <a:latin typeface="Arial" panose="020B0604020202020204" pitchFamily="34" charset="0"/>
              <a:cs typeface="Arial" panose="020B0604020202020204" pitchFamily="34" charset="0"/>
            </a:endParaRPr>
          </a:p>
        </xdr:txBody>
      </xdr:sp>
      <xdr:sp macro="" textlink="">
        <xdr:nvSpPr>
          <xdr:cNvPr id="17" name="Rounded Rectangle 20">
            <a:hlinkClick xmlns:r="http://schemas.openxmlformats.org/officeDocument/2006/relationships" r:id="rId11"/>
            <a:extLst>
              <a:ext uri="{FF2B5EF4-FFF2-40B4-BE49-F238E27FC236}">
                <a16:creationId xmlns:a16="http://schemas.microsoft.com/office/drawing/2014/main" id="{C498BDD6-95FF-47C4-B1BC-546CD6FA93D3}"/>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8" name="Rounded Rectangle 21">
            <a:hlinkClick xmlns:r="http://schemas.openxmlformats.org/officeDocument/2006/relationships" r:id="rId12"/>
            <a:extLst>
              <a:ext uri="{FF2B5EF4-FFF2-40B4-BE49-F238E27FC236}">
                <a16:creationId xmlns:a16="http://schemas.microsoft.com/office/drawing/2014/main" id="{51903F51-9DBF-4C30-9C7B-DAA38700CC5E}"/>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xdr:colOff>
      <xdr:row>1</xdr:row>
      <xdr:rowOff>85725</xdr:rowOff>
    </xdr:from>
    <xdr:to>
      <xdr:col>0</xdr:col>
      <xdr:colOff>2250146</xdr:colOff>
      <xdr:row>4</xdr:row>
      <xdr:rowOff>946508</xdr:rowOff>
    </xdr:to>
    <xdr:grpSp>
      <xdr:nvGrpSpPr>
        <xdr:cNvPr id="7" name="Group 6">
          <a:extLst>
            <a:ext uri="{FF2B5EF4-FFF2-40B4-BE49-F238E27FC236}">
              <a16:creationId xmlns:a16="http://schemas.microsoft.com/office/drawing/2014/main" id="{863A07D4-9F4A-47A5-83A9-306DD820B874}"/>
            </a:ext>
          </a:extLst>
        </xdr:cNvPr>
        <xdr:cNvGrpSpPr/>
      </xdr:nvGrpSpPr>
      <xdr:grpSpPr>
        <a:xfrm>
          <a:off x="95250" y="268605"/>
          <a:ext cx="2154896" cy="1843763"/>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37B7E7E1-DFD6-4125-9D4D-29801EF380BD}"/>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13" name="Rounded Rectangle 11">
            <a:hlinkClick xmlns:r="http://schemas.openxmlformats.org/officeDocument/2006/relationships" r:id="rId2"/>
            <a:extLst>
              <a:ext uri="{FF2B5EF4-FFF2-40B4-BE49-F238E27FC236}">
                <a16:creationId xmlns:a16="http://schemas.microsoft.com/office/drawing/2014/main" id="{EAEAF119-2977-4FC5-9916-005431BEAC27}"/>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4" name="Rounded Rectangle 20">
            <a:hlinkClick xmlns:r="http://schemas.openxmlformats.org/officeDocument/2006/relationships" r:id="rId3"/>
            <a:extLst>
              <a:ext uri="{FF2B5EF4-FFF2-40B4-BE49-F238E27FC236}">
                <a16:creationId xmlns:a16="http://schemas.microsoft.com/office/drawing/2014/main" id="{1D5DF929-2D76-497B-98D8-EBC460D2FA56}"/>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5" name="Rounded Rectangle 21">
            <a:hlinkClick xmlns:r="http://schemas.openxmlformats.org/officeDocument/2006/relationships" r:id="rId4"/>
            <a:extLst>
              <a:ext uri="{FF2B5EF4-FFF2-40B4-BE49-F238E27FC236}">
                <a16:creationId xmlns:a16="http://schemas.microsoft.com/office/drawing/2014/main" id="{956952F0-4AA7-4CA7-AF07-16BEE8ABD3C9}"/>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95250</xdr:colOff>
      <xdr:row>1</xdr:row>
      <xdr:rowOff>85725</xdr:rowOff>
    </xdr:from>
    <xdr:to>
      <xdr:col>0</xdr:col>
      <xdr:colOff>2073088</xdr:colOff>
      <xdr:row>4</xdr:row>
      <xdr:rowOff>134471</xdr:rowOff>
    </xdr:to>
    <xdr:grpSp>
      <xdr:nvGrpSpPr>
        <xdr:cNvPr id="12" name="Group 11">
          <a:extLst>
            <a:ext uri="{FF2B5EF4-FFF2-40B4-BE49-F238E27FC236}">
              <a16:creationId xmlns:a16="http://schemas.microsoft.com/office/drawing/2014/main" id="{80DDE2F2-FA65-49B1-B9D2-59AC54CAEC64}"/>
            </a:ext>
          </a:extLst>
        </xdr:cNvPr>
        <xdr:cNvGrpSpPr/>
      </xdr:nvGrpSpPr>
      <xdr:grpSpPr>
        <a:xfrm>
          <a:off x="95250" y="268605"/>
          <a:ext cx="1977838" cy="1347956"/>
          <a:chOff x="131445" y="196492"/>
          <a:chExt cx="2154896" cy="1832333"/>
        </a:xfrm>
      </xdr:grpSpPr>
      <xdr:sp macro="" textlink="">
        <xdr:nvSpPr>
          <xdr:cNvPr id="13" name="Rounded Rectangle 10">
            <a:hlinkClick xmlns:r="http://schemas.openxmlformats.org/officeDocument/2006/relationships" r:id="rId1"/>
            <a:extLst>
              <a:ext uri="{FF2B5EF4-FFF2-40B4-BE49-F238E27FC236}">
                <a16:creationId xmlns:a16="http://schemas.microsoft.com/office/drawing/2014/main" id="{4460B1AF-83F1-4547-8FB0-A30591164F35}"/>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14" name="Rounded Rectangle 11">
            <a:hlinkClick xmlns:r="http://schemas.openxmlformats.org/officeDocument/2006/relationships" r:id="rId2"/>
            <a:extLst>
              <a:ext uri="{FF2B5EF4-FFF2-40B4-BE49-F238E27FC236}">
                <a16:creationId xmlns:a16="http://schemas.microsoft.com/office/drawing/2014/main" id="{9E9CBB05-F5CA-4D55-8D24-04912400C45B}"/>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5" name="Rounded Rectangle 20">
            <a:hlinkClick xmlns:r="http://schemas.openxmlformats.org/officeDocument/2006/relationships" r:id="rId3"/>
            <a:extLst>
              <a:ext uri="{FF2B5EF4-FFF2-40B4-BE49-F238E27FC236}">
                <a16:creationId xmlns:a16="http://schemas.microsoft.com/office/drawing/2014/main" id="{26C44BF7-1061-436A-9792-C565F80CEE90}"/>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6" name="Rounded Rectangle 21">
            <a:hlinkClick xmlns:r="http://schemas.openxmlformats.org/officeDocument/2006/relationships" r:id="rId4"/>
            <a:extLst>
              <a:ext uri="{FF2B5EF4-FFF2-40B4-BE49-F238E27FC236}">
                <a16:creationId xmlns:a16="http://schemas.microsoft.com/office/drawing/2014/main" id="{923381FC-0439-4D8F-A0EB-D6F46E67630F}"/>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95250</xdr:colOff>
      <xdr:row>1</xdr:row>
      <xdr:rowOff>85725</xdr:rowOff>
    </xdr:from>
    <xdr:to>
      <xdr:col>0</xdr:col>
      <xdr:colOff>2106706</xdr:colOff>
      <xdr:row>3</xdr:row>
      <xdr:rowOff>134471</xdr:rowOff>
    </xdr:to>
    <xdr:grpSp>
      <xdr:nvGrpSpPr>
        <xdr:cNvPr id="7" name="Group 6">
          <a:extLst>
            <a:ext uri="{FF2B5EF4-FFF2-40B4-BE49-F238E27FC236}">
              <a16:creationId xmlns:a16="http://schemas.microsoft.com/office/drawing/2014/main" id="{2017DB9B-D162-4E8D-B6C1-0A86E050E8AD}"/>
            </a:ext>
          </a:extLst>
        </xdr:cNvPr>
        <xdr:cNvGrpSpPr/>
      </xdr:nvGrpSpPr>
      <xdr:grpSpPr>
        <a:xfrm>
          <a:off x="95250" y="268605"/>
          <a:ext cx="2011456" cy="1134596"/>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DD81DC50-09C5-47DA-B575-282435F73446}"/>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2"/>
            <a:extLst>
              <a:ext uri="{FF2B5EF4-FFF2-40B4-BE49-F238E27FC236}">
                <a16:creationId xmlns:a16="http://schemas.microsoft.com/office/drawing/2014/main" id="{54D24348-B44A-4414-872C-E335AE845D46}"/>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0" name="Rounded Rectangle 20">
            <a:hlinkClick xmlns:r="http://schemas.openxmlformats.org/officeDocument/2006/relationships" r:id="rId3"/>
            <a:extLst>
              <a:ext uri="{FF2B5EF4-FFF2-40B4-BE49-F238E27FC236}">
                <a16:creationId xmlns:a16="http://schemas.microsoft.com/office/drawing/2014/main" id="{3DA59EDC-DFD5-4860-8C3C-8DBE683E93E7}"/>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4"/>
            <a:extLst>
              <a:ext uri="{FF2B5EF4-FFF2-40B4-BE49-F238E27FC236}">
                <a16:creationId xmlns:a16="http://schemas.microsoft.com/office/drawing/2014/main" id="{0E65A5BA-B3CD-40B9-AF29-E01308AF94CD}"/>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95249</xdr:colOff>
      <xdr:row>1</xdr:row>
      <xdr:rowOff>85725</xdr:rowOff>
    </xdr:from>
    <xdr:to>
      <xdr:col>0</xdr:col>
      <xdr:colOff>2162734</xdr:colOff>
      <xdr:row>3</xdr:row>
      <xdr:rowOff>134471</xdr:rowOff>
    </xdr:to>
    <xdr:grpSp>
      <xdr:nvGrpSpPr>
        <xdr:cNvPr id="7" name="Group 6">
          <a:extLst>
            <a:ext uri="{FF2B5EF4-FFF2-40B4-BE49-F238E27FC236}">
              <a16:creationId xmlns:a16="http://schemas.microsoft.com/office/drawing/2014/main" id="{7927B9B1-3EF7-43BD-8C66-A98B43F79626}"/>
            </a:ext>
          </a:extLst>
        </xdr:cNvPr>
        <xdr:cNvGrpSpPr/>
      </xdr:nvGrpSpPr>
      <xdr:grpSpPr>
        <a:xfrm>
          <a:off x="95249" y="268605"/>
          <a:ext cx="2067485" cy="1134596"/>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16FA0196-0F49-4CAB-B445-097EABBA5334}"/>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2"/>
            <a:extLst>
              <a:ext uri="{FF2B5EF4-FFF2-40B4-BE49-F238E27FC236}">
                <a16:creationId xmlns:a16="http://schemas.microsoft.com/office/drawing/2014/main" id="{C2D759E6-9F25-4585-80A9-CD60CA8B758E}"/>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0" name="Rounded Rectangle 20">
            <a:hlinkClick xmlns:r="http://schemas.openxmlformats.org/officeDocument/2006/relationships" r:id="rId3"/>
            <a:extLst>
              <a:ext uri="{FF2B5EF4-FFF2-40B4-BE49-F238E27FC236}">
                <a16:creationId xmlns:a16="http://schemas.microsoft.com/office/drawing/2014/main" id="{44BC2678-E3F0-4B54-A0CA-2D42C5AAF316}"/>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4"/>
            <a:extLst>
              <a:ext uri="{FF2B5EF4-FFF2-40B4-BE49-F238E27FC236}">
                <a16:creationId xmlns:a16="http://schemas.microsoft.com/office/drawing/2014/main" id="{F73C1A9A-9DD3-4A60-8FB9-685E479307C6}"/>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95250</xdr:colOff>
      <xdr:row>1</xdr:row>
      <xdr:rowOff>85725</xdr:rowOff>
    </xdr:from>
    <xdr:to>
      <xdr:col>0</xdr:col>
      <xdr:colOff>2229971</xdr:colOff>
      <xdr:row>3</xdr:row>
      <xdr:rowOff>56030</xdr:rowOff>
    </xdr:to>
    <xdr:grpSp>
      <xdr:nvGrpSpPr>
        <xdr:cNvPr id="7" name="Group 6">
          <a:extLst>
            <a:ext uri="{FF2B5EF4-FFF2-40B4-BE49-F238E27FC236}">
              <a16:creationId xmlns:a16="http://schemas.microsoft.com/office/drawing/2014/main" id="{938F8416-F2E8-4689-93B8-C4A51D254606}"/>
            </a:ext>
          </a:extLst>
        </xdr:cNvPr>
        <xdr:cNvGrpSpPr/>
      </xdr:nvGrpSpPr>
      <xdr:grpSpPr>
        <a:xfrm>
          <a:off x="95250" y="268605"/>
          <a:ext cx="2134721" cy="1056155"/>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637BA050-0C7A-43C3-8AEE-4CFEE8EBC430}"/>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2"/>
            <a:extLst>
              <a:ext uri="{FF2B5EF4-FFF2-40B4-BE49-F238E27FC236}">
                <a16:creationId xmlns:a16="http://schemas.microsoft.com/office/drawing/2014/main" id="{910966E5-7704-4C6A-8783-EB2D7D2201F8}"/>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0" name="Rounded Rectangle 20">
            <a:hlinkClick xmlns:r="http://schemas.openxmlformats.org/officeDocument/2006/relationships" r:id="rId3"/>
            <a:extLst>
              <a:ext uri="{FF2B5EF4-FFF2-40B4-BE49-F238E27FC236}">
                <a16:creationId xmlns:a16="http://schemas.microsoft.com/office/drawing/2014/main" id="{4ABE9C76-C504-4DAE-BC3B-5E1BF13BC114}"/>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4"/>
            <a:extLst>
              <a:ext uri="{FF2B5EF4-FFF2-40B4-BE49-F238E27FC236}">
                <a16:creationId xmlns:a16="http://schemas.microsoft.com/office/drawing/2014/main" id="{60D6B76A-7014-4DEF-B9C0-68CB86886179}"/>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95250</xdr:colOff>
      <xdr:row>1</xdr:row>
      <xdr:rowOff>85725</xdr:rowOff>
    </xdr:from>
    <xdr:to>
      <xdr:col>0</xdr:col>
      <xdr:colOff>2117912</xdr:colOff>
      <xdr:row>4</xdr:row>
      <xdr:rowOff>44823</xdr:rowOff>
    </xdr:to>
    <xdr:grpSp>
      <xdr:nvGrpSpPr>
        <xdr:cNvPr id="7" name="Group 6">
          <a:extLst>
            <a:ext uri="{FF2B5EF4-FFF2-40B4-BE49-F238E27FC236}">
              <a16:creationId xmlns:a16="http://schemas.microsoft.com/office/drawing/2014/main" id="{271D7FD1-7031-4D70-ACF3-864A994F3307}"/>
            </a:ext>
          </a:extLst>
        </xdr:cNvPr>
        <xdr:cNvGrpSpPr/>
      </xdr:nvGrpSpPr>
      <xdr:grpSpPr>
        <a:xfrm>
          <a:off x="95250" y="268605"/>
          <a:ext cx="2022662" cy="1258308"/>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ECB8E973-7E71-4574-A548-A12536290888}"/>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2"/>
            <a:extLst>
              <a:ext uri="{FF2B5EF4-FFF2-40B4-BE49-F238E27FC236}">
                <a16:creationId xmlns:a16="http://schemas.microsoft.com/office/drawing/2014/main" id="{7B813A58-834F-49B5-82CC-E0BB734F8225}"/>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0" name="Rounded Rectangle 20">
            <a:hlinkClick xmlns:r="http://schemas.openxmlformats.org/officeDocument/2006/relationships" r:id="rId3"/>
            <a:extLst>
              <a:ext uri="{FF2B5EF4-FFF2-40B4-BE49-F238E27FC236}">
                <a16:creationId xmlns:a16="http://schemas.microsoft.com/office/drawing/2014/main" id="{6C3409C1-DE4D-4ECD-A901-5721019BFA2F}"/>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4"/>
            <a:extLst>
              <a:ext uri="{FF2B5EF4-FFF2-40B4-BE49-F238E27FC236}">
                <a16:creationId xmlns:a16="http://schemas.microsoft.com/office/drawing/2014/main" id="{09A0CDA9-0CEE-496F-A6A0-5E0CFB3C3FBE}"/>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95249</xdr:colOff>
      <xdr:row>1</xdr:row>
      <xdr:rowOff>85725</xdr:rowOff>
    </xdr:from>
    <xdr:to>
      <xdr:col>0</xdr:col>
      <xdr:colOff>2211916</xdr:colOff>
      <xdr:row>3</xdr:row>
      <xdr:rowOff>0</xdr:rowOff>
    </xdr:to>
    <xdr:grpSp>
      <xdr:nvGrpSpPr>
        <xdr:cNvPr id="7" name="Group 6">
          <a:extLst>
            <a:ext uri="{FF2B5EF4-FFF2-40B4-BE49-F238E27FC236}">
              <a16:creationId xmlns:a16="http://schemas.microsoft.com/office/drawing/2014/main" id="{9D6C2644-25B1-4945-96BF-2F262B85FBDF}"/>
            </a:ext>
          </a:extLst>
        </xdr:cNvPr>
        <xdr:cNvGrpSpPr/>
      </xdr:nvGrpSpPr>
      <xdr:grpSpPr>
        <a:xfrm>
          <a:off x="95249" y="267758"/>
          <a:ext cx="2116667" cy="998009"/>
          <a:chOff x="131445" y="196492"/>
          <a:chExt cx="2154896" cy="1832333"/>
        </a:xfrm>
      </xdr:grpSpPr>
      <xdr:sp macro="" textlink="">
        <xdr:nvSpPr>
          <xdr:cNvPr id="8" name="Rounded Rectangle 10">
            <a:hlinkClick xmlns:r="http://schemas.openxmlformats.org/officeDocument/2006/relationships" r:id="rId1"/>
            <a:extLst>
              <a:ext uri="{FF2B5EF4-FFF2-40B4-BE49-F238E27FC236}">
                <a16:creationId xmlns:a16="http://schemas.microsoft.com/office/drawing/2014/main" id="{1E0496FD-D847-4917-B77E-04BCEFFAE721}"/>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9" name="Rounded Rectangle 11">
            <a:hlinkClick xmlns:r="http://schemas.openxmlformats.org/officeDocument/2006/relationships" r:id="rId2"/>
            <a:extLst>
              <a:ext uri="{FF2B5EF4-FFF2-40B4-BE49-F238E27FC236}">
                <a16:creationId xmlns:a16="http://schemas.microsoft.com/office/drawing/2014/main" id="{35075D1E-3112-4192-88F7-9A09862855BC}"/>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0" name="Rounded Rectangle 20">
            <a:hlinkClick xmlns:r="http://schemas.openxmlformats.org/officeDocument/2006/relationships" r:id="rId3"/>
            <a:extLst>
              <a:ext uri="{FF2B5EF4-FFF2-40B4-BE49-F238E27FC236}">
                <a16:creationId xmlns:a16="http://schemas.microsoft.com/office/drawing/2014/main" id="{3F4EB0EF-3D56-48A6-B31E-FAB163EFD652}"/>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2:  Unit</a:t>
            </a:r>
            <a:r>
              <a:rPr lang="en-GB" sz="1100" b="1" baseline="0">
                <a:solidFill>
                  <a:srgbClr val="990000"/>
                </a:solidFill>
                <a:latin typeface="Arial" panose="020B0604020202020204" pitchFamily="34" charset="0"/>
                <a:cs typeface="Arial" panose="020B0604020202020204" pitchFamily="34" charset="0"/>
              </a:rPr>
              <a:t> cost database</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1" name="Rounded Rectangle 21">
            <a:hlinkClick xmlns:r="http://schemas.openxmlformats.org/officeDocument/2006/relationships" r:id="rId4"/>
            <a:extLst>
              <a:ext uri="{FF2B5EF4-FFF2-40B4-BE49-F238E27FC236}">
                <a16:creationId xmlns:a16="http://schemas.microsoft.com/office/drawing/2014/main" id="{4757F00C-FD77-4CF3-A690-51ECA74D89E7}"/>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3:</a:t>
            </a:r>
            <a:r>
              <a:rPr lang="en-GB" sz="1100" b="1" baseline="0">
                <a:solidFill>
                  <a:sysClr val="windowText" lastClr="000000"/>
                </a:solidFill>
                <a:latin typeface="Arial" panose="020B0604020202020204" pitchFamily="34" charset="0"/>
                <a:cs typeface="Arial" panose="020B0604020202020204" pitchFamily="34" charset="0"/>
              </a:rPr>
              <a:t> Annexes</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95250</xdr:colOff>
      <xdr:row>1</xdr:row>
      <xdr:rowOff>85724</xdr:rowOff>
    </xdr:from>
    <xdr:to>
      <xdr:col>0</xdr:col>
      <xdr:colOff>2171700</xdr:colOff>
      <xdr:row>8</xdr:row>
      <xdr:rowOff>19049</xdr:rowOff>
    </xdr:to>
    <xdr:grpSp>
      <xdr:nvGrpSpPr>
        <xdr:cNvPr id="2" name="Group 1">
          <a:extLst>
            <a:ext uri="{FF2B5EF4-FFF2-40B4-BE49-F238E27FC236}">
              <a16:creationId xmlns:a16="http://schemas.microsoft.com/office/drawing/2014/main" id="{C3582F32-DDBE-4668-8361-98B649A7443D}"/>
            </a:ext>
          </a:extLst>
        </xdr:cNvPr>
        <xdr:cNvGrpSpPr/>
      </xdr:nvGrpSpPr>
      <xdr:grpSpPr>
        <a:xfrm>
          <a:off x="95250" y="268604"/>
          <a:ext cx="2076450" cy="1567815"/>
          <a:chOff x="131445" y="196492"/>
          <a:chExt cx="2154896" cy="1832333"/>
        </a:xfrm>
      </xdr:grpSpPr>
      <xdr:sp macro="" textlink="">
        <xdr:nvSpPr>
          <xdr:cNvPr id="3" name="Rounded Rectangle 10">
            <a:hlinkClick xmlns:r="http://schemas.openxmlformats.org/officeDocument/2006/relationships" r:id="rId1"/>
            <a:extLst>
              <a:ext uri="{FF2B5EF4-FFF2-40B4-BE49-F238E27FC236}">
                <a16:creationId xmlns:a16="http://schemas.microsoft.com/office/drawing/2014/main" id="{52D92EE9-E008-423C-8D00-103E8F6DA78C}"/>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4" name="Rounded Rectangle 11">
            <a:hlinkClick xmlns:r="http://schemas.openxmlformats.org/officeDocument/2006/relationships" r:id="rId2"/>
            <a:extLst>
              <a:ext uri="{FF2B5EF4-FFF2-40B4-BE49-F238E27FC236}">
                <a16:creationId xmlns:a16="http://schemas.microsoft.com/office/drawing/2014/main" id="{0C28F7B9-7331-41DF-88CF-C770BE8E6EDE}"/>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5" name="Rounded Rectangle 20">
            <a:hlinkClick xmlns:r="http://schemas.openxmlformats.org/officeDocument/2006/relationships" r:id="rId3"/>
            <a:extLst>
              <a:ext uri="{FF2B5EF4-FFF2-40B4-BE49-F238E27FC236}">
                <a16:creationId xmlns:a16="http://schemas.microsoft.com/office/drawing/2014/main" id="{A6FCD7FE-0780-492F-9805-0C2C2B43E5B7}"/>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6" name="Rounded Rectangle 21">
            <a:hlinkClick xmlns:r="http://schemas.openxmlformats.org/officeDocument/2006/relationships" r:id="rId4"/>
            <a:extLst>
              <a:ext uri="{FF2B5EF4-FFF2-40B4-BE49-F238E27FC236}">
                <a16:creationId xmlns:a16="http://schemas.microsoft.com/office/drawing/2014/main" id="{A332972C-1528-4973-9858-0A0975D4D445}"/>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3:</a:t>
            </a:r>
            <a:r>
              <a:rPr lang="en-GB" sz="1100" b="1" baseline="0">
                <a:solidFill>
                  <a:srgbClr val="990000"/>
                </a:solidFill>
                <a:latin typeface="Arial" panose="020B0604020202020204" pitchFamily="34" charset="0"/>
                <a:cs typeface="Arial" panose="020B0604020202020204" pitchFamily="34" charset="0"/>
              </a:rPr>
              <a:t> Annexes</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95250</xdr:colOff>
      <xdr:row>1</xdr:row>
      <xdr:rowOff>85724</xdr:rowOff>
    </xdr:from>
    <xdr:to>
      <xdr:col>0</xdr:col>
      <xdr:colOff>2105025</xdr:colOff>
      <xdr:row>8</xdr:row>
      <xdr:rowOff>85725</xdr:rowOff>
    </xdr:to>
    <xdr:grpSp>
      <xdr:nvGrpSpPr>
        <xdr:cNvPr id="3" name="Group 2">
          <a:extLst>
            <a:ext uri="{FF2B5EF4-FFF2-40B4-BE49-F238E27FC236}">
              <a16:creationId xmlns:a16="http://schemas.microsoft.com/office/drawing/2014/main" id="{442900A6-B8E5-4C81-B0C9-BC64BC572F5E}"/>
            </a:ext>
          </a:extLst>
        </xdr:cNvPr>
        <xdr:cNvGrpSpPr/>
      </xdr:nvGrpSpPr>
      <xdr:grpSpPr>
        <a:xfrm>
          <a:off x="95250" y="280034"/>
          <a:ext cx="2009775" cy="1546861"/>
          <a:chOff x="131445" y="196492"/>
          <a:chExt cx="2154896" cy="1832333"/>
        </a:xfrm>
      </xdr:grpSpPr>
      <xdr:sp macro="" textlink="">
        <xdr:nvSpPr>
          <xdr:cNvPr id="4" name="Rounded Rectangle 10">
            <a:hlinkClick xmlns:r="http://schemas.openxmlformats.org/officeDocument/2006/relationships" r:id="rId1"/>
            <a:extLst>
              <a:ext uri="{FF2B5EF4-FFF2-40B4-BE49-F238E27FC236}">
                <a16:creationId xmlns:a16="http://schemas.microsoft.com/office/drawing/2014/main" id="{D82BD352-6BA8-42CE-9482-CED719A3B9DF}"/>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5" name="Rounded Rectangle 11">
            <a:hlinkClick xmlns:r="http://schemas.openxmlformats.org/officeDocument/2006/relationships" r:id="rId2"/>
            <a:extLst>
              <a:ext uri="{FF2B5EF4-FFF2-40B4-BE49-F238E27FC236}">
                <a16:creationId xmlns:a16="http://schemas.microsoft.com/office/drawing/2014/main" id="{6EBEC054-CF2C-434F-B054-05DF2D503345}"/>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6" name="Rounded Rectangle 20">
            <a:hlinkClick xmlns:r="http://schemas.openxmlformats.org/officeDocument/2006/relationships" r:id="rId3"/>
            <a:extLst>
              <a:ext uri="{FF2B5EF4-FFF2-40B4-BE49-F238E27FC236}">
                <a16:creationId xmlns:a16="http://schemas.microsoft.com/office/drawing/2014/main" id="{AD11DE95-6C73-48C6-A6C0-7B6421F0A016}"/>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7" name="Rounded Rectangle 21">
            <a:hlinkClick xmlns:r="http://schemas.openxmlformats.org/officeDocument/2006/relationships" r:id="rId4"/>
            <a:extLst>
              <a:ext uri="{FF2B5EF4-FFF2-40B4-BE49-F238E27FC236}">
                <a16:creationId xmlns:a16="http://schemas.microsoft.com/office/drawing/2014/main" id="{322FDA78-1DC3-4EB4-9BC3-E04AB2AF294E}"/>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3:</a:t>
            </a:r>
            <a:r>
              <a:rPr lang="en-GB" sz="1100" b="1" baseline="0">
                <a:solidFill>
                  <a:srgbClr val="990000"/>
                </a:solidFill>
                <a:latin typeface="Arial" panose="020B0604020202020204" pitchFamily="34" charset="0"/>
                <a:cs typeface="Arial" panose="020B0604020202020204" pitchFamily="34" charset="0"/>
              </a:rPr>
              <a:t> Annexes</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95250</xdr:colOff>
      <xdr:row>1</xdr:row>
      <xdr:rowOff>85724</xdr:rowOff>
    </xdr:from>
    <xdr:to>
      <xdr:col>0</xdr:col>
      <xdr:colOff>2190750</xdr:colOff>
      <xdr:row>6</xdr:row>
      <xdr:rowOff>114300</xdr:rowOff>
    </xdr:to>
    <xdr:grpSp>
      <xdr:nvGrpSpPr>
        <xdr:cNvPr id="15" name="Group 14">
          <a:extLst>
            <a:ext uri="{FF2B5EF4-FFF2-40B4-BE49-F238E27FC236}">
              <a16:creationId xmlns:a16="http://schemas.microsoft.com/office/drawing/2014/main" id="{593981E9-2E4D-49F8-956C-F46DE3F499B6}"/>
            </a:ext>
          </a:extLst>
        </xdr:cNvPr>
        <xdr:cNvGrpSpPr/>
      </xdr:nvGrpSpPr>
      <xdr:grpSpPr>
        <a:xfrm>
          <a:off x="95250" y="268604"/>
          <a:ext cx="2095500" cy="2360296"/>
          <a:chOff x="131445" y="196492"/>
          <a:chExt cx="2154896" cy="1832333"/>
        </a:xfrm>
      </xdr:grpSpPr>
      <xdr:sp macro="" textlink="">
        <xdr:nvSpPr>
          <xdr:cNvPr id="16" name="Rounded Rectangle 10">
            <a:hlinkClick xmlns:r="http://schemas.openxmlformats.org/officeDocument/2006/relationships" r:id="rId1"/>
            <a:extLst>
              <a:ext uri="{FF2B5EF4-FFF2-40B4-BE49-F238E27FC236}">
                <a16:creationId xmlns:a16="http://schemas.microsoft.com/office/drawing/2014/main" id="{47D3CB99-E100-47BA-B599-F8E761B98FDD}"/>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17" name="Rounded Rectangle 11">
            <a:hlinkClick xmlns:r="http://schemas.openxmlformats.org/officeDocument/2006/relationships" r:id="rId2"/>
            <a:extLst>
              <a:ext uri="{FF2B5EF4-FFF2-40B4-BE49-F238E27FC236}">
                <a16:creationId xmlns:a16="http://schemas.microsoft.com/office/drawing/2014/main" id="{9570DC55-8F60-48F8-9817-C78859AA04F3}"/>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8" name="Rounded Rectangle 20">
            <a:hlinkClick xmlns:r="http://schemas.openxmlformats.org/officeDocument/2006/relationships" r:id="rId3"/>
            <a:extLst>
              <a:ext uri="{FF2B5EF4-FFF2-40B4-BE49-F238E27FC236}">
                <a16:creationId xmlns:a16="http://schemas.microsoft.com/office/drawing/2014/main" id="{8A9CD31D-4C4D-4FDF-AAF4-3B9BA0A99D14}"/>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19" name="Rounded Rectangle 21">
            <a:hlinkClick xmlns:r="http://schemas.openxmlformats.org/officeDocument/2006/relationships" r:id="rId4"/>
            <a:extLst>
              <a:ext uri="{FF2B5EF4-FFF2-40B4-BE49-F238E27FC236}">
                <a16:creationId xmlns:a16="http://schemas.microsoft.com/office/drawing/2014/main" id="{1CE6BCD6-AADF-4CB0-92F4-680D6470F828}"/>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3:</a:t>
            </a:r>
            <a:r>
              <a:rPr lang="en-GB" sz="1100" b="1" baseline="0">
                <a:solidFill>
                  <a:srgbClr val="990000"/>
                </a:solidFill>
                <a:latin typeface="Arial" panose="020B0604020202020204" pitchFamily="34" charset="0"/>
                <a:cs typeface="Arial" panose="020B0604020202020204" pitchFamily="34" charset="0"/>
              </a:rPr>
              <a:t> Annexes</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88682</xdr:colOff>
      <xdr:row>1</xdr:row>
      <xdr:rowOff>13465</xdr:rowOff>
    </xdr:from>
    <xdr:to>
      <xdr:col>0</xdr:col>
      <xdr:colOff>2200275</xdr:colOff>
      <xdr:row>8</xdr:row>
      <xdr:rowOff>9525</xdr:rowOff>
    </xdr:to>
    <xdr:grpSp>
      <xdr:nvGrpSpPr>
        <xdr:cNvPr id="2" name="Group 1">
          <a:extLst>
            <a:ext uri="{FF2B5EF4-FFF2-40B4-BE49-F238E27FC236}">
              <a16:creationId xmlns:a16="http://schemas.microsoft.com/office/drawing/2014/main" id="{F0E7EFE9-6811-422E-9B00-48B2B199ADDC}"/>
            </a:ext>
          </a:extLst>
        </xdr:cNvPr>
        <xdr:cNvGrpSpPr/>
      </xdr:nvGrpSpPr>
      <xdr:grpSpPr>
        <a:xfrm>
          <a:off x="88682" y="196345"/>
          <a:ext cx="2111593" cy="1763900"/>
          <a:chOff x="131445" y="196492"/>
          <a:chExt cx="2154896" cy="1832333"/>
        </a:xfrm>
      </xdr:grpSpPr>
      <xdr:sp macro="" textlink="">
        <xdr:nvSpPr>
          <xdr:cNvPr id="3" name="Rounded Rectangle 10">
            <a:hlinkClick xmlns:r="http://schemas.openxmlformats.org/officeDocument/2006/relationships" r:id="rId1"/>
            <a:extLst>
              <a:ext uri="{FF2B5EF4-FFF2-40B4-BE49-F238E27FC236}">
                <a16:creationId xmlns:a16="http://schemas.microsoft.com/office/drawing/2014/main" id="{988E95AD-69C7-4591-B91E-3DCC58040F2B}"/>
              </a:ext>
            </a:extLst>
          </xdr:cNvPr>
          <xdr:cNvSpPr/>
        </xdr:nvSpPr>
        <xdr:spPr>
          <a:xfrm>
            <a:off x="131445" y="196492"/>
            <a:ext cx="2105024" cy="30785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Front</a:t>
            </a:r>
            <a:r>
              <a:rPr lang="en-GB" sz="1100" b="1" baseline="0">
                <a:solidFill>
                  <a:sysClr val="windowText" lastClr="000000"/>
                </a:solidFill>
                <a:latin typeface="Arial" panose="020B0604020202020204" pitchFamily="34" charset="0"/>
                <a:cs typeface="Arial" panose="020B0604020202020204" pitchFamily="34" charset="0"/>
              </a:rPr>
              <a:t> sheet</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chemeClr val="bg1"/>
              </a:solidFill>
              <a:latin typeface="Arial" panose="020B0604020202020204" pitchFamily="34" charset="0"/>
              <a:cs typeface="Arial" panose="020B0604020202020204" pitchFamily="34" charset="0"/>
            </a:endParaRPr>
          </a:p>
        </xdr:txBody>
      </xdr:sp>
      <xdr:sp macro="" textlink="">
        <xdr:nvSpPr>
          <xdr:cNvPr id="4" name="Rounded Rectangle 11">
            <a:hlinkClick xmlns:r="http://schemas.openxmlformats.org/officeDocument/2006/relationships" r:id="rId2"/>
            <a:extLst>
              <a:ext uri="{FF2B5EF4-FFF2-40B4-BE49-F238E27FC236}">
                <a16:creationId xmlns:a16="http://schemas.microsoft.com/office/drawing/2014/main" id="{3F0382DA-B981-4596-8D21-1FBC5B0FCC64}"/>
              </a:ext>
            </a:extLst>
          </xdr:cNvPr>
          <xdr:cNvSpPr/>
        </xdr:nvSpPr>
        <xdr:spPr>
          <a:xfrm>
            <a:off x="135256" y="670030"/>
            <a:ext cx="2132099" cy="32046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1:</a:t>
            </a:r>
            <a:r>
              <a:rPr lang="en-GB" sz="1100" b="1" baseline="0">
                <a:solidFill>
                  <a:sysClr val="windowText" lastClr="000000"/>
                </a:solidFill>
                <a:latin typeface="Arial" panose="020B0604020202020204" pitchFamily="34" charset="0"/>
                <a:cs typeface="Arial" panose="020B0604020202020204" pitchFamily="34" charset="0"/>
              </a:rPr>
              <a:t> Social cost-benefit</a:t>
            </a:r>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5" name="Rounded Rectangle 20">
            <a:hlinkClick xmlns:r="http://schemas.openxmlformats.org/officeDocument/2006/relationships" r:id="rId3"/>
            <a:extLst>
              <a:ext uri="{FF2B5EF4-FFF2-40B4-BE49-F238E27FC236}">
                <a16:creationId xmlns:a16="http://schemas.microsoft.com/office/drawing/2014/main" id="{5A6DC931-27D1-468C-8494-7BC4867A204C}"/>
              </a:ext>
            </a:extLst>
          </xdr:cNvPr>
          <xdr:cNvSpPr/>
        </xdr:nvSpPr>
        <xdr:spPr>
          <a:xfrm>
            <a:off x="135256" y="1153327"/>
            <a:ext cx="2151085" cy="352505"/>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ysClr val="windowText" lastClr="000000"/>
                </a:solidFill>
                <a:latin typeface="Arial" panose="020B0604020202020204" pitchFamily="34" charset="0"/>
                <a:cs typeface="Arial" panose="020B0604020202020204" pitchFamily="34" charset="0"/>
              </a:rPr>
              <a:t>Part 2:  Unit</a:t>
            </a:r>
            <a:r>
              <a:rPr lang="en-GB" sz="1100" b="1" baseline="0">
                <a:solidFill>
                  <a:sysClr val="windowText" lastClr="000000"/>
                </a:solidFill>
                <a:latin typeface="Arial" panose="020B0604020202020204" pitchFamily="34" charset="0"/>
                <a:cs typeface="Arial" panose="020B0604020202020204" pitchFamily="34" charset="0"/>
              </a:rPr>
              <a:t> cost database</a:t>
            </a:r>
            <a:endParaRPr lang="en-GB" sz="1100" b="1">
              <a:solidFill>
                <a:sysClr val="windowText" lastClr="00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sp macro="" textlink="">
        <xdr:nvSpPr>
          <xdr:cNvPr id="6" name="Rounded Rectangle 21">
            <a:hlinkClick xmlns:r="http://schemas.openxmlformats.org/officeDocument/2006/relationships" r:id="rId4"/>
            <a:extLst>
              <a:ext uri="{FF2B5EF4-FFF2-40B4-BE49-F238E27FC236}">
                <a16:creationId xmlns:a16="http://schemas.microsoft.com/office/drawing/2014/main" id="{95386439-10AF-4B94-A2F3-C331171B806B}"/>
              </a:ext>
            </a:extLst>
          </xdr:cNvPr>
          <xdr:cNvSpPr/>
        </xdr:nvSpPr>
        <xdr:spPr>
          <a:xfrm>
            <a:off x="135256" y="1697311"/>
            <a:ext cx="2140827" cy="331514"/>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990000"/>
                </a:solidFill>
                <a:latin typeface="Arial" panose="020B0604020202020204" pitchFamily="34" charset="0"/>
                <a:cs typeface="Arial" panose="020B0604020202020204" pitchFamily="34" charset="0"/>
              </a:rPr>
              <a:t>Part 3:</a:t>
            </a:r>
            <a:r>
              <a:rPr lang="en-GB" sz="1100" b="1" baseline="0">
                <a:solidFill>
                  <a:srgbClr val="990000"/>
                </a:solidFill>
                <a:latin typeface="Arial" panose="020B0604020202020204" pitchFamily="34" charset="0"/>
                <a:cs typeface="Arial" panose="020B0604020202020204" pitchFamily="34" charset="0"/>
              </a:rPr>
              <a:t> Annexes</a:t>
            </a:r>
            <a:endParaRPr lang="en-GB" sz="1100" b="1">
              <a:solidFill>
                <a:srgbClr val="990000"/>
              </a:solidFill>
              <a:latin typeface="Arial" panose="020B0604020202020204" pitchFamily="34" charset="0"/>
              <a:cs typeface="Arial" panose="020B0604020202020204" pitchFamily="34" charset="0"/>
            </a:endParaRPr>
          </a:p>
          <a:p>
            <a:pPr algn="l"/>
            <a:endParaRPr lang="en-GB" sz="1100" b="1">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600075</xdr:colOff>
      <xdr:row>2</xdr:row>
      <xdr:rowOff>171450</xdr:rowOff>
    </xdr:from>
    <xdr:to>
      <xdr:col>21</xdr:col>
      <xdr:colOff>95251</xdr:colOff>
      <xdr:row>30</xdr:row>
      <xdr:rowOff>171450</xdr:rowOff>
    </xdr:to>
    <xdr:pic>
      <xdr:nvPicPr>
        <xdr:cNvPr id="2" name="Picture 1">
          <a:extLst>
            <a:ext uri="{FF2B5EF4-FFF2-40B4-BE49-F238E27FC236}">
              <a16:creationId xmlns:a16="http://schemas.microsoft.com/office/drawing/2014/main" id="{9B376152-DB7D-4224-A5F1-225F63A88167}"/>
            </a:ext>
          </a:extLst>
        </xdr:cNvPr>
        <xdr:cNvPicPr>
          <a:picLocks noChangeAspect="1"/>
        </xdr:cNvPicPr>
      </xdr:nvPicPr>
      <xdr:blipFill rotWithShape="1">
        <a:blip xmlns:r="http://schemas.openxmlformats.org/officeDocument/2006/relationships" r:embed="rId1"/>
        <a:srcRect l="5574" t="32503" r="18532" b="15638"/>
        <a:stretch/>
      </xdr:blipFill>
      <xdr:spPr>
        <a:xfrm>
          <a:off x="1209675" y="5124450"/>
          <a:ext cx="13877926" cy="5334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childrenscommissioner.gov.uk/wp-content/uploads/2019/07/cco-vulnerability-2019-spend-report.pdf" TargetMode="External"/><Relationship Id="rId13" Type="http://schemas.openxmlformats.org/officeDocument/2006/relationships/drawing" Target="../drawings/drawing6.xml"/><Relationship Id="rId3" Type="http://schemas.openxmlformats.org/officeDocument/2006/relationships/hyperlink" Target="http://www.familieslink.co.uk/download/june07/Review%20of%20child%20care.pdf" TargetMode="External"/><Relationship Id="rId7" Type="http://schemas.openxmlformats.org/officeDocument/2006/relationships/hyperlink" Target="https://www.childrenscommissioner.gov.uk/wp-content/uploads/2019/07/cco-vulnerability-2019-spend-report.pdf" TargetMode="External"/><Relationship Id="rId12" Type="http://schemas.openxmlformats.org/officeDocument/2006/relationships/printerSettings" Target="../printerSettings/printerSettings6.bin"/><Relationship Id="rId2" Type="http://schemas.openxmlformats.org/officeDocument/2006/relationships/hyperlink" Target="http://www.familieslink.co.uk/download/june07/Review%20of%20child%20care.pdf" TargetMode="External"/><Relationship Id="rId1" Type="http://schemas.openxmlformats.org/officeDocument/2006/relationships/hyperlink" Target="https://www.childrenscommissioner.gov.uk/wp-content/uploads/2019/07/cco-vulnerability-2019-spend-report.pdf" TargetMode="External"/><Relationship Id="rId6" Type="http://schemas.openxmlformats.org/officeDocument/2006/relationships/hyperlink" Target="https://www.childrenscommissioner.gov.uk/wp-content/uploads/2019/07/cco-vulnerability-2019-spend-report.pdf" TargetMode="External"/><Relationship Id="rId11" Type="http://schemas.openxmlformats.org/officeDocument/2006/relationships/hyperlink" Target="https://www.childrenscommissioner.gov.uk/wp-content/uploads/2019/07/cco-vulnerability-2019-spend-report.pdf" TargetMode="External"/><Relationship Id="rId5" Type="http://schemas.openxmlformats.org/officeDocument/2006/relationships/hyperlink" Target="https://www.childrenscommissioner.gov.uk/wp-content/uploads/2019/07/cco-vulnerability-2019-spend-report.pdf" TargetMode="External"/><Relationship Id="rId15" Type="http://schemas.openxmlformats.org/officeDocument/2006/relationships/comments" Target="../comments3.xml"/><Relationship Id="rId10" Type="http://schemas.openxmlformats.org/officeDocument/2006/relationships/hyperlink" Target="https://www.childrenscommissioner.gov.uk/wp-content/uploads/2019/07/cco-vulnerability-2019-spend-report.pdf" TargetMode="External"/><Relationship Id="rId4" Type="http://schemas.openxmlformats.org/officeDocument/2006/relationships/hyperlink" Target="https://www.actionforchildren.org.uk/news-and-blogs/press-releases/2020/february/uks-hidden-child-workforce/" TargetMode="External"/><Relationship Id="rId9" Type="http://schemas.openxmlformats.org/officeDocument/2006/relationships/hyperlink" Target="https://www.childrenscommissioner.gov.uk/wp-content/uploads/2019/07/cco-vulnerability-2019-spend-report.pdf" TargetMode="External"/><Relationship Id="rId1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thinknpc.org/resource-hub/misspent-youth/" TargetMode="External"/><Relationship Id="rId1" Type="http://schemas.openxmlformats.org/officeDocument/2006/relationships/hyperlink" Target="https://www.thinknpc.org/resource-hub/misspent-youth/"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8" Type="http://schemas.openxmlformats.org/officeDocument/2006/relationships/hyperlink" Target="https://pubmed.ncbi.nlm.nih.gov/30383615/" TargetMode="External"/><Relationship Id="rId13" Type="http://schemas.openxmlformats.org/officeDocument/2006/relationships/printerSettings" Target="../printerSettings/printerSettings8.bin"/><Relationship Id="rId3" Type="http://schemas.openxmlformats.org/officeDocument/2006/relationships/hyperlink" Target="https://www.centreformentalhealth.org.uk/sites/default/files/2018-11/Children%20of%20the%20Millennium.pdf" TargetMode="External"/><Relationship Id="rId7" Type="http://schemas.openxmlformats.org/officeDocument/2006/relationships/hyperlink" Target="https://pubmed.ncbi.nlm.nih.gov/30383615/" TargetMode="External"/><Relationship Id="rId12" Type="http://schemas.openxmlformats.org/officeDocument/2006/relationships/hyperlink" Target="https://pubmed.ncbi.nlm.nih.gov/30383615/" TargetMode="External"/><Relationship Id="rId2" Type="http://schemas.openxmlformats.org/officeDocument/2006/relationships/hyperlink" Target="https://www.centreformentalhealth.org.uk/sites/default/files/2018-11/Children%20of%20the%20Millennium.pdf" TargetMode="External"/><Relationship Id="rId16" Type="http://schemas.openxmlformats.org/officeDocument/2006/relationships/comments" Target="../comments5.xml"/><Relationship Id="rId1" Type="http://schemas.openxmlformats.org/officeDocument/2006/relationships/hyperlink" Target="https://www.nwcscnsenate.nhs.uk/files/3914/7030/1256/Costs_of_perinatal_mh.pdf" TargetMode="External"/><Relationship Id="rId6" Type="http://schemas.openxmlformats.org/officeDocument/2006/relationships/hyperlink" Target="https://www.nwcscnsenate.nhs.uk/files/3914/7030/1256/Costs_of_perinatal_mh.pdf" TargetMode="External"/><Relationship Id="rId11" Type="http://schemas.openxmlformats.org/officeDocument/2006/relationships/hyperlink" Target="https://www.nwcscnsenate.nhs.uk/files/3914/7030/1256/Costs_of_perinatal_mh.pdf" TargetMode="External"/><Relationship Id="rId5" Type="http://schemas.openxmlformats.org/officeDocument/2006/relationships/hyperlink" Target="https://www.centreformentalhealth.org.uk/sites/default/files/2018-11/Children%20of%20the%20Millennium.pdf" TargetMode="External"/><Relationship Id="rId15" Type="http://schemas.openxmlformats.org/officeDocument/2006/relationships/vmlDrawing" Target="../drawings/vmlDrawing5.vml"/><Relationship Id="rId10" Type="http://schemas.openxmlformats.org/officeDocument/2006/relationships/hyperlink" Target="https://pubmed.ncbi.nlm.nih.gov/30383615/" TargetMode="External"/><Relationship Id="rId4" Type="http://schemas.openxmlformats.org/officeDocument/2006/relationships/hyperlink" Target="https://www.centreformentalhealth.org.uk/sites/default/files/2018-11/Children%20of%20the%20Millennium.pdf" TargetMode="External"/><Relationship Id="rId9" Type="http://schemas.openxmlformats.org/officeDocument/2006/relationships/hyperlink" Target="https://pubmed.ncbi.nlm.nih.gov/30383615/" TargetMode="External"/><Relationship Id="rId14"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crisis.org.uk/media/238957/assessing_the_costs_and_benefits_of_crisis-_plan_to_end_homelessness_2018.pdf" TargetMode="External"/><Relationship Id="rId7" Type="http://schemas.openxmlformats.org/officeDocument/2006/relationships/comments" Target="../comments6.xml"/><Relationship Id="rId2" Type="http://schemas.openxmlformats.org/officeDocument/2006/relationships/hyperlink" Target="https://www.crisis.org.uk/media/238957/assessing_the_costs_and_benefits_of_crisis-_plan_to_end_homelessness_2018.pdf" TargetMode="External"/><Relationship Id="rId1" Type="http://schemas.openxmlformats.org/officeDocument/2006/relationships/hyperlink" Target="https://www.crisis.org.uk/media/238957/assessing_the_costs_and_benefits_of_crisis-_plan_to_end_homelessness_2018.pdf" TargetMode="External"/><Relationship Id="rId6" Type="http://schemas.openxmlformats.org/officeDocument/2006/relationships/vmlDrawing" Target="../drawings/vmlDrawing6.vml"/><Relationship Id="rId5" Type="http://schemas.openxmlformats.org/officeDocument/2006/relationships/drawing" Target="../drawings/drawing9.xml"/><Relationship Id="rId4"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https://www.pssru.ac.uk/pub/uc/uc2019/services.pdf" TargetMode="External"/><Relationship Id="rId13" Type="http://schemas.openxmlformats.org/officeDocument/2006/relationships/hyperlink" Target="https://www.pssru.ac.uk/pub/uc/uc2019/services.pdf" TargetMode="External"/><Relationship Id="rId18" Type="http://schemas.openxmlformats.org/officeDocument/2006/relationships/comments" Target="../comments7.xml"/><Relationship Id="rId3" Type="http://schemas.openxmlformats.org/officeDocument/2006/relationships/hyperlink" Target="https://www.pssru.ac.uk/pub/uc/uc2019/services.pdf" TargetMode="External"/><Relationship Id="rId7" Type="http://schemas.openxmlformats.org/officeDocument/2006/relationships/hyperlink" Target="https://www.pssru.ac.uk/pub/uc/uc2019/services.pdf" TargetMode="External"/><Relationship Id="rId12" Type="http://schemas.openxmlformats.org/officeDocument/2006/relationships/hyperlink" Target="https://www.pssru.ac.uk/pub/uc/uc2019/services.pdf" TargetMode="External"/><Relationship Id="rId17" Type="http://schemas.openxmlformats.org/officeDocument/2006/relationships/vmlDrawing" Target="../drawings/vmlDrawing7.vml"/><Relationship Id="rId2" Type="http://schemas.openxmlformats.org/officeDocument/2006/relationships/hyperlink" Target="https://www.pssru.ac.uk/pub/uc/uc2019/services.pdf" TargetMode="External"/><Relationship Id="rId16" Type="http://schemas.openxmlformats.org/officeDocument/2006/relationships/drawing" Target="../drawings/drawing10.xml"/><Relationship Id="rId1" Type="http://schemas.openxmlformats.org/officeDocument/2006/relationships/hyperlink" Target="https://www.pssru.ac.uk/pub/uc/uc2019/services.pdf" TargetMode="External"/><Relationship Id="rId6" Type="http://schemas.openxmlformats.org/officeDocument/2006/relationships/hyperlink" Target="https://www.pssru.ac.uk/pub/uc/uc2019/services.pdf" TargetMode="External"/><Relationship Id="rId11" Type="http://schemas.openxmlformats.org/officeDocument/2006/relationships/hyperlink" Target="https://www.pssru.ac.uk/pub/uc/uc2019/services.pdf" TargetMode="External"/><Relationship Id="rId5" Type="http://schemas.openxmlformats.org/officeDocument/2006/relationships/hyperlink" Target="https://www.pssru.ac.uk/pub/uc/uc2019/services.pdf" TargetMode="External"/><Relationship Id="rId15" Type="http://schemas.openxmlformats.org/officeDocument/2006/relationships/printerSettings" Target="../printerSettings/printerSettings10.bin"/><Relationship Id="rId10" Type="http://schemas.openxmlformats.org/officeDocument/2006/relationships/hyperlink" Target="https://www.pssru.ac.uk/pub/uc/uc2019/services.pdf" TargetMode="External"/><Relationship Id="rId4" Type="http://schemas.openxmlformats.org/officeDocument/2006/relationships/hyperlink" Target="https://www.pssru.ac.uk/pub/uc/uc2019/services.pdf" TargetMode="External"/><Relationship Id="rId9" Type="http://schemas.openxmlformats.org/officeDocument/2006/relationships/hyperlink" Target="https://www.pssru.ac.uk/pub/uc/uc2019/services.pdf" TargetMode="External"/><Relationship Id="rId14" Type="http://schemas.openxmlformats.org/officeDocument/2006/relationships/hyperlink" Target="https://www.pssru.ac.uk/pub/uc/uc2019/services.pdf" TargetMode="External"/></Relationships>
</file>

<file path=xl/worksheets/_rels/sheet13.xml.rels><?xml version="1.0" encoding="UTF-8" standalone="yes"?>
<Relationships xmlns="http://schemas.openxmlformats.org/package/2006/relationships"><Relationship Id="rId13" Type="http://schemas.openxmlformats.org/officeDocument/2006/relationships/hyperlink" Target="https://assets.publishing.service.gov.uk/government/uploads/system/uploads/attachment_data/file/732110/the-economic-and-social-costs-of-crime-horr99.pdf" TargetMode="External"/><Relationship Id="rId18" Type="http://schemas.openxmlformats.org/officeDocument/2006/relationships/hyperlink" Target="https://assets.publishing.service.gov.uk/government/uploads/system/uploads/attachment_data/file/732110/the-economic-and-social-costs-of-crime-horr99.pdf" TargetMode="External"/><Relationship Id="rId26" Type="http://schemas.openxmlformats.org/officeDocument/2006/relationships/hyperlink" Target="https://assets.publishing.service.gov.uk/government/uploads/system/uploads/attachment_data/file/732110/the-economic-and-social-costs-of-crime-horr99.pdf" TargetMode="External"/><Relationship Id="rId3" Type="http://schemas.openxmlformats.org/officeDocument/2006/relationships/hyperlink" Target="https://assets.publishing.service.gov.uk/government/uploads/system/uploads/attachment_data/file/772180/horr107.pdf" TargetMode="External"/><Relationship Id="rId21" Type="http://schemas.openxmlformats.org/officeDocument/2006/relationships/hyperlink" Target="https://assets.publishing.service.gov.uk/government/uploads/system/uploads/attachment_data/file/732110/the-economic-and-social-costs-of-crime-horr99.pdf" TargetMode="External"/><Relationship Id="rId34" Type="http://schemas.openxmlformats.org/officeDocument/2006/relationships/drawing" Target="../drawings/drawing11.xml"/><Relationship Id="rId7" Type="http://schemas.openxmlformats.org/officeDocument/2006/relationships/hyperlink" Target="https://assets.publishing.service.gov.uk/government/uploads/system/uploads/attachment_data/file/782656/understanding-organised-crime-mar16-horr103-2nd.pdf" TargetMode="External"/><Relationship Id="rId12" Type="http://schemas.openxmlformats.org/officeDocument/2006/relationships/hyperlink" Target="https://assets.publishing.service.gov.uk/government/uploads/system/uploads/attachment_data/file/732110/the-economic-and-social-costs-of-crime-horr99.pdf" TargetMode="External"/><Relationship Id="rId17" Type="http://schemas.openxmlformats.org/officeDocument/2006/relationships/hyperlink" Target="https://assets.publishing.service.gov.uk/government/uploads/system/uploads/attachment_data/file/732110/the-economic-and-social-costs-of-crime-horr99.pdf" TargetMode="External"/><Relationship Id="rId25" Type="http://schemas.openxmlformats.org/officeDocument/2006/relationships/hyperlink" Target="https://assets.publishing.service.gov.uk/government/uploads/system/uploads/attachment_data/file/732110/the-economic-and-social-costs-of-crime-horr99.pdf" TargetMode="External"/><Relationship Id="rId33" Type="http://schemas.openxmlformats.org/officeDocument/2006/relationships/printerSettings" Target="../printerSettings/printerSettings11.bin"/><Relationship Id="rId2" Type="http://schemas.openxmlformats.org/officeDocument/2006/relationships/hyperlink" Target="https://assets.publishing.service.gov.uk/government/uploads/system/uploads/attachment_data/file/772180/horr107.pdf" TargetMode="External"/><Relationship Id="rId16" Type="http://schemas.openxmlformats.org/officeDocument/2006/relationships/hyperlink" Target="https://assets.publishing.service.gov.uk/government/uploads/system/uploads/attachment_data/file/732110/the-economic-and-social-costs-of-crime-horr99.pdf" TargetMode="External"/><Relationship Id="rId20" Type="http://schemas.openxmlformats.org/officeDocument/2006/relationships/hyperlink" Target="https://assets.publishing.service.gov.uk/government/uploads/system/uploads/attachment_data/file/732110/the-economic-and-social-costs-of-crime-horr99.pdf" TargetMode="External"/><Relationship Id="rId29" Type="http://schemas.openxmlformats.org/officeDocument/2006/relationships/hyperlink" Target="https://assets.publishing.service.gov.uk/government/uploads/system/uploads/attachment_data/file/732110/the-economic-and-social-costs-of-crime-horr99.pdf" TargetMode="External"/><Relationship Id="rId1" Type="http://schemas.openxmlformats.org/officeDocument/2006/relationships/hyperlink" Target="https://assets.publishing.service.gov.uk/government/uploads/system/uploads/attachment_data/file/772180/horr107.pdf" TargetMode="External"/><Relationship Id="rId6" Type="http://schemas.openxmlformats.org/officeDocument/2006/relationships/hyperlink" Target="https://assets.publishing.service.gov.uk/government/uploads/system/uploads/attachment_data/file/732110/the-economic-and-social-costs-of-crime-horr99.pdf" TargetMode="External"/><Relationship Id="rId11" Type="http://schemas.openxmlformats.org/officeDocument/2006/relationships/hyperlink" Target="https://assets.publishing.service.gov.uk/government/uploads/system/uploads/attachment_data/file/732110/the-economic-and-social-costs-of-crime-horr99.pdf" TargetMode="External"/><Relationship Id="rId24" Type="http://schemas.openxmlformats.org/officeDocument/2006/relationships/hyperlink" Target="https://assets.publishing.service.gov.uk/government/uploads/system/uploads/attachment_data/file/732110/the-economic-and-social-costs-of-crime-horr99.pdf" TargetMode="External"/><Relationship Id="rId32" Type="http://schemas.openxmlformats.org/officeDocument/2006/relationships/hyperlink" Target="https://assets.publishing.service.gov.uk/government/uploads/system/uploads/attachment_data/file/772180/horr107.pdf" TargetMode="External"/><Relationship Id="rId5" Type="http://schemas.openxmlformats.org/officeDocument/2006/relationships/hyperlink" Target="https://assets.publishing.service.gov.uk/government/uploads/system/uploads/attachment_data/file/772180/horr107.pdf" TargetMode="External"/><Relationship Id="rId15" Type="http://schemas.openxmlformats.org/officeDocument/2006/relationships/hyperlink" Target="https://assets.publishing.service.gov.uk/government/uploads/system/uploads/attachment_data/file/732110/the-economic-and-social-costs-of-crime-horr99.pdf" TargetMode="External"/><Relationship Id="rId23" Type="http://schemas.openxmlformats.org/officeDocument/2006/relationships/hyperlink" Target="https://assets.publishing.service.gov.uk/government/uploads/system/uploads/attachment_data/file/732110/the-economic-and-social-costs-of-crime-horr99.pdf" TargetMode="External"/><Relationship Id="rId28" Type="http://schemas.openxmlformats.org/officeDocument/2006/relationships/hyperlink" Target="https://assets.publishing.service.gov.uk/government/uploads/system/uploads/attachment_data/file/732110/the-economic-and-social-costs-of-crime-horr99.pdf" TargetMode="External"/><Relationship Id="rId36" Type="http://schemas.openxmlformats.org/officeDocument/2006/relationships/comments" Target="../comments8.xml"/><Relationship Id="rId10" Type="http://schemas.openxmlformats.org/officeDocument/2006/relationships/hyperlink" Target="https://assets.publishing.service.gov.uk/government/uploads/system/uploads/attachment_data/file/732110/the-economic-and-social-costs-of-crime-horr99.pdf" TargetMode="External"/><Relationship Id="rId19" Type="http://schemas.openxmlformats.org/officeDocument/2006/relationships/hyperlink" Target="https://assets.publishing.service.gov.uk/government/uploads/system/uploads/attachment_data/file/732110/the-economic-and-social-costs-of-crime-horr99.pdf" TargetMode="External"/><Relationship Id="rId31" Type="http://schemas.openxmlformats.org/officeDocument/2006/relationships/hyperlink" Target="https://assets.publishing.service.gov.uk/government/uploads/system/uploads/attachment_data/file/732110/the-economic-and-social-costs-of-crime-horr99.pdf" TargetMode="External"/><Relationship Id="rId4" Type="http://schemas.openxmlformats.org/officeDocument/2006/relationships/hyperlink" Target="https://assets.publishing.service.gov.uk/government/uploads/system/uploads/attachment_data/file/772180/horr107.pdf" TargetMode="External"/><Relationship Id="rId9" Type="http://schemas.openxmlformats.org/officeDocument/2006/relationships/hyperlink" Target="https://assets.publishing.service.gov.uk/government/uploads/system/uploads/attachment_data/file/732110/the-economic-and-social-costs-of-crime-horr99.pdf" TargetMode="External"/><Relationship Id="rId14" Type="http://schemas.openxmlformats.org/officeDocument/2006/relationships/hyperlink" Target="https://assets.publishing.service.gov.uk/government/uploads/system/uploads/attachment_data/file/732110/the-economic-and-social-costs-of-crime-horr99.pdf" TargetMode="External"/><Relationship Id="rId22" Type="http://schemas.openxmlformats.org/officeDocument/2006/relationships/hyperlink" Target="https://assets.publishing.service.gov.uk/government/uploads/system/uploads/attachment_data/file/732110/the-economic-and-social-costs-of-crime-horr99.pdf" TargetMode="External"/><Relationship Id="rId27" Type="http://schemas.openxmlformats.org/officeDocument/2006/relationships/hyperlink" Target="https://assets.publishing.service.gov.uk/government/uploads/system/uploads/attachment_data/file/732110/the-economic-and-social-costs-of-crime-horr99.pdf" TargetMode="External"/><Relationship Id="rId30" Type="http://schemas.openxmlformats.org/officeDocument/2006/relationships/hyperlink" Target="https://assets.publishing.service.gov.uk/government/uploads/system/uploads/attachment_data/file/732110/the-economic-and-social-costs-of-crime-horr99.pdf" TargetMode="External"/><Relationship Id="rId35" Type="http://schemas.openxmlformats.org/officeDocument/2006/relationships/vmlDrawing" Target="../drawings/vmlDrawing8.vml"/><Relationship Id="rId8" Type="http://schemas.openxmlformats.org/officeDocument/2006/relationships/hyperlink" Target="https://assets.publishing.service.gov.uk/government/uploads/system/uploads/attachment_data/file/732110/the-economic-and-social-costs-of-crime-horr99.pdf"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https://www.gov.uk/government/statistics/gdp-deflators-at-market-prices-and-money-gdp-march-2021-budget"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hyperlink" Target="https://www.theguardian.com/society/2019/sep/23/kinship-carers-left-with-debt-and-ill-health-for-doing-the-right-thing" TargetMode="External"/><Relationship Id="rId1" Type="http://schemas.openxmlformats.org/officeDocument/2006/relationships/hyperlink" Target="https://www.frg.org.uk/images/e-publications/Kinship_carers_survey_analysis.pdf"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www.nwcscnsenate.nhs.uk/files/3914/7030/1256/Costs_of_perinatal_mh.pdf" TargetMode="Externa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5.bin"/><Relationship Id="rId1" Type="http://schemas.openxmlformats.org/officeDocument/2006/relationships/hyperlink" Target="https://www.poundsterlinglive.com/best-exchange-rates/best-us-dollar-to-british-pound-history-2017"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ADADF-CF34-41CD-B96E-5C8376E500F2}">
  <sheetPr codeName="Sheet21">
    <tabColor rgb="FF7030A0"/>
  </sheetPr>
  <dimension ref="B1:K43"/>
  <sheetViews>
    <sheetView zoomScale="85" zoomScaleNormal="85" workbookViewId="0">
      <selection activeCell="K34" sqref="K34"/>
    </sheetView>
  </sheetViews>
  <sheetFormatPr defaultColWidth="8.7890625" defaultRowHeight="14.4" x14ac:dyDescent="0.55000000000000004"/>
  <cols>
    <col min="1" max="1" width="2.20703125" style="381" customWidth="1"/>
    <col min="2" max="2" width="8.7890625" style="381"/>
    <col min="3" max="3" width="15" style="381" customWidth="1"/>
    <col min="4" max="4" width="10.20703125" style="381" bestFit="1" customWidth="1"/>
    <col min="5" max="5" width="8.7890625" style="381"/>
    <col min="6" max="6" width="23.20703125" style="381" bestFit="1" customWidth="1"/>
    <col min="7" max="7" width="13" style="389" customWidth="1"/>
    <col min="8" max="8" width="76" style="381" customWidth="1"/>
    <col min="9" max="9" width="29.7890625" style="381" customWidth="1"/>
    <col min="10" max="10" width="16.41796875" style="381" customWidth="1"/>
    <col min="11" max="11" width="76.5234375" style="389" customWidth="1"/>
    <col min="12" max="16384" width="8.7890625" style="381"/>
  </cols>
  <sheetData>
    <row r="1" spans="2:11" ht="23.4" thickBot="1" x14ac:dyDescent="0.6">
      <c r="B1" s="380" t="s">
        <v>0</v>
      </c>
    </row>
    <row r="2" spans="2:11" ht="14.7" thickBot="1" x14ac:dyDescent="0.6">
      <c r="I2" s="384" t="s">
        <v>1</v>
      </c>
    </row>
    <row r="3" spans="2:11" x14ac:dyDescent="0.55000000000000004">
      <c r="I3" s="385" t="s">
        <v>2</v>
      </c>
    </row>
    <row r="4" spans="2:11" x14ac:dyDescent="0.55000000000000004">
      <c r="I4" s="386" t="s">
        <v>3</v>
      </c>
    </row>
    <row r="5" spans="2:11" ht="14.7" thickBot="1" x14ac:dyDescent="0.6">
      <c r="I5" s="387" t="s">
        <v>4</v>
      </c>
    </row>
    <row r="7" spans="2:11" x14ac:dyDescent="0.55000000000000004">
      <c r="B7" s="382" t="s">
        <v>5</v>
      </c>
      <c r="C7" s="382" t="s">
        <v>6</v>
      </c>
      <c r="D7" s="382" t="s">
        <v>7</v>
      </c>
      <c r="E7" s="382" t="s">
        <v>8</v>
      </c>
      <c r="F7" s="382" t="s">
        <v>9</v>
      </c>
      <c r="G7" s="383" t="s">
        <v>10</v>
      </c>
      <c r="H7" s="383" t="s">
        <v>11</v>
      </c>
      <c r="I7" s="382" t="s">
        <v>12</v>
      </c>
      <c r="J7" s="383" t="s">
        <v>13</v>
      </c>
      <c r="K7" s="383" t="s">
        <v>14</v>
      </c>
    </row>
    <row r="8" spans="2:11" x14ac:dyDescent="0.55000000000000004">
      <c r="B8" s="390">
        <v>1</v>
      </c>
      <c r="C8" s="391">
        <v>44286</v>
      </c>
      <c r="D8" s="392" t="s">
        <v>15</v>
      </c>
      <c r="E8" s="392" t="s">
        <v>16</v>
      </c>
      <c r="F8" s="393" t="s">
        <v>17</v>
      </c>
      <c r="G8" s="394"/>
      <c r="H8" s="394" t="s">
        <v>18</v>
      </c>
      <c r="I8" s="396"/>
      <c r="J8" s="395"/>
      <c r="K8" s="440"/>
    </row>
    <row r="9" spans="2:11" x14ac:dyDescent="0.55000000000000004">
      <c r="B9" s="390">
        <v>2</v>
      </c>
      <c r="C9" s="391">
        <v>44286</v>
      </c>
      <c r="D9" s="392" t="s">
        <v>15</v>
      </c>
      <c r="E9" s="392" t="s">
        <v>16</v>
      </c>
      <c r="F9" s="393" t="s">
        <v>19</v>
      </c>
      <c r="G9" s="394" t="s">
        <v>20</v>
      </c>
      <c r="H9" s="394" t="s">
        <v>21</v>
      </c>
      <c r="I9" s="396"/>
      <c r="J9" s="395"/>
      <c r="K9" s="438"/>
    </row>
    <row r="10" spans="2:11" x14ac:dyDescent="0.55000000000000004">
      <c r="B10" s="390">
        <v>3</v>
      </c>
      <c r="C10" s="391">
        <v>44286</v>
      </c>
      <c r="D10" s="392" t="s">
        <v>15</v>
      </c>
      <c r="E10" s="392" t="s">
        <v>16</v>
      </c>
      <c r="F10" s="393" t="s">
        <v>19</v>
      </c>
      <c r="G10" s="394" t="s">
        <v>22</v>
      </c>
      <c r="H10" s="394" t="s">
        <v>23</v>
      </c>
      <c r="I10" s="396"/>
      <c r="J10" s="395"/>
      <c r="K10" s="438"/>
    </row>
    <row r="11" spans="2:11" x14ac:dyDescent="0.55000000000000004">
      <c r="B11" s="390">
        <v>4</v>
      </c>
      <c r="C11" s="391">
        <v>44286</v>
      </c>
      <c r="D11" s="392" t="s">
        <v>15</v>
      </c>
      <c r="E11" s="392" t="s">
        <v>16</v>
      </c>
      <c r="F11" s="393" t="s">
        <v>24</v>
      </c>
      <c r="G11" s="394" t="s">
        <v>25</v>
      </c>
      <c r="H11" s="394" t="s">
        <v>26</v>
      </c>
      <c r="I11" s="424"/>
      <c r="J11" s="395"/>
      <c r="K11" s="438" t="s">
        <v>27</v>
      </c>
    </row>
    <row r="12" spans="2:11" ht="28.8" x14ac:dyDescent="0.55000000000000004">
      <c r="B12" s="390">
        <v>5</v>
      </c>
      <c r="C12" s="391">
        <v>44286</v>
      </c>
      <c r="D12" s="392" t="s">
        <v>15</v>
      </c>
      <c r="E12" s="392" t="s">
        <v>16</v>
      </c>
      <c r="F12" s="393" t="s">
        <v>28</v>
      </c>
      <c r="G12" s="394" t="s">
        <v>29</v>
      </c>
      <c r="H12" s="394" t="s">
        <v>30</v>
      </c>
      <c r="I12" s="425"/>
      <c r="J12" s="395"/>
      <c r="K12" s="438"/>
    </row>
    <row r="13" spans="2:11" ht="28.8" x14ac:dyDescent="0.55000000000000004">
      <c r="B13" s="390">
        <v>6</v>
      </c>
      <c r="C13" s="391">
        <v>44286</v>
      </c>
      <c r="D13" s="392" t="s">
        <v>15</v>
      </c>
      <c r="E13" s="392" t="s">
        <v>16</v>
      </c>
      <c r="F13" s="393" t="s">
        <v>31</v>
      </c>
      <c r="G13" s="394"/>
      <c r="H13" s="394" t="s">
        <v>32</v>
      </c>
      <c r="I13" s="425"/>
      <c r="J13" s="395"/>
      <c r="K13" s="438" t="s">
        <v>33</v>
      </c>
    </row>
    <row r="14" spans="2:11" ht="28.8" x14ac:dyDescent="0.55000000000000004">
      <c r="B14" s="390">
        <v>7</v>
      </c>
      <c r="C14" s="391">
        <v>44286</v>
      </c>
      <c r="D14" s="392" t="s">
        <v>15</v>
      </c>
      <c r="E14" s="392" t="s">
        <v>16</v>
      </c>
      <c r="F14" s="393" t="s">
        <v>31</v>
      </c>
      <c r="G14" s="394"/>
      <c r="H14" s="394" t="s">
        <v>34</v>
      </c>
      <c r="I14" s="425"/>
      <c r="J14" s="395"/>
      <c r="K14" s="438" t="s">
        <v>33</v>
      </c>
    </row>
    <row r="15" spans="2:11" x14ac:dyDescent="0.55000000000000004">
      <c r="B15" s="390">
        <v>8</v>
      </c>
      <c r="C15" s="391">
        <v>44286</v>
      </c>
      <c r="D15" s="392" t="s">
        <v>15</v>
      </c>
      <c r="E15" s="392" t="s">
        <v>16</v>
      </c>
      <c r="F15" s="393" t="s">
        <v>28</v>
      </c>
      <c r="G15" s="394" t="s">
        <v>35</v>
      </c>
      <c r="H15" s="394" t="s">
        <v>36</v>
      </c>
      <c r="I15" s="425"/>
      <c r="J15" s="395"/>
      <c r="K15" s="438" t="s">
        <v>37</v>
      </c>
    </row>
    <row r="16" spans="2:11" ht="43.2" x14ac:dyDescent="0.55000000000000004">
      <c r="B16" s="390">
        <v>9</v>
      </c>
      <c r="C16" s="391">
        <v>44286</v>
      </c>
      <c r="D16" s="392" t="s">
        <v>15</v>
      </c>
      <c r="E16" s="392" t="s">
        <v>16</v>
      </c>
      <c r="F16" s="393" t="s">
        <v>28</v>
      </c>
      <c r="G16" s="394" t="s">
        <v>38</v>
      </c>
      <c r="H16" s="394" t="s">
        <v>39</v>
      </c>
      <c r="I16" s="396"/>
      <c r="J16" s="395"/>
      <c r="K16" s="438"/>
    </row>
    <row r="17" spans="2:11" x14ac:dyDescent="0.55000000000000004">
      <c r="B17" s="390">
        <v>10</v>
      </c>
      <c r="C17" s="391">
        <v>44286</v>
      </c>
      <c r="D17" s="392" t="s">
        <v>15</v>
      </c>
      <c r="E17" s="392" t="s">
        <v>16</v>
      </c>
      <c r="F17" s="393" t="s">
        <v>28</v>
      </c>
      <c r="G17" s="394" t="s">
        <v>40</v>
      </c>
      <c r="H17" s="394" t="s">
        <v>41</v>
      </c>
      <c r="I17" s="396"/>
      <c r="J17" s="395"/>
      <c r="K17" s="438"/>
    </row>
    <row r="18" spans="2:11" ht="28.8" x14ac:dyDescent="0.55000000000000004">
      <c r="B18" s="390">
        <v>11</v>
      </c>
      <c r="C18" s="391">
        <v>44286</v>
      </c>
      <c r="D18" s="392" t="s">
        <v>15</v>
      </c>
      <c r="E18" s="392" t="s">
        <v>16</v>
      </c>
      <c r="F18" s="393" t="s">
        <v>28</v>
      </c>
      <c r="G18" s="394"/>
      <c r="H18" s="394" t="s">
        <v>42</v>
      </c>
      <c r="I18" s="396"/>
      <c r="J18" s="395"/>
      <c r="K18" s="438"/>
    </row>
    <row r="19" spans="2:11" ht="28.8" x14ac:dyDescent="0.55000000000000004">
      <c r="B19" s="390">
        <v>12</v>
      </c>
      <c r="C19" s="391">
        <v>44286</v>
      </c>
      <c r="D19" s="392" t="s">
        <v>15</v>
      </c>
      <c r="E19" s="392" t="s">
        <v>16</v>
      </c>
      <c r="F19" s="393" t="s">
        <v>43</v>
      </c>
      <c r="G19" s="394" t="s">
        <v>44</v>
      </c>
      <c r="H19" s="394" t="s">
        <v>45</v>
      </c>
      <c r="I19" s="396"/>
      <c r="J19" s="395"/>
      <c r="K19" s="438"/>
    </row>
    <row r="20" spans="2:11" ht="28.8" x14ac:dyDescent="0.55000000000000004">
      <c r="B20" s="390">
        <v>13</v>
      </c>
      <c r="C20" s="391">
        <v>44286</v>
      </c>
      <c r="D20" s="392" t="s">
        <v>15</v>
      </c>
      <c r="E20" s="392" t="s">
        <v>16</v>
      </c>
      <c r="F20" s="393" t="s">
        <v>43</v>
      </c>
      <c r="G20" s="394" t="s">
        <v>46</v>
      </c>
      <c r="H20" s="394" t="s">
        <v>45</v>
      </c>
      <c r="I20" s="396"/>
      <c r="J20" s="395"/>
      <c r="K20" s="438"/>
    </row>
    <row r="21" spans="2:11" ht="28.8" x14ac:dyDescent="0.55000000000000004">
      <c r="B21" s="390">
        <v>14</v>
      </c>
      <c r="C21" s="391">
        <v>44286</v>
      </c>
      <c r="D21" s="392" t="s">
        <v>15</v>
      </c>
      <c r="E21" s="392" t="s">
        <v>16</v>
      </c>
      <c r="F21" s="393" t="s">
        <v>43</v>
      </c>
      <c r="G21" s="394"/>
      <c r="H21" s="394" t="s">
        <v>47</v>
      </c>
      <c r="I21" s="396"/>
      <c r="J21" s="395"/>
      <c r="K21" s="438"/>
    </row>
    <row r="22" spans="2:11" ht="28.8" x14ac:dyDescent="0.55000000000000004">
      <c r="B22" s="390">
        <v>15</v>
      </c>
      <c r="C22" s="391">
        <v>44286</v>
      </c>
      <c r="D22" s="392" t="s">
        <v>15</v>
      </c>
      <c r="E22" s="392" t="s">
        <v>16</v>
      </c>
      <c r="F22" s="393" t="s">
        <v>43</v>
      </c>
      <c r="G22" s="394" t="s">
        <v>48</v>
      </c>
      <c r="H22" s="394" t="s">
        <v>49</v>
      </c>
      <c r="I22" s="396"/>
      <c r="J22" s="395"/>
      <c r="K22" s="438"/>
    </row>
    <row r="23" spans="2:11" ht="28.8" x14ac:dyDescent="0.55000000000000004">
      <c r="B23" s="390">
        <v>16</v>
      </c>
      <c r="C23" s="391">
        <v>44286</v>
      </c>
      <c r="D23" s="392" t="s">
        <v>15</v>
      </c>
      <c r="E23" s="392" t="s">
        <v>16</v>
      </c>
      <c r="F23" s="393" t="s">
        <v>43</v>
      </c>
      <c r="G23" s="394" t="s">
        <v>50</v>
      </c>
      <c r="H23" s="394" t="s">
        <v>49</v>
      </c>
      <c r="I23" s="396"/>
      <c r="J23" s="395"/>
      <c r="K23" s="438"/>
    </row>
    <row r="24" spans="2:11" ht="28.8" x14ac:dyDescent="0.55000000000000004">
      <c r="B24" s="390">
        <v>17</v>
      </c>
      <c r="C24" s="391">
        <v>44286</v>
      </c>
      <c r="D24" s="392" t="s">
        <v>15</v>
      </c>
      <c r="E24" s="392" t="s">
        <v>16</v>
      </c>
      <c r="F24" s="393" t="s">
        <v>43</v>
      </c>
      <c r="G24" s="394" t="s">
        <v>51</v>
      </c>
      <c r="H24" s="394" t="s">
        <v>52</v>
      </c>
      <c r="I24" s="396"/>
      <c r="J24" s="395"/>
      <c r="K24" s="438"/>
    </row>
    <row r="25" spans="2:11" ht="28.8" x14ac:dyDescent="0.55000000000000004">
      <c r="B25" s="390">
        <v>18</v>
      </c>
      <c r="C25" s="391">
        <v>44286</v>
      </c>
      <c r="D25" s="392" t="s">
        <v>15</v>
      </c>
      <c r="E25" s="392" t="s">
        <v>16</v>
      </c>
      <c r="F25" s="393" t="s">
        <v>43</v>
      </c>
      <c r="G25" s="394" t="s">
        <v>53</v>
      </c>
      <c r="H25" s="394" t="s">
        <v>52</v>
      </c>
      <c r="I25" s="396"/>
      <c r="J25" s="395"/>
      <c r="K25" s="438"/>
    </row>
    <row r="26" spans="2:11" ht="28.8" x14ac:dyDescent="0.55000000000000004">
      <c r="B26" s="390">
        <v>19</v>
      </c>
      <c r="C26" s="391">
        <v>44286</v>
      </c>
      <c r="D26" s="392" t="s">
        <v>15</v>
      </c>
      <c r="E26" s="392" t="s">
        <v>16</v>
      </c>
      <c r="F26" s="393" t="s">
        <v>43</v>
      </c>
      <c r="G26" s="394" t="s">
        <v>54</v>
      </c>
      <c r="H26" s="394" t="s">
        <v>55</v>
      </c>
      <c r="I26" s="396"/>
      <c r="J26" s="395"/>
      <c r="K26" s="438"/>
    </row>
    <row r="27" spans="2:11" ht="28.8" x14ac:dyDescent="0.55000000000000004">
      <c r="B27" s="390">
        <v>20</v>
      </c>
      <c r="C27" s="391">
        <v>44286</v>
      </c>
      <c r="D27" s="392" t="s">
        <v>15</v>
      </c>
      <c r="E27" s="392" t="s">
        <v>16</v>
      </c>
      <c r="F27" s="393" t="s">
        <v>43</v>
      </c>
      <c r="G27" s="394" t="s">
        <v>56</v>
      </c>
      <c r="H27" s="394" t="s">
        <v>55</v>
      </c>
      <c r="I27" s="396"/>
      <c r="J27" s="395"/>
      <c r="K27" s="438"/>
    </row>
    <row r="28" spans="2:11" x14ac:dyDescent="0.55000000000000004">
      <c r="B28" s="390">
        <v>21</v>
      </c>
      <c r="C28" s="391">
        <v>44286</v>
      </c>
      <c r="D28" s="392" t="s">
        <v>15</v>
      </c>
      <c r="E28" s="392" t="s">
        <v>16</v>
      </c>
      <c r="F28" s="393" t="s">
        <v>57</v>
      </c>
      <c r="G28" s="394" t="s">
        <v>58</v>
      </c>
      <c r="H28" s="394" t="s">
        <v>59</v>
      </c>
      <c r="I28" s="396"/>
      <c r="J28" s="395"/>
      <c r="K28" s="438"/>
    </row>
    <row r="29" spans="2:11" x14ac:dyDescent="0.55000000000000004">
      <c r="B29" s="390">
        <v>22</v>
      </c>
      <c r="C29" s="391">
        <v>44286</v>
      </c>
      <c r="D29" s="392" t="s">
        <v>15</v>
      </c>
      <c r="E29" s="392" t="s">
        <v>16</v>
      </c>
      <c r="F29" s="393" t="s">
        <v>57</v>
      </c>
      <c r="G29" s="394" t="s">
        <v>60</v>
      </c>
      <c r="H29" s="394" t="s">
        <v>59</v>
      </c>
      <c r="I29" s="396"/>
      <c r="J29" s="395"/>
      <c r="K29" s="438"/>
    </row>
    <row r="30" spans="2:11" ht="28.8" x14ac:dyDescent="0.55000000000000004">
      <c r="B30" s="390">
        <v>23</v>
      </c>
      <c r="C30" s="391">
        <v>44286</v>
      </c>
      <c r="D30" s="392" t="s">
        <v>15</v>
      </c>
      <c r="E30" s="392" t="s">
        <v>16</v>
      </c>
      <c r="F30" s="393" t="s">
        <v>61</v>
      </c>
      <c r="G30" s="394"/>
      <c r="H30" s="394" t="s">
        <v>62</v>
      </c>
      <c r="I30" s="396"/>
      <c r="J30" s="395"/>
      <c r="K30" s="438"/>
    </row>
    <row r="31" spans="2:11" x14ac:dyDescent="0.55000000000000004">
      <c r="B31" s="390">
        <v>24</v>
      </c>
      <c r="C31" s="391">
        <v>44286</v>
      </c>
      <c r="D31" s="392" t="s">
        <v>15</v>
      </c>
      <c r="E31" s="392" t="s">
        <v>16</v>
      </c>
      <c r="F31" s="393" t="s">
        <v>63</v>
      </c>
      <c r="G31" s="394"/>
      <c r="H31" s="394" t="s">
        <v>64</v>
      </c>
      <c r="I31" s="425"/>
      <c r="J31" s="395"/>
      <c r="K31" s="438"/>
    </row>
    <row r="32" spans="2:11" ht="28.8" x14ac:dyDescent="0.55000000000000004">
      <c r="B32" s="390">
        <v>25</v>
      </c>
      <c r="C32" s="391">
        <v>44286</v>
      </c>
      <c r="D32" s="392" t="s">
        <v>15</v>
      </c>
      <c r="E32" s="392" t="s">
        <v>16</v>
      </c>
      <c r="F32" s="393" t="s">
        <v>24</v>
      </c>
      <c r="G32" s="394" t="s">
        <v>65</v>
      </c>
      <c r="H32" s="394" t="s">
        <v>66</v>
      </c>
      <c r="I32" s="425"/>
      <c r="J32" s="395"/>
      <c r="K32" s="438"/>
    </row>
    <row r="33" spans="2:11" x14ac:dyDescent="0.55000000000000004">
      <c r="B33" s="390">
        <v>26</v>
      </c>
      <c r="C33" s="391">
        <v>44286</v>
      </c>
      <c r="D33" s="392" t="s">
        <v>15</v>
      </c>
      <c r="E33" s="392" t="s">
        <v>16</v>
      </c>
      <c r="F33" s="393" t="s">
        <v>24</v>
      </c>
      <c r="G33" s="394" t="s">
        <v>67</v>
      </c>
      <c r="H33" s="394" t="s">
        <v>68</v>
      </c>
      <c r="I33" s="425"/>
      <c r="J33" s="395"/>
      <c r="K33" s="438"/>
    </row>
    <row r="34" spans="2:11" ht="28.8" x14ac:dyDescent="0.55000000000000004">
      <c r="B34" s="390">
        <v>27</v>
      </c>
      <c r="C34" s="391">
        <v>44286</v>
      </c>
      <c r="D34" s="392" t="s">
        <v>15</v>
      </c>
      <c r="E34" s="392" t="s">
        <v>16</v>
      </c>
      <c r="F34" s="393" t="s">
        <v>24</v>
      </c>
      <c r="G34" s="394" t="s">
        <v>69</v>
      </c>
      <c r="H34" s="394" t="s">
        <v>70</v>
      </c>
      <c r="I34" s="424"/>
      <c r="J34" s="395"/>
      <c r="K34" s="438" t="s">
        <v>71</v>
      </c>
    </row>
    <row r="35" spans="2:11" x14ac:dyDescent="0.55000000000000004">
      <c r="B35" s="390">
        <v>28</v>
      </c>
      <c r="C35" s="391">
        <v>44286</v>
      </c>
      <c r="D35" s="392" t="s">
        <v>15</v>
      </c>
      <c r="E35" s="392" t="s">
        <v>16</v>
      </c>
      <c r="F35" s="393" t="s">
        <v>24</v>
      </c>
      <c r="G35" s="394" t="s">
        <v>72</v>
      </c>
      <c r="H35" s="394" t="s">
        <v>68</v>
      </c>
      <c r="I35" s="425"/>
      <c r="J35" s="395"/>
      <c r="K35" s="438"/>
    </row>
    <row r="36" spans="2:11" x14ac:dyDescent="0.55000000000000004">
      <c r="B36" s="390">
        <v>29</v>
      </c>
      <c r="C36" s="391">
        <v>44286</v>
      </c>
      <c r="D36" s="392" t="s">
        <v>15</v>
      </c>
      <c r="E36" s="392" t="s">
        <v>16</v>
      </c>
      <c r="F36" s="393" t="s">
        <v>24</v>
      </c>
      <c r="G36" s="394" t="s">
        <v>73</v>
      </c>
      <c r="H36" s="394" t="s">
        <v>74</v>
      </c>
      <c r="I36" s="424"/>
      <c r="J36" s="395"/>
      <c r="K36" s="438" t="s">
        <v>75</v>
      </c>
    </row>
    <row r="37" spans="2:11" x14ac:dyDescent="0.55000000000000004">
      <c r="B37" s="390">
        <v>30</v>
      </c>
      <c r="C37" s="391">
        <v>44286</v>
      </c>
      <c r="D37" s="392" t="s">
        <v>15</v>
      </c>
      <c r="E37" s="392" t="s">
        <v>16</v>
      </c>
      <c r="F37" s="393" t="s">
        <v>24</v>
      </c>
      <c r="G37" s="394" t="s">
        <v>76</v>
      </c>
      <c r="H37" s="394" t="s">
        <v>77</v>
      </c>
      <c r="I37" s="424"/>
      <c r="J37" s="395"/>
      <c r="K37" s="438" t="s">
        <v>75</v>
      </c>
    </row>
    <row r="38" spans="2:11" x14ac:dyDescent="0.55000000000000004">
      <c r="B38" s="390">
        <v>31</v>
      </c>
      <c r="C38" s="391">
        <v>44286</v>
      </c>
      <c r="D38" s="392" t="s">
        <v>15</v>
      </c>
      <c r="E38" s="392" t="s">
        <v>16</v>
      </c>
      <c r="F38" s="393" t="s">
        <v>24</v>
      </c>
      <c r="G38" s="394" t="s">
        <v>78</v>
      </c>
      <c r="H38" s="394" t="s">
        <v>79</v>
      </c>
      <c r="I38" s="424"/>
      <c r="J38" s="395"/>
      <c r="K38" s="438" t="s">
        <v>75</v>
      </c>
    </row>
    <row r="39" spans="2:11" x14ac:dyDescent="0.55000000000000004">
      <c r="B39" s="390">
        <v>32</v>
      </c>
      <c r="C39" s="391">
        <v>44286</v>
      </c>
      <c r="D39" s="392" t="s">
        <v>15</v>
      </c>
      <c r="E39" s="392" t="s">
        <v>16</v>
      </c>
      <c r="F39" s="393" t="s">
        <v>24</v>
      </c>
      <c r="G39" s="394" t="s">
        <v>80</v>
      </c>
      <c r="H39" s="394" t="s">
        <v>81</v>
      </c>
      <c r="I39" s="425"/>
      <c r="J39" s="395"/>
      <c r="K39" s="438" t="s">
        <v>37</v>
      </c>
    </row>
    <row r="40" spans="2:11" x14ac:dyDescent="0.55000000000000004">
      <c r="B40" s="390">
        <v>33</v>
      </c>
      <c r="C40" s="391">
        <v>44286</v>
      </c>
      <c r="D40" s="392" t="s">
        <v>15</v>
      </c>
      <c r="E40" s="392" t="s">
        <v>16</v>
      </c>
      <c r="F40" s="393" t="s">
        <v>82</v>
      </c>
      <c r="G40" s="394" t="s">
        <v>83</v>
      </c>
      <c r="H40" s="394" t="s">
        <v>84</v>
      </c>
      <c r="I40" s="425"/>
      <c r="J40" s="395"/>
      <c r="K40" s="438"/>
    </row>
    <row r="41" spans="2:11" x14ac:dyDescent="0.55000000000000004">
      <c r="B41" s="390">
        <v>34</v>
      </c>
      <c r="C41" s="391">
        <v>44286</v>
      </c>
      <c r="D41" s="392" t="s">
        <v>15</v>
      </c>
      <c r="E41" s="392" t="s">
        <v>16</v>
      </c>
      <c r="F41" s="393" t="s">
        <v>82</v>
      </c>
      <c r="G41" s="394" t="s">
        <v>85</v>
      </c>
      <c r="H41" s="394" t="s">
        <v>84</v>
      </c>
      <c r="I41" s="425"/>
      <c r="J41" s="395"/>
      <c r="K41" s="438"/>
    </row>
    <row r="42" spans="2:11" x14ac:dyDescent="0.55000000000000004">
      <c r="B42" s="390">
        <v>35</v>
      </c>
      <c r="C42" s="391">
        <v>44286</v>
      </c>
      <c r="D42" s="392" t="s">
        <v>15</v>
      </c>
      <c r="E42" s="392" t="s">
        <v>16</v>
      </c>
      <c r="F42" s="393" t="s">
        <v>82</v>
      </c>
      <c r="G42" s="394" t="s">
        <v>86</v>
      </c>
      <c r="H42" s="394" t="s">
        <v>87</v>
      </c>
      <c r="I42" s="396"/>
      <c r="J42" s="395"/>
      <c r="K42" s="438"/>
    </row>
    <row r="43" spans="2:11" x14ac:dyDescent="0.55000000000000004">
      <c r="B43" s="390">
        <v>36</v>
      </c>
      <c r="C43" s="391">
        <v>44286</v>
      </c>
      <c r="D43" s="392" t="s">
        <v>15</v>
      </c>
      <c r="E43" s="392" t="s">
        <v>16</v>
      </c>
      <c r="F43" s="393" t="s">
        <v>82</v>
      </c>
      <c r="G43" s="394" t="s">
        <v>88</v>
      </c>
      <c r="H43" s="394" t="s">
        <v>84</v>
      </c>
      <c r="I43" s="425"/>
      <c r="J43" s="395"/>
      <c r="K43" s="43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60EE9-BD73-4457-AFD1-1F0EBD874C6C}">
  <sheetPr codeName="Sheet1">
    <tabColor rgb="FF98002E"/>
  </sheetPr>
  <dimension ref="A1:J44"/>
  <sheetViews>
    <sheetView showGridLines="0" showRowColHeaders="0" tabSelected="1" workbookViewId="0">
      <selection activeCell="F9" sqref="F9"/>
    </sheetView>
  </sheetViews>
  <sheetFormatPr defaultColWidth="9.20703125" defaultRowHeight="14.4" x14ac:dyDescent="0.55000000000000004"/>
  <cols>
    <col min="1" max="1" width="35.20703125" style="313" customWidth="1"/>
    <col min="2" max="2" width="5" style="39" customWidth="1"/>
    <col min="3" max="3" width="41" style="39" customWidth="1"/>
    <col min="4" max="4" width="29" style="39" customWidth="1"/>
    <col min="5" max="5" width="21.7890625" style="39" customWidth="1"/>
    <col min="6" max="16384" width="9.20703125" style="39"/>
  </cols>
  <sheetData>
    <row r="1" spans="1:10" s="42" customFormat="1" x14ac:dyDescent="0.55000000000000004">
      <c r="A1" s="310"/>
    </row>
    <row r="2" spans="1:10" s="42" customFormat="1" x14ac:dyDescent="0.55000000000000004">
      <c r="A2" s="310"/>
    </row>
    <row r="3" spans="1:10" s="42" customFormat="1" x14ac:dyDescent="0.55000000000000004">
      <c r="A3" s="310"/>
    </row>
    <row r="4" spans="1:10" s="42" customFormat="1" x14ac:dyDescent="0.55000000000000004">
      <c r="A4" s="310"/>
    </row>
    <row r="5" spans="1:10" s="42" customFormat="1" x14ac:dyDescent="0.55000000000000004">
      <c r="A5" s="310"/>
    </row>
    <row r="6" spans="1:10" s="42" customFormat="1" ht="34.799999999999997" x14ac:dyDescent="0.55000000000000004">
      <c r="A6" s="310"/>
      <c r="H6" s="308"/>
    </row>
    <row r="7" spans="1:10" s="42" customFormat="1" ht="32.700000000000003" x14ac:dyDescent="1.05">
      <c r="A7" s="310"/>
      <c r="C7" s="43" t="s">
        <v>89</v>
      </c>
      <c r="J7" s="50"/>
    </row>
    <row r="8" spans="1:10" s="42" customFormat="1" ht="32.700000000000003" x14ac:dyDescent="1.05">
      <c r="A8" s="310"/>
      <c r="C8" s="43" t="s">
        <v>910</v>
      </c>
      <c r="J8" s="51"/>
    </row>
    <row r="9" spans="1:10" s="42" customFormat="1" ht="15" x14ac:dyDescent="0.55000000000000004">
      <c r="A9" s="310"/>
      <c r="J9" s="51"/>
    </row>
    <row r="10" spans="1:10" s="44" customFormat="1" ht="15" x14ac:dyDescent="0.5">
      <c r="A10" s="311"/>
      <c r="C10" s="376" t="s">
        <v>90</v>
      </c>
      <c r="J10" s="50"/>
    </row>
    <row r="11" spans="1:10" s="44" customFormat="1" ht="15" x14ac:dyDescent="0.5">
      <c r="A11" s="311"/>
      <c r="C11" s="45"/>
      <c r="J11" s="50"/>
    </row>
    <row r="12" spans="1:10" s="44" customFormat="1" ht="19.8" x14ac:dyDescent="0.65">
      <c r="A12" s="311"/>
      <c r="C12" s="49" t="s">
        <v>91</v>
      </c>
      <c r="J12" s="50"/>
    </row>
    <row r="13" spans="1:10" s="44" customFormat="1" ht="60.75" customHeight="1" x14ac:dyDescent="0.5">
      <c r="A13" s="311"/>
      <c r="C13" s="570" t="s">
        <v>903</v>
      </c>
      <c r="D13" s="570"/>
      <c r="E13" s="570"/>
      <c r="F13" s="570"/>
      <c r="G13" s="570"/>
      <c r="H13" s="570"/>
    </row>
    <row r="14" spans="1:10" s="46" customFormat="1" ht="15" x14ac:dyDescent="0.5">
      <c r="A14" s="312"/>
      <c r="C14" s="46" t="s">
        <v>814</v>
      </c>
    </row>
    <row r="15" spans="1:10" s="46" customFormat="1" ht="9.6" customHeight="1" x14ac:dyDescent="0.5">
      <c r="A15" s="312"/>
    </row>
    <row r="16" spans="1:10" s="46" customFormat="1" ht="15" x14ac:dyDescent="0.5">
      <c r="A16" s="312"/>
      <c r="C16" s="46" t="s">
        <v>92</v>
      </c>
    </row>
    <row r="17" spans="1:4" s="46" customFormat="1" ht="15" x14ac:dyDescent="0.5">
      <c r="A17" s="312"/>
      <c r="C17" s="46" t="s">
        <v>93</v>
      </c>
    </row>
    <row r="18" spans="1:4" s="46" customFormat="1" ht="15" x14ac:dyDescent="0.5">
      <c r="A18" s="312"/>
      <c r="C18" s="46" t="s">
        <v>94</v>
      </c>
    </row>
    <row r="19" spans="1:4" s="46" customFormat="1" ht="15" x14ac:dyDescent="0.5">
      <c r="A19" s="312"/>
    </row>
    <row r="20" spans="1:4" s="46" customFormat="1" ht="15" x14ac:dyDescent="0.5">
      <c r="A20" s="312"/>
      <c r="C20" s="46" t="s">
        <v>95</v>
      </c>
    </row>
    <row r="21" spans="1:4" s="46" customFormat="1" ht="15" x14ac:dyDescent="0.5">
      <c r="A21" s="312"/>
    </row>
    <row r="22" spans="1:4" s="46" customFormat="1" ht="15" x14ac:dyDescent="0.5">
      <c r="A22" s="312"/>
    </row>
    <row r="23" spans="1:4" s="46" customFormat="1" ht="15" x14ac:dyDescent="0.5">
      <c r="A23" s="312"/>
    </row>
    <row r="24" spans="1:4" s="46" customFormat="1" ht="15" x14ac:dyDescent="0.5">
      <c r="A24" s="312"/>
    </row>
    <row r="25" spans="1:4" s="46" customFormat="1" ht="15" x14ac:dyDescent="0.5">
      <c r="A25" s="312"/>
    </row>
    <row r="26" spans="1:4" s="46" customFormat="1" ht="15" x14ac:dyDescent="0.5">
      <c r="A26" s="312"/>
    </row>
    <row r="27" spans="1:4" s="46" customFormat="1" ht="15" x14ac:dyDescent="0.5">
      <c r="A27" s="312"/>
    </row>
    <row r="28" spans="1:4" s="46" customFormat="1" ht="15" x14ac:dyDescent="0.5">
      <c r="A28" s="312"/>
    </row>
    <row r="29" spans="1:4" s="46" customFormat="1" ht="15" x14ac:dyDescent="0.5">
      <c r="A29" s="312"/>
      <c r="D29" s="48"/>
    </row>
    <row r="30" spans="1:4" s="46" customFormat="1" ht="15" x14ac:dyDescent="0.5">
      <c r="A30" s="312"/>
    </row>
    <row r="31" spans="1:4" s="46" customFormat="1" ht="15" x14ac:dyDescent="0.5">
      <c r="A31" s="312"/>
    </row>
    <row r="32" spans="1:4" s="46" customFormat="1" ht="15" x14ac:dyDescent="0.5">
      <c r="A32" s="312"/>
    </row>
    <row r="33" spans="1:7" s="46" customFormat="1" ht="15" x14ac:dyDescent="0.5">
      <c r="A33" s="312"/>
    </row>
    <row r="34" spans="1:7" s="46" customFormat="1" ht="15" x14ac:dyDescent="0.5">
      <c r="A34" s="312"/>
    </row>
    <row r="35" spans="1:7" s="46" customFormat="1" ht="15" x14ac:dyDescent="0.5">
      <c r="A35" s="312"/>
    </row>
    <row r="36" spans="1:7" s="46" customFormat="1" ht="15" x14ac:dyDescent="0.5">
      <c r="A36" s="312"/>
      <c r="G36" s="285"/>
    </row>
    <row r="37" spans="1:7" s="46" customFormat="1" ht="15" x14ac:dyDescent="0.5">
      <c r="A37" s="312"/>
    </row>
    <row r="38" spans="1:7" s="46" customFormat="1" ht="15" x14ac:dyDescent="0.5">
      <c r="A38" s="312"/>
    </row>
    <row r="39" spans="1:7" s="46" customFormat="1" ht="15" x14ac:dyDescent="0.5">
      <c r="A39" s="312"/>
    </row>
    <row r="40" spans="1:7" s="46" customFormat="1" ht="15" x14ac:dyDescent="0.5">
      <c r="A40" s="312"/>
    </row>
    <row r="41" spans="1:7" s="46" customFormat="1" ht="15" x14ac:dyDescent="0.5">
      <c r="A41" s="312"/>
    </row>
    <row r="42" spans="1:7" s="46" customFormat="1" ht="15" x14ac:dyDescent="0.5">
      <c r="A42" s="312"/>
    </row>
    <row r="43" spans="1:7" s="46" customFormat="1" ht="15" x14ac:dyDescent="0.5">
      <c r="A43" s="312"/>
    </row>
    <row r="44" spans="1:7" s="46" customFormat="1" ht="15" x14ac:dyDescent="0.5">
      <c r="A44" s="312"/>
    </row>
  </sheetData>
  <mergeCells count="1">
    <mergeCell ref="C13:H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C6645-E20A-45BB-A21A-829D4ECB71D0}">
  <sheetPr codeName="Sheet18">
    <tabColor rgb="FF98002E"/>
  </sheetPr>
  <dimension ref="A2:J45"/>
  <sheetViews>
    <sheetView showGridLines="0" showRowColHeaders="0" workbookViewId="0"/>
  </sheetViews>
  <sheetFormatPr defaultColWidth="8.7890625" defaultRowHeight="14.4" x14ac:dyDescent="0.55000000000000004"/>
  <cols>
    <col min="1" max="1" width="36.20703125" style="313" customWidth="1"/>
    <col min="2" max="3" width="2.41796875" style="39" customWidth="1"/>
    <col min="4" max="4" width="41.7890625" style="39" customWidth="1"/>
    <col min="5" max="5" width="31.7890625" style="39" customWidth="1"/>
    <col min="6" max="16384" width="8.7890625" style="39"/>
  </cols>
  <sheetData>
    <row r="2" spans="1:10" ht="32.700000000000003" x14ac:dyDescent="1.05">
      <c r="D2" s="43" t="s">
        <v>92</v>
      </c>
    </row>
    <row r="3" spans="1:10" x14ac:dyDescent="0.55000000000000004">
      <c r="A3" s="310"/>
    </row>
    <row r="4" spans="1:10" ht="51" customHeight="1" x14ac:dyDescent="0.55000000000000004">
      <c r="A4" s="310"/>
      <c r="D4" s="571" t="s">
        <v>815</v>
      </c>
      <c r="E4" s="571"/>
      <c r="F4" s="571"/>
      <c r="G4" s="571"/>
      <c r="H4" s="571"/>
      <c r="I4" s="571"/>
      <c r="J4" s="571"/>
    </row>
    <row r="5" spans="1:10" ht="50.55" customHeight="1" x14ac:dyDescent="0.55000000000000004">
      <c r="A5" s="310"/>
      <c r="D5" s="571" t="s">
        <v>790</v>
      </c>
      <c r="E5" s="571"/>
      <c r="F5" s="571"/>
      <c r="G5" s="571"/>
      <c r="H5" s="571"/>
      <c r="I5" s="571"/>
      <c r="J5" s="571"/>
    </row>
    <row r="6" spans="1:10" x14ac:dyDescent="0.55000000000000004">
      <c r="A6" s="310"/>
    </row>
    <row r="7" spans="1:10" ht="69.599999999999994" customHeight="1" x14ac:dyDescent="0.55000000000000004">
      <c r="A7" s="310"/>
      <c r="D7" s="571" t="s">
        <v>817</v>
      </c>
      <c r="E7" s="571"/>
      <c r="F7" s="571"/>
      <c r="G7" s="571"/>
      <c r="H7" s="571"/>
      <c r="I7" s="571"/>
      <c r="J7" s="571"/>
    </row>
    <row r="8" spans="1:10" ht="15" x14ac:dyDescent="0.55000000000000004">
      <c r="A8" s="310"/>
      <c r="D8" s="227"/>
      <c r="E8" s="227"/>
      <c r="F8" s="227"/>
      <c r="G8" s="227"/>
      <c r="H8" s="227"/>
      <c r="I8" s="227"/>
      <c r="J8" s="227"/>
    </row>
    <row r="9" spans="1:10" ht="19.8" x14ac:dyDescent="0.65">
      <c r="A9" s="310"/>
      <c r="D9" s="49" t="s">
        <v>96</v>
      </c>
    </row>
    <row r="10" spans="1:10" x14ac:dyDescent="0.55000000000000004">
      <c r="A10" s="310"/>
    </row>
    <row r="11" spans="1:10" ht="15.3" x14ac:dyDescent="0.55000000000000004">
      <c r="A11" s="310"/>
      <c r="D11" s="47" t="s">
        <v>97</v>
      </c>
      <c r="E11" s="47" t="s">
        <v>98</v>
      </c>
    </row>
    <row r="12" spans="1:10" ht="15.3" x14ac:dyDescent="0.55000000000000004">
      <c r="A12" s="311"/>
      <c r="D12" s="46" t="s">
        <v>99</v>
      </c>
      <c r="E12" s="375" t="s">
        <v>28</v>
      </c>
    </row>
    <row r="13" spans="1:10" ht="15.3" x14ac:dyDescent="0.55000000000000004">
      <c r="A13" s="311"/>
      <c r="D13" s="46" t="s">
        <v>816</v>
      </c>
      <c r="E13" s="375" t="s">
        <v>43</v>
      </c>
    </row>
    <row r="14" spans="1:10" ht="15.3" x14ac:dyDescent="0.55000000000000004">
      <c r="A14" s="311"/>
      <c r="G14" s="46"/>
    </row>
    <row r="15" spans="1:10" ht="15.3" x14ac:dyDescent="0.55000000000000004">
      <c r="A15" s="312"/>
      <c r="G15" s="46"/>
    </row>
    <row r="16" spans="1:10" ht="15.3" x14ac:dyDescent="0.55000000000000004">
      <c r="A16" s="312"/>
      <c r="G16" s="46"/>
    </row>
    <row r="17" spans="1:7" ht="15.3" x14ac:dyDescent="0.55000000000000004">
      <c r="A17" s="312"/>
      <c r="G17" s="46"/>
    </row>
    <row r="18" spans="1:7" ht="15.3" x14ac:dyDescent="0.55000000000000004">
      <c r="A18" s="312"/>
      <c r="G18" s="46"/>
    </row>
    <row r="19" spans="1:7" ht="15.3" x14ac:dyDescent="0.55000000000000004">
      <c r="A19" s="312"/>
      <c r="G19" s="46"/>
    </row>
    <row r="20" spans="1:7" ht="15.3" x14ac:dyDescent="0.55000000000000004">
      <c r="A20" s="312"/>
      <c r="G20" s="46"/>
    </row>
    <row r="21" spans="1:7" ht="15.3" x14ac:dyDescent="0.55000000000000004">
      <c r="A21" s="312"/>
      <c r="G21" s="46"/>
    </row>
    <row r="22" spans="1:7" ht="15.3" x14ac:dyDescent="0.55000000000000004">
      <c r="A22" s="312"/>
      <c r="G22" s="46"/>
    </row>
    <row r="23" spans="1:7" ht="15.3" x14ac:dyDescent="0.55000000000000004">
      <c r="A23" s="312"/>
    </row>
    <row r="24" spans="1:7" ht="15.3" x14ac:dyDescent="0.55000000000000004">
      <c r="A24" s="312"/>
    </row>
    <row r="25" spans="1:7" ht="15.3" x14ac:dyDescent="0.55000000000000004">
      <c r="A25" s="312"/>
    </row>
    <row r="26" spans="1:7" ht="15.3" x14ac:dyDescent="0.55000000000000004">
      <c r="A26" s="312"/>
    </row>
    <row r="27" spans="1:7" ht="15.3" x14ac:dyDescent="0.55000000000000004">
      <c r="A27" s="312"/>
    </row>
    <row r="28" spans="1:7" ht="15.3" x14ac:dyDescent="0.55000000000000004">
      <c r="A28" s="312"/>
    </row>
    <row r="29" spans="1:7" ht="15.3" x14ac:dyDescent="0.55000000000000004">
      <c r="A29" s="312"/>
    </row>
    <row r="30" spans="1:7" ht="15.3" x14ac:dyDescent="0.55000000000000004">
      <c r="A30" s="312"/>
    </row>
    <row r="31" spans="1:7" ht="15.3" x14ac:dyDescent="0.55000000000000004">
      <c r="A31" s="312"/>
    </row>
    <row r="32" spans="1:7" ht="15.3" x14ac:dyDescent="0.55000000000000004">
      <c r="A32" s="312"/>
    </row>
    <row r="33" spans="1:1" ht="15.3" x14ac:dyDescent="0.55000000000000004">
      <c r="A33" s="312"/>
    </row>
    <row r="34" spans="1:1" ht="15.3" x14ac:dyDescent="0.55000000000000004">
      <c r="A34" s="312"/>
    </row>
    <row r="35" spans="1:1" ht="15.3" x14ac:dyDescent="0.55000000000000004">
      <c r="A35" s="312"/>
    </row>
    <row r="36" spans="1:1" ht="15.3" x14ac:dyDescent="0.55000000000000004">
      <c r="A36" s="312"/>
    </row>
    <row r="37" spans="1:1" ht="15.3" x14ac:dyDescent="0.55000000000000004">
      <c r="A37" s="312"/>
    </row>
    <row r="38" spans="1:1" ht="15.3" x14ac:dyDescent="0.55000000000000004">
      <c r="A38" s="312"/>
    </row>
    <row r="39" spans="1:1" ht="15.3" x14ac:dyDescent="0.55000000000000004">
      <c r="A39" s="312"/>
    </row>
    <row r="40" spans="1:1" ht="15.3" x14ac:dyDescent="0.55000000000000004">
      <c r="A40" s="312"/>
    </row>
    <row r="41" spans="1:1" ht="15.3" x14ac:dyDescent="0.55000000000000004">
      <c r="A41" s="312"/>
    </row>
    <row r="42" spans="1:1" ht="15.3" x14ac:dyDescent="0.55000000000000004">
      <c r="A42" s="312"/>
    </row>
    <row r="43" spans="1:1" ht="15.3" x14ac:dyDescent="0.55000000000000004">
      <c r="A43" s="312"/>
    </row>
    <row r="44" spans="1:1" ht="15.3" x14ac:dyDescent="0.55000000000000004">
      <c r="A44" s="312"/>
    </row>
    <row r="45" spans="1:1" ht="15.3" x14ac:dyDescent="0.55000000000000004">
      <c r="A45" s="312"/>
    </row>
  </sheetData>
  <mergeCells count="3">
    <mergeCell ref="D4:J4"/>
    <mergeCell ref="D5:J5"/>
    <mergeCell ref="D7:J7"/>
  </mergeCells>
  <hyperlinks>
    <hyperlink ref="E12" location="'Benefit tool'!A1" display="Benefit tool" xr:uid="{2814041E-0079-4538-8D1A-6D851BE1652C}"/>
    <hyperlink ref="E13" location="'Worked examples'!A1" display="Worked examples" xr:uid="{A3A852B0-73E1-4B74-81DC-69221B0B4FB9}"/>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0AC3B-8F3A-4D9E-9E2C-588C0ED4AF22}">
  <sheetPr codeName="Sheet8">
    <tabColor rgb="FF00B050"/>
  </sheetPr>
  <dimension ref="A2:W64"/>
  <sheetViews>
    <sheetView showGridLines="0" showRowColHeaders="0" topLeftCell="A6" zoomScaleNormal="100" workbookViewId="0">
      <selection activeCell="D14" sqref="D14"/>
    </sheetView>
  </sheetViews>
  <sheetFormatPr defaultColWidth="9.20703125" defaultRowHeight="14.4" x14ac:dyDescent="0.55000000000000004"/>
  <cols>
    <col min="1" max="1" width="36.20703125" style="313" customWidth="1"/>
    <col min="2" max="2" width="3.41796875" style="255" customWidth="1"/>
    <col min="3" max="3" width="7.20703125" style="255" customWidth="1"/>
    <col min="4" max="4" width="60.7890625" style="255" customWidth="1"/>
    <col min="5" max="6" width="14.5234375" style="255" customWidth="1"/>
    <col min="7" max="7" width="30.7890625" style="255" customWidth="1"/>
    <col min="8" max="8" width="15.20703125" style="256" customWidth="1"/>
    <col min="9" max="10" width="16.41796875" style="256" customWidth="1"/>
    <col min="11" max="11" width="15.20703125" style="256" customWidth="1"/>
    <col min="12" max="12" width="15.20703125" style="255" customWidth="1"/>
    <col min="13" max="13" width="15.20703125" style="256" customWidth="1"/>
    <col min="14" max="15" width="15.20703125" style="255" customWidth="1"/>
    <col min="16" max="16" width="80.5234375" style="255" customWidth="1"/>
    <col min="17" max="19" width="20.7890625" style="255" customWidth="1"/>
    <col min="20" max="20" width="12" style="255" customWidth="1"/>
    <col min="21" max="21" width="15.41796875" style="255" customWidth="1"/>
    <col min="22" max="22" width="35.7890625" style="255" customWidth="1"/>
    <col min="23" max="23" width="53.7890625" style="255" customWidth="1"/>
    <col min="24" max="16384" width="9.20703125" style="255"/>
  </cols>
  <sheetData>
    <row r="2" spans="1:23" ht="32.700000000000003" x14ac:dyDescent="1.05">
      <c r="D2" s="43" t="s">
        <v>818</v>
      </c>
      <c r="E2" s="42"/>
      <c r="F2" s="42"/>
      <c r="G2" s="42"/>
      <c r="H2" s="370"/>
      <c r="I2" s="370"/>
      <c r="J2" s="370"/>
      <c r="K2" s="370"/>
      <c r="L2" s="42"/>
      <c r="M2" s="42"/>
      <c r="N2" s="42"/>
      <c r="O2" s="42"/>
      <c r="P2" s="42"/>
      <c r="Q2" s="42"/>
      <c r="R2" s="50"/>
      <c r="S2" s="42"/>
      <c r="T2" s="42"/>
      <c r="U2" s="42"/>
      <c r="V2" s="42"/>
      <c r="W2" s="42"/>
    </row>
    <row r="3" spans="1:23" s="42" customFormat="1" ht="39" customHeight="1" x14ac:dyDescent="1.05">
      <c r="A3" s="310"/>
      <c r="B3" s="43"/>
      <c r="C3" s="478"/>
      <c r="D3" s="604" t="s">
        <v>819</v>
      </c>
      <c r="E3" s="604"/>
      <c r="F3" s="604"/>
      <c r="G3" s="604"/>
      <c r="H3" s="604"/>
      <c r="I3" s="604"/>
      <c r="J3" s="604"/>
      <c r="K3" s="604"/>
      <c r="L3" s="604"/>
      <c r="M3" s="604"/>
      <c r="N3" s="107"/>
      <c r="O3" s="477"/>
      <c r="P3" s="477"/>
      <c r="Q3" s="255"/>
      <c r="R3" s="255"/>
      <c r="S3" s="255"/>
      <c r="T3" s="255"/>
      <c r="U3" s="255"/>
      <c r="V3" s="255"/>
      <c r="W3" s="255"/>
    </row>
    <row r="4" spans="1:23" s="42" customFormat="1" ht="39" customHeight="1" x14ac:dyDescent="1.05">
      <c r="A4" s="310"/>
      <c r="B4" s="43"/>
      <c r="C4" s="478"/>
      <c r="D4" s="604" t="s">
        <v>820</v>
      </c>
      <c r="E4" s="604"/>
      <c r="F4" s="604"/>
      <c r="G4" s="604"/>
      <c r="H4" s="604"/>
      <c r="I4" s="604"/>
      <c r="J4" s="604"/>
      <c r="K4" s="604"/>
      <c r="L4" s="604"/>
      <c r="M4" s="474"/>
      <c r="N4" s="107"/>
      <c r="O4" s="477"/>
      <c r="P4" s="477"/>
      <c r="Q4" s="255"/>
      <c r="R4" s="255"/>
      <c r="S4" s="255"/>
      <c r="T4" s="255"/>
      <c r="U4" s="255"/>
      <c r="V4" s="255"/>
      <c r="W4" s="255"/>
    </row>
    <row r="5" spans="1:23" ht="15.6" x14ac:dyDescent="0.6">
      <c r="A5" s="310"/>
      <c r="C5" s="477"/>
      <c r="D5" s="604" t="s">
        <v>100</v>
      </c>
      <c r="E5" s="604"/>
      <c r="F5" s="604"/>
      <c r="G5" s="604"/>
      <c r="H5" s="604"/>
      <c r="I5" s="604"/>
      <c r="J5" s="604"/>
      <c r="K5" s="604"/>
      <c r="L5" s="604"/>
      <c r="M5" s="604"/>
      <c r="N5" s="477"/>
      <c r="O5" s="315"/>
      <c r="P5" s="315"/>
      <c r="Q5" s="315"/>
      <c r="R5" s="315"/>
    </row>
    <row r="6" spans="1:23" ht="15.6" x14ac:dyDescent="0.6">
      <c r="A6" s="310"/>
      <c r="C6" s="477"/>
      <c r="D6" s="477"/>
      <c r="E6" s="477"/>
      <c r="F6" s="477"/>
      <c r="G6" s="477"/>
      <c r="H6" s="479"/>
      <c r="I6" s="479"/>
      <c r="J6" s="479"/>
      <c r="K6" s="479"/>
      <c r="L6" s="477"/>
      <c r="M6" s="479"/>
      <c r="N6" s="477"/>
      <c r="O6" s="477"/>
      <c r="P6" s="477"/>
    </row>
    <row r="7" spans="1:23" ht="15.6" x14ac:dyDescent="0.6">
      <c r="A7" s="310"/>
      <c r="C7" s="477"/>
      <c r="D7" s="318"/>
      <c r="E7" s="318"/>
      <c r="F7" s="318"/>
      <c r="G7" s="318"/>
      <c r="H7" s="318"/>
      <c r="I7" s="318"/>
      <c r="J7" s="318"/>
      <c r="K7" s="318"/>
      <c r="L7" s="318"/>
      <c r="M7" s="318"/>
      <c r="N7" s="477"/>
      <c r="O7" s="477"/>
      <c r="P7" s="477"/>
    </row>
    <row r="8" spans="1:23" ht="15.75" customHeight="1" x14ac:dyDescent="0.55000000000000004">
      <c r="A8" s="310"/>
      <c r="C8" s="609" t="s">
        <v>101</v>
      </c>
      <c r="D8" s="609"/>
      <c r="E8" s="605" t="s">
        <v>102</v>
      </c>
      <c r="F8" s="605" t="s">
        <v>103</v>
      </c>
      <c r="G8" s="605" t="s">
        <v>98</v>
      </c>
      <c r="H8" s="606" t="s">
        <v>104</v>
      </c>
      <c r="I8" s="607"/>
      <c r="J8" s="607"/>
      <c r="K8" s="607"/>
      <c r="L8" s="607"/>
      <c r="M8" s="607"/>
      <c r="N8" s="607"/>
      <c r="O8" s="608"/>
      <c r="P8" s="593" t="s">
        <v>105</v>
      </c>
    </row>
    <row r="9" spans="1:23" ht="15.75" customHeight="1" x14ac:dyDescent="0.55000000000000004">
      <c r="A9" s="310"/>
      <c r="C9" s="609"/>
      <c r="D9" s="609"/>
      <c r="E9" s="605"/>
      <c r="F9" s="605"/>
      <c r="G9" s="605"/>
      <c r="H9" s="595" t="s">
        <v>106</v>
      </c>
      <c r="I9" s="595"/>
      <c r="J9" s="595"/>
      <c r="K9" s="595"/>
      <c r="L9" s="595"/>
      <c r="M9" s="595"/>
      <c r="N9" s="596" t="s">
        <v>107</v>
      </c>
      <c r="O9" s="596" t="s">
        <v>108</v>
      </c>
      <c r="P9" s="593"/>
    </row>
    <row r="10" spans="1:23" ht="15.75" customHeight="1" x14ac:dyDescent="0.55000000000000004">
      <c r="A10" s="310"/>
      <c r="C10" s="609"/>
      <c r="D10" s="609"/>
      <c r="E10" s="605"/>
      <c r="F10" s="605"/>
      <c r="G10" s="605"/>
      <c r="H10" s="599" t="s">
        <v>109</v>
      </c>
      <c r="I10" s="600"/>
      <c r="J10" s="600"/>
      <c r="K10" s="601"/>
      <c r="L10" s="602" t="s">
        <v>110</v>
      </c>
      <c r="M10" s="602" t="s">
        <v>111</v>
      </c>
      <c r="N10" s="597"/>
      <c r="O10" s="597"/>
      <c r="P10" s="593"/>
    </row>
    <row r="11" spans="1:23" ht="15.3" x14ac:dyDescent="0.55000000000000004">
      <c r="A11" s="310"/>
      <c r="C11" s="609"/>
      <c r="D11" s="609"/>
      <c r="E11" s="605"/>
      <c r="F11" s="605"/>
      <c r="G11" s="605"/>
      <c r="H11" s="480" t="s">
        <v>112</v>
      </c>
      <c r="I11" s="480" t="s">
        <v>63</v>
      </c>
      <c r="J11" s="480" t="s">
        <v>113</v>
      </c>
      <c r="K11" s="480" t="s">
        <v>114</v>
      </c>
      <c r="L11" s="603"/>
      <c r="M11" s="603"/>
      <c r="N11" s="598"/>
      <c r="O11" s="598"/>
      <c r="P11" s="594"/>
    </row>
    <row r="12" spans="1:23" ht="15.75" customHeight="1" x14ac:dyDescent="0.55000000000000004">
      <c r="A12" s="311"/>
      <c r="C12" s="579" t="s">
        <v>115</v>
      </c>
      <c r="D12" s="585" t="s">
        <v>116</v>
      </c>
      <c r="E12" s="586"/>
      <c r="F12" s="587"/>
      <c r="G12" s="364" t="s">
        <v>117</v>
      </c>
      <c r="H12" s="590"/>
      <c r="I12" s="591"/>
      <c r="J12" s="591"/>
      <c r="K12" s="591"/>
      <c r="L12" s="591"/>
      <c r="M12" s="591"/>
      <c r="N12" s="591"/>
      <c r="O12" s="592"/>
      <c r="P12" s="481"/>
    </row>
    <row r="13" spans="1:23" ht="15" x14ac:dyDescent="0.55000000000000004">
      <c r="A13" s="311"/>
      <c r="C13" s="580"/>
      <c r="D13" s="482" t="s">
        <v>118</v>
      </c>
      <c r="E13" s="483">
        <v>0</v>
      </c>
      <c r="F13" s="484" t="s">
        <v>119</v>
      </c>
      <c r="G13" s="364" t="s">
        <v>117</v>
      </c>
      <c r="H13" s="485">
        <f>$E13*'Social, YP &amp; kinship care'!$L$7</f>
        <v>0</v>
      </c>
      <c r="I13" s="486"/>
      <c r="J13" s="486"/>
      <c r="K13" s="486"/>
      <c r="L13" s="486"/>
      <c r="M13" s="486"/>
      <c r="N13" s="486"/>
      <c r="O13" s="486"/>
      <c r="P13" s="481"/>
    </row>
    <row r="14" spans="1:23" ht="15" x14ac:dyDescent="0.55000000000000004">
      <c r="A14" s="311"/>
      <c r="C14" s="580"/>
      <c r="D14" s="482" t="s">
        <v>120</v>
      </c>
      <c r="E14" s="483">
        <v>0</v>
      </c>
      <c r="F14" s="484" t="s">
        <v>119</v>
      </c>
      <c r="G14" s="364" t="s">
        <v>117</v>
      </c>
      <c r="H14" s="485">
        <f>$E14*'Social, YP &amp; kinship care'!$L$9</f>
        <v>0</v>
      </c>
      <c r="I14" s="486"/>
      <c r="J14" s="486"/>
      <c r="K14" s="486"/>
      <c r="L14" s="486"/>
      <c r="M14" s="486"/>
      <c r="N14" s="486"/>
      <c r="O14" s="486"/>
      <c r="P14" s="481"/>
    </row>
    <row r="15" spans="1:23" ht="15.3" x14ac:dyDescent="0.55000000000000004">
      <c r="A15" s="312"/>
      <c r="C15" s="580"/>
      <c r="D15" s="482" t="s">
        <v>121</v>
      </c>
      <c r="E15" s="483">
        <v>0</v>
      </c>
      <c r="F15" s="484" t="s">
        <v>119</v>
      </c>
      <c r="G15" s="364" t="s">
        <v>117</v>
      </c>
      <c r="H15" s="485">
        <f>$E15*'Social, YP &amp; kinship care'!$L$10</f>
        <v>0</v>
      </c>
      <c r="I15" s="486"/>
      <c r="J15" s="486"/>
      <c r="K15" s="486"/>
      <c r="L15" s="486"/>
      <c r="M15" s="486"/>
      <c r="N15" s="486"/>
      <c r="O15" s="486"/>
      <c r="P15" s="481"/>
    </row>
    <row r="16" spans="1:23" ht="15.3" x14ac:dyDescent="0.55000000000000004">
      <c r="A16" s="312"/>
      <c r="C16" s="580"/>
      <c r="D16" s="482" t="s">
        <v>122</v>
      </c>
      <c r="E16" s="483">
        <v>0</v>
      </c>
      <c r="F16" s="484" t="s">
        <v>119</v>
      </c>
      <c r="G16" s="364" t="s">
        <v>117</v>
      </c>
      <c r="H16" s="485">
        <f>$E16*'Social, YP &amp; kinship care'!$L$11</f>
        <v>0</v>
      </c>
      <c r="I16" s="486"/>
      <c r="J16" s="486"/>
      <c r="K16" s="486"/>
      <c r="L16" s="486"/>
      <c r="M16" s="486"/>
      <c r="N16" s="486"/>
      <c r="O16" s="486"/>
      <c r="P16" s="481"/>
    </row>
    <row r="17" spans="1:16" ht="15.3" x14ac:dyDescent="0.55000000000000004">
      <c r="A17" s="312"/>
      <c r="C17" s="580"/>
      <c r="D17" s="482" t="s">
        <v>123</v>
      </c>
      <c r="E17" s="483">
        <v>0</v>
      </c>
      <c r="F17" s="484" t="s">
        <v>119</v>
      </c>
      <c r="G17" s="364" t="s">
        <v>117</v>
      </c>
      <c r="H17" s="485">
        <f>$E17*'Social, YP &amp; kinship care'!$L$12</f>
        <v>0</v>
      </c>
      <c r="I17" s="486"/>
      <c r="J17" s="486"/>
      <c r="K17" s="486"/>
      <c r="L17" s="486"/>
      <c r="M17" s="486"/>
      <c r="N17" s="486"/>
      <c r="O17" s="486"/>
      <c r="P17" s="481"/>
    </row>
    <row r="18" spans="1:16" ht="15.3" x14ac:dyDescent="0.55000000000000004">
      <c r="A18" s="312"/>
      <c r="C18" s="580"/>
      <c r="D18" s="487" t="s">
        <v>124</v>
      </c>
      <c r="E18" s="483">
        <v>0</v>
      </c>
      <c r="F18" s="484" t="s">
        <v>119</v>
      </c>
      <c r="G18" s="364" t="s">
        <v>117</v>
      </c>
      <c r="H18" s="486"/>
      <c r="I18" s="486"/>
      <c r="J18" s="486"/>
      <c r="K18" s="486"/>
      <c r="L18" s="486"/>
      <c r="M18" s="486"/>
      <c r="N18" s="485">
        <f>E18*'Social, YP &amp; kinship care'!$K$20</f>
        <v>0</v>
      </c>
      <c r="O18" s="486"/>
      <c r="P18" s="481"/>
    </row>
    <row r="19" spans="1:16" ht="15.3" x14ac:dyDescent="0.55000000000000004">
      <c r="A19" s="312"/>
      <c r="C19" s="580"/>
      <c r="D19" s="487" t="s">
        <v>125</v>
      </c>
      <c r="E19" s="484" t="s">
        <v>119</v>
      </c>
      <c r="F19" s="483">
        <v>0</v>
      </c>
      <c r="G19" s="364" t="s">
        <v>117</v>
      </c>
      <c r="H19" s="486"/>
      <c r="I19" s="486"/>
      <c r="J19" s="486"/>
      <c r="K19" s="486"/>
      <c r="L19" s="486"/>
      <c r="M19" s="486"/>
      <c r="N19" s="485">
        <f>F19*'Social, YP &amp; kinship care'!$K$21</f>
        <v>0</v>
      </c>
      <c r="O19" s="486"/>
      <c r="P19" s="481"/>
    </row>
    <row r="20" spans="1:16" ht="15.3" x14ac:dyDescent="0.55000000000000004">
      <c r="A20" s="312"/>
      <c r="C20" s="580"/>
      <c r="D20" s="487" t="s">
        <v>126</v>
      </c>
      <c r="E20" s="483">
        <v>0</v>
      </c>
      <c r="F20" s="484" t="s">
        <v>119</v>
      </c>
      <c r="G20" s="365" t="s">
        <v>127</v>
      </c>
      <c r="H20" s="485">
        <f>$E20*(Education!$L$10)</f>
        <v>0</v>
      </c>
      <c r="I20" s="485">
        <f>$E20*(Education!$L$7)</f>
        <v>0</v>
      </c>
      <c r="J20" s="486"/>
      <c r="K20" s="486"/>
      <c r="L20" s="485">
        <f>E20*Education!$L$11</f>
        <v>0</v>
      </c>
      <c r="M20" s="486"/>
      <c r="N20" s="486"/>
      <c r="O20" s="486"/>
      <c r="P20" s="481"/>
    </row>
    <row r="21" spans="1:16" ht="15.3" x14ac:dyDescent="0.55000000000000004">
      <c r="A21" s="312"/>
      <c r="C21" s="580"/>
      <c r="D21" s="487" t="s">
        <v>128</v>
      </c>
      <c r="E21" s="483">
        <v>0</v>
      </c>
      <c r="F21" s="484" t="s">
        <v>119</v>
      </c>
      <c r="G21" s="365" t="s">
        <v>127</v>
      </c>
      <c r="H21" s="485">
        <f>E21*(Education!$L$16)</f>
        <v>0</v>
      </c>
      <c r="I21" s="485">
        <f>E21*(Education!$L$13)</f>
        <v>0</v>
      </c>
      <c r="J21" s="486"/>
      <c r="K21" s="486"/>
      <c r="L21" s="485">
        <f>E21*(Education!$L$17)</f>
        <v>0</v>
      </c>
      <c r="M21" s="486"/>
      <c r="N21" s="486"/>
      <c r="O21" s="486"/>
      <c r="P21" s="481"/>
    </row>
    <row r="22" spans="1:16" ht="15.3" x14ac:dyDescent="0.55000000000000004">
      <c r="A22" s="312"/>
      <c r="C22" s="580"/>
      <c r="D22" s="487" t="s">
        <v>129</v>
      </c>
      <c r="E22" s="483">
        <v>0</v>
      </c>
      <c r="F22" s="484" t="s">
        <v>119</v>
      </c>
      <c r="G22" s="366" t="s">
        <v>24</v>
      </c>
      <c r="H22" s="486"/>
      <c r="I22" s="486"/>
      <c r="J22" s="486"/>
      <c r="K22" s="486"/>
      <c r="L22" s="485">
        <f>E22*(Disorders!$L$8+Disorders!$L$10+Disorders!$L$11)</f>
        <v>0</v>
      </c>
      <c r="M22" s="486"/>
      <c r="N22" s="486"/>
      <c r="O22" s="485">
        <f>E22*(Disorders!$N$8+Disorders!$N$9)</f>
        <v>0</v>
      </c>
      <c r="P22" s="481"/>
    </row>
    <row r="23" spans="1:16" ht="15.3" x14ac:dyDescent="0.55000000000000004">
      <c r="A23" s="312"/>
      <c r="C23" s="580"/>
      <c r="D23" s="487" t="s">
        <v>130</v>
      </c>
      <c r="E23" s="483">
        <v>0</v>
      </c>
      <c r="F23" s="484" t="s">
        <v>119</v>
      </c>
      <c r="G23" s="366" t="s">
        <v>24</v>
      </c>
      <c r="H23" s="486"/>
      <c r="I23" s="486"/>
      <c r="J23" s="486"/>
      <c r="K23" s="486"/>
      <c r="L23" s="485">
        <f>E23*(Disorders!$L$16+Disorders!$L$17+Disorders!$L$18+Disorders!$L$19)</f>
        <v>0</v>
      </c>
      <c r="M23" s="486"/>
      <c r="N23" s="485">
        <f>E23*(Disorders!$M$19)</f>
        <v>0</v>
      </c>
      <c r="O23" s="485">
        <f>E23*Disorders!$N$16</f>
        <v>0</v>
      </c>
      <c r="P23" s="481"/>
    </row>
    <row r="24" spans="1:16" ht="15.3" x14ac:dyDescent="0.55000000000000004">
      <c r="A24" s="312"/>
      <c r="C24" s="580"/>
      <c r="D24" s="487" t="s">
        <v>131</v>
      </c>
      <c r="E24" s="483">
        <v>0</v>
      </c>
      <c r="F24" s="484" t="s">
        <v>119</v>
      </c>
      <c r="G24" s="366" t="s">
        <v>24</v>
      </c>
      <c r="H24" s="485">
        <f>$E24*(Disorders!$L$23)</f>
        <v>0</v>
      </c>
      <c r="I24" s="485">
        <f>$E24*(Disorders!$L$21)</f>
        <v>0</v>
      </c>
      <c r="J24" s="486"/>
      <c r="K24" s="486"/>
      <c r="L24" s="485">
        <f>$E24*Disorders!$L$22</f>
        <v>0</v>
      </c>
      <c r="M24" s="486"/>
      <c r="N24" s="486"/>
      <c r="O24" s="486"/>
      <c r="P24" s="481"/>
    </row>
    <row r="25" spans="1:16" ht="15.3" x14ac:dyDescent="0.55000000000000004">
      <c r="A25" s="312"/>
      <c r="C25" s="580"/>
      <c r="D25" s="487" t="s">
        <v>132</v>
      </c>
      <c r="E25" s="483">
        <v>0</v>
      </c>
      <c r="F25" s="484" t="s">
        <v>119</v>
      </c>
      <c r="G25" s="366" t="s">
        <v>24</v>
      </c>
      <c r="H25" s="485">
        <f>$E25*Disorders!$L$26</f>
        <v>0</v>
      </c>
      <c r="I25" s="485">
        <f>$E25*Disorders!$L$28</f>
        <v>0</v>
      </c>
      <c r="J25" s="486"/>
      <c r="K25" s="486"/>
      <c r="L25" s="485">
        <f>$E25*Disorders!$L$25</f>
        <v>0</v>
      </c>
      <c r="M25" s="486"/>
      <c r="N25" s="486"/>
      <c r="O25" s="486"/>
      <c r="P25" s="481"/>
    </row>
    <row r="26" spans="1:16" ht="15.3" x14ac:dyDescent="0.55000000000000004">
      <c r="A26" s="312"/>
      <c r="C26" s="580"/>
      <c r="D26" s="487" t="s">
        <v>82</v>
      </c>
      <c r="E26" s="483">
        <v>0</v>
      </c>
      <c r="F26" s="483">
        <v>0</v>
      </c>
      <c r="G26" s="367" t="s">
        <v>82</v>
      </c>
      <c r="H26" s="486"/>
      <c r="I26" s="486"/>
      <c r="J26" s="485">
        <f>IF(E26&gt;0,1*Homelessness!$L$6,0)</f>
        <v>0</v>
      </c>
      <c r="K26" s="486"/>
      <c r="L26" s="485">
        <f>E26*(Homelessness!$L$13+Homelessness!$L$14)+F26*Homelessness!$L$8</f>
        <v>0</v>
      </c>
      <c r="M26" s="485">
        <f>F26*Homelessness!L9</f>
        <v>0</v>
      </c>
      <c r="N26" s="486"/>
      <c r="O26" s="485">
        <f>E26*Homelessness!$N$15+F26*Homelessness!$N$10</f>
        <v>0</v>
      </c>
      <c r="P26" s="481"/>
    </row>
    <row r="27" spans="1:16" ht="15.3" x14ac:dyDescent="0.55000000000000004">
      <c r="A27" s="312"/>
      <c r="C27" s="580"/>
      <c r="D27" s="585" t="s">
        <v>133</v>
      </c>
      <c r="E27" s="586"/>
      <c r="F27" s="587"/>
      <c r="G27" s="368" t="s">
        <v>134</v>
      </c>
      <c r="H27" s="590"/>
      <c r="I27" s="591"/>
      <c r="J27" s="591"/>
      <c r="K27" s="591"/>
      <c r="L27" s="591"/>
      <c r="M27" s="591"/>
      <c r="N27" s="591"/>
      <c r="O27" s="592"/>
      <c r="P27" s="481"/>
    </row>
    <row r="28" spans="1:16" ht="15.3" x14ac:dyDescent="0.55000000000000004">
      <c r="A28" s="312"/>
      <c r="C28" s="580"/>
      <c r="D28" s="482" t="str">
        <f>'NHS &amp; LA treatment'!D18</f>
        <v>Cognitive behavioural therapy (CBT) for adolescents</v>
      </c>
      <c r="E28" s="483">
        <v>0</v>
      </c>
      <c r="F28" s="484" t="s">
        <v>119</v>
      </c>
      <c r="G28" s="368" t="s">
        <v>134</v>
      </c>
      <c r="H28" s="486"/>
      <c r="I28" s="486"/>
      <c r="J28" s="486"/>
      <c r="K28" s="486"/>
      <c r="L28" s="485">
        <f>E28*'NHS &amp; LA treatment'!$L$18</f>
        <v>0</v>
      </c>
      <c r="M28" s="486"/>
      <c r="N28" s="486"/>
      <c r="O28" s="486"/>
      <c r="P28" s="481"/>
    </row>
    <row r="29" spans="1:16" ht="15.3" x14ac:dyDescent="0.55000000000000004">
      <c r="A29" s="312"/>
      <c r="C29" s="580"/>
      <c r="D29" s="482" t="str">
        <f>'NHS &amp; LA treatment'!D19</f>
        <v>Counselling for children with mental or emotional difficulties</v>
      </c>
      <c r="E29" s="483">
        <v>0</v>
      </c>
      <c r="F29" s="484" t="s">
        <v>119</v>
      </c>
      <c r="G29" s="368" t="s">
        <v>134</v>
      </c>
      <c r="H29" s="486"/>
      <c r="I29" s="486"/>
      <c r="J29" s="486"/>
      <c r="K29" s="486"/>
      <c r="L29" s="485">
        <f>E29*'NHS &amp; LA treatment'!$L$19</f>
        <v>0</v>
      </c>
      <c r="M29" s="486"/>
      <c r="N29" s="486"/>
      <c r="O29" s="486"/>
      <c r="P29" s="481"/>
    </row>
    <row r="30" spans="1:16" ht="15.3" x14ac:dyDescent="0.55000000000000004">
      <c r="A30" s="312"/>
      <c r="C30" s="580"/>
      <c r="D30" s="487" t="s">
        <v>135</v>
      </c>
      <c r="E30" s="484" t="s">
        <v>119</v>
      </c>
      <c r="F30" s="483">
        <v>0</v>
      </c>
      <c r="G30" s="369" t="s">
        <v>136</v>
      </c>
      <c r="H30" s="486"/>
      <c r="I30" s="486"/>
      <c r="J30" s="486"/>
      <c r="K30" s="486"/>
      <c r="L30" s="485">
        <f>F30*'DA &amp; crime'!$L$7</f>
        <v>0</v>
      </c>
      <c r="M30" s="485">
        <f>F30*'DA &amp; crime'!$L$10</f>
        <v>0</v>
      </c>
      <c r="N30" s="485">
        <f>F30*('DA &amp; crime'!$M$11+'DA &amp; crime'!$M$8)</f>
        <v>0</v>
      </c>
      <c r="O30" s="485">
        <f>F30*'DA &amp; crime'!$N$9</f>
        <v>0</v>
      </c>
      <c r="P30" s="481"/>
    </row>
    <row r="31" spans="1:16" ht="15.3" x14ac:dyDescent="0.55000000000000004">
      <c r="A31" s="312"/>
      <c r="C31" s="580"/>
      <c r="D31" s="585" t="s">
        <v>35</v>
      </c>
      <c r="E31" s="586" t="s">
        <v>137</v>
      </c>
      <c r="F31" s="587" t="s">
        <v>137</v>
      </c>
      <c r="G31" s="369" t="s">
        <v>136</v>
      </c>
      <c r="H31" s="486"/>
      <c r="I31" s="486"/>
      <c r="J31" s="486"/>
      <c r="K31" s="486"/>
      <c r="L31" s="486"/>
      <c r="M31" s="486"/>
      <c r="N31" s="486"/>
      <c r="O31" s="486"/>
      <c r="P31" s="481"/>
    </row>
    <row r="32" spans="1:16" ht="15.3" x14ac:dyDescent="0.55000000000000004">
      <c r="A32" s="312"/>
      <c r="C32" s="580"/>
      <c r="D32" s="488" t="s">
        <v>138</v>
      </c>
      <c r="E32" s="484" t="s">
        <v>119</v>
      </c>
      <c r="F32" s="483">
        <v>0</v>
      </c>
      <c r="G32" s="369" t="s">
        <v>136</v>
      </c>
      <c r="H32" s="486"/>
      <c r="I32" s="486"/>
      <c r="J32" s="486"/>
      <c r="K32" s="486"/>
      <c r="L32" s="485">
        <f>F32*AVERAGE('DA &amp; crime'!$L$13,'DA &amp; crime'!$L$19)*6</f>
        <v>0</v>
      </c>
      <c r="M32" s="485">
        <f>F32*AVERAGE('DA &amp; crime'!$L$16,'DA &amp; crime'!$L$22)*6</f>
        <v>0</v>
      </c>
      <c r="N32" s="485">
        <f>F32*AVERAGE('DA &amp; crime'!$M$14,'DA &amp; crime'!$M$17,'DA &amp; crime'!$M$20,'DA &amp; crime'!$M$23)*6</f>
        <v>0</v>
      </c>
      <c r="O32" s="485">
        <f>F32*AVERAGE('DA &amp; crime'!$N$15,'DA &amp; crime'!$N$21)*6</f>
        <v>0</v>
      </c>
      <c r="P32" s="481"/>
    </row>
    <row r="33" spans="1:16" ht="15.3" x14ac:dyDescent="0.55000000000000004">
      <c r="A33" s="312"/>
      <c r="C33" s="580"/>
      <c r="D33" s="488" t="s">
        <v>139</v>
      </c>
      <c r="E33" s="484" t="s">
        <v>119</v>
      </c>
      <c r="F33" s="483">
        <v>0</v>
      </c>
      <c r="G33" s="369" t="s">
        <v>136</v>
      </c>
      <c r="H33" s="486"/>
      <c r="I33" s="486"/>
      <c r="J33" s="486"/>
      <c r="K33" s="486"/>
      <c r="L33" s="486"/>
      <c r="M33" s="485">
        <f>$F33*'DA &amp; crime'!$L$24*100</f>
        <v>0</v>
      </c>
      <c r="N33" s="486"/>
      <c r="O33" s="486"/>
      <c r="P33" s="481"/>
    </row>
    <row r="34" spans="1:16" ht="15.3" x14ac:dyDescent="0.55000000000000004">
      <c r="A34" s="312"/>
      <c r="C34" s="580"/>
      <c r="D34" s="488" t="s">
        <v>140</v>
      </c>
      <c r="E34" s="484" t="s">
        <v>119</v>
      </c>
      <c r="F34" s="483">
        <v>0</v>
      </c>
      <c r="G34" s="369" t="s">
        <v>136</v>
      </c>
      <c r="H34" s="486"/>
      <c r="I34" s="486"/>
      <c r="J34" s="486"/>
      <c r="K34" s="486"/>
      <c r="L34" s="485">
        <f>F34*'DA &amp; crime'!$L$26*15</f>
        <v>0</v>
      </c>
      <c r="M34" s="485">
        <f>F34*'DA &amp; crime'!$L$29*15</f>
        <v>0</v>
      </c>
      <c r="N34" s="485">
        <f>F34*('DA &amp; crime'!$M$27+'DA &amp; crime'!$M$30)*15</f>
        <v>0</v>
      </c>
      <c r="O34" s="485">
        <f>F34*'DA &amp; crime'!$N$28*15</f>
        <v>0</v>
      </c>
      <c r="P34" s="481"/>
    </row>
    <row r="35" spans="1:16" ht="15.3" x14ac:dyDescent="0.55000000000000004">
      <c r="A35" s="312"/>
      <c r="C35" s="580"/>
      <c r="D35" s="488" t="s">
        <v>141</v>
      </c>
      <c r="E35" s="484" t="s">
        <v>119</v>
      </c>
      <c r="F35" s="483">
        <v>0</v>
      </c>
      <c r="G35" s="369" t="s">
        <v>136</v>
      </c>
      <c r="H35" s="486"/>
      <c r="I35" s="486"/>
      <c r="J35" s="486"/>
      <c r="K35" s="486"/>
      <c r="L35" s="485">
        <f>F35*'DA &amp; crime'!$L$32*25</f>
        <v>0</v>
      </c>
      <c r="M35" s="485">
        <f>F35*'DA &amp; crime'!$L$35*25</f>
        <v>0</v>
      </c>
      <c r="N35" s="485">
        <f>F35*('DA &amp; crime'!$M$33+'DA &amp; crime'!$M$36)*25</f>
        <v>0</v>
      </c>
      <c r="O35" s="485">
        <f>F35*'DA &amp; crime'!$N$34*25</f>
        <v>0</v>
      </c>
      <c r="P35" s="481"/>
    </row>
    <row r="36" spans="1:16" ht="15.3" x14ac:dyDescent="0.55000000000000004">
      <c r="A36" s="312"/>
      <c r="C36" s="580"/>
      <c r="D36" s="488" t="s">
        <v>142</v>
      </c>
      <c r="E36" s="484" t="s">
        <v>119</v>
      </c>
      <c r="F36" s="483">
        <v>0</v>
      </c>
      <c r="G36" s="369" t="s">
        <v>136</v>
      </c>
      <c r="H36" s="486"/>
      <c r="I36" s="486"/>
      <c r="J36" s="486"/>
      <c r="K36" s="486"/>
      <c r="L36" s="486"/>
      <c r="M36" s="485">
        <f>$F36*'DA &amp; crime'!$L$44*6</f>
        <v>0</v>
      </c>
      <c r="N36" s="486"/>
      <c r="O36" s="486"/>
      <c r="P36" s="481"/>
    </row>
    <row r="37" spans="1:16" s="321" customFormat="1" ht="16.5" customHeight="1" x14ac:dyDescent="0.5">
      <c r="A37" s="312"/>
      <c r="B37" s="271"/>
      <c r="C37" s="580"/>
      <c r="D37" s="576" t="s">
        <v>143</v>
      </c>
      <c r="E37" s="576"/>
      <c r="F37" s="576"/>
      <c r="G37" s="576"/>
      <c r="H37" s="489" t="s">
        <v>144</v>
      </c>
      <c r="I37" s="489" t="s">
        <v>144</v>
      </c>
      <c r="J37" s="489" t="s">
        <v>144</v>
      </c>
      <c r="K37" s="486"/>
      <c r="L37" s="489" t="s">
        <v>144</v>
      </c>
      <c r="M37" s="489" t="s">
        <v>144</v>
      </c>
      <c r="N37" s="489" t="s">
        <v>144</v>
      </c>
      <c r="O37" s="489" t="s">
        <v>144</v>
      </c>
      <c r="P37" s="481"/>
    </row>
    <row r="38" spans="1:16" s="321" customFormat="1" ht="15" x14ac:dyDescent="0.5">
      <c r="A38" s="312"/>
      <c r="B38" s="271"/>
      <c r="C38" s="580"/>
      <c r="D38" s="576" t="s">
        <v>188</v>
      </c>
      <c r="E38" s="576"/>
      <c r="F38" s="576"/>
      <c r="G38" s="576"/>
      <c r="H38" s="490" t="str">
        <f>IFERROR(IF(H37="No","(£"&amp;(ROUND(SMALL(H13:H36,COUNTIF(H13:H36,0)+1),0))&amp;" - £"&amp;(ROUND(MAX(H13:H36),0))&amp;")",SUM(H13:H36)),"")</f>
        <v/>
      </c>
      <c r="I38" s="490" t="str">
        <f>IFERROR(IF(I37="No","(£"&amp;(ROUND(SMALL(I13:I36,COUNTIF(I13:I36,0)+1),0))&amp;" - £"&amp;(ROUND(MAX(I13:I36),0))&amp;")",SUM(I13:I36)),"")</f>
        <v/>
      </c>
      <c r="J38" s="490" t="str">
        <f>IFERROR(IF(J37="No","(£"&amp;(ROUND(SMALL(J13:J36,COUNTIF(J13:J36,0)+1),0))&amp;" - £"&amp;(ROUND(MAX(J13:J36),0))&amp;")",SUM(J13:J36)),"")</f>
        <v/>
      </c>
      <c r="K38" s="486"/>
      <c r="L38" s="490" t="str">
        <f>IFERROR(IF(L37="No","(£"&amp;(ROUND(SMALL(L13:L36,COUNTIF(L13:L36,0)+1),0))&amp;" - £"&amp;(ROUND(MAX(L13:L36),0))&amp;")",SUM(L13:L36)),"")</f>
        <v/>
      </c>
      <c r="M38" s="490" t="str">
        <f>IFERROR(IF(M37="No","(£"&amp;(ROUND(SMALL(M13:M36,COUNTIF(M13:M36,0)+1),0))&amp;" - £"&amp;(ROUND(MAX(M13:M36),0))&amp;")",SUM(M13:M36)),"")</f>
        <v/>
      </c>
      <c r="N38" s="490" t="str">
        <f>IFERROR(IF(N37="No","(£"&amp;(ROUND(SMALL(N13:N36,COUNTIF(N13:N36,0)+1),0))&amp;" - £"&amp;(ROUND(MAX(N13:N36),0))&amp;")",SUM(N13:N36)),"")</f>
        <v/>
      </c>
      <c r="O38" s="490" t="str">
        <f>IFERROR(IF(O37="No","(£"&amp;(ROUND(SMALL(O13:O36,COUNTIF(O13:O36,0)+1),0))&amp;" - £"&amp;(ROUND(MAX(O13:O36),0))&amp;")",SUM(O13:O36)),"")</f>
        <v/>
      </c>
      <c r="P38" s="481"/>
    </row>
    <row r="39" spans="1:16" s="321" customFormat="1" ht="15" hidden="1" customHeight="1" x14ac:dyDescent="0.5">
      <c r="A39" s="312"/>
      <c r="B39" s="357"/>
      <c r="C39" s="491"/>
      <c r="D39" s="492"/>
      <c r="E39" s="492"/>
      <c r="F39" s="492"/>
      <c r="G39" s="492"/>
      <c r="H39" s="493" t="e">
        <f>IF(H37="No",SMALL((H13:H36),COUNTIF(H13:H36,0)+1),SUM(H13:H36))</f>
        <v>#NUM!</v>
      </c>
      <c r="I39" s="493" t="e">
        <f>IF(I37="No",SMALL((I13:I36),COUNTIF(I13:I36,0)+1),SUM(I13:I36))</f>
        <v>#NUM!</v>
      </c>
      <c r="J39" s="493" t="e">
        <f>IF(J37="No",SMALL((J13:J36),COUNTIF(J13:J36,0)+1),SUM(J13:J36))</f>
        <v>#NUM!</v>
      </c>
      <c r="K39" s="486"/>
      <c r="L39" s="493" t="e">
        <f>IF(L37="No",SMALL((L13:L36),COUNTIF(L13:L36,0)+1),SUM(L13:L36))</f>
        <v>#NUM!</v>
      </c>
      <c r="M39" s="493" t="e">
        <f>IF(M37="No",SMALL((M13:M36),COUNTIF(M13:M36,0)+1),SUM(M13:M36))</f>
        <v>#NUM!</v>
      </c>
      <c r="N39" s="493" t="e">
        <f>IF(N37="No",SMALL((N13:N36),COUNTIF(N13:N36,0)+1),SUM(N13:N36))</f>
        <v>#NUM!</v>
      </c>
      <c r="O39" s="493" t="e">
        <f>IF(O37="No",SMALL((O13:O36),COUNTIF(O13:O36,0)+1),SUM(O13:O36))</f>
        <v>#NUM!</v>
      </c>
      <c r="P39" s="493"/>
    </row>
    <row r="40" spans="1:16" s="321" customFormat="1" ht="15" hidden="1" customHeight="1" x14ac:dyDescent="0.5">
      <c r="A40" s="312"/>
      <c r="B40" s="357"/>
      <c r="C40" s="491"/>
      <c r="D40" s="492"/>
      <c r="E40" s="492"/>
      <c r="F40" s="492"/>
      <c r="G40" s="492"/>
      <c r="H40" s="493">
        <f>IF(H37="No",MAX(H13:H36),SUM(H13:H36))</f>
        <v>0</v>
      </c>
      <c r="I40" s="493">
        <f>IF(I37="No",MAX(I13:I36),SUM(I13:I36))</f>
        <v>0</v>
      </c>
      <c r="J40" s="493">
        <f>IF(J37="No",MAX(J13:J36),SUM(J13:J36))</f>
        <v>0</v>
      </c>
      <c r="K40" s="486"/>
      <c r="L40" s="493">
        <f>IF(L37="No",MAX(L13:L36),SUM(L13:L36))</f>
        <v>0</v>
      </c>
      <c r="M40" s="493">
        <f>IF(M37="No",MAX(M13:M36),SUM(M13:M36))</f>
        <v>0</v>
      </c>
      <c r="N40" s="493">
        <f>IF(N37="No",MAX(N13:N36),SUM(N13:N36))</f>
        <v>0</v>
      </c>
      <c r="O40" s="493">
        <f>IF(O37="No",MAX(O13:O36),SUM(O13:O36))</f>
        <v>0</v>
      </c>
      <c r="P40" s="493"/>
    </row>
    <row r="41" spans="1:16" ht="15.3" x14ac:dyDescent="0.55000000000000004">
      <c r="A41" s="312"/>
      <c r="C41" s="581" t="s">
        <v>145</v>
      </c>
      <c r="D41" s="585" t="s">
        <v>210</v>
      </c>
      <c r="E41" s="586">
        <v>0</v>
      </c>
      <c r="F41" s="587">
        <v>0</v>
      </c>
      <c r="G41" s="368" t="s">
        <v>134</v>
      </c>
      <c r="H41" s="590"/>
      <c r="I41" s="591"/>
      <c r="J41" s="591"/>
      <c r="K41" s="591"/>
      <c r="L41" s="591"/>
      <c r="M41" s="591"/>
      <c r="N41" s="591"/>
      <c r="O41" s="592"/>
      <c r="P41" s="481"/>
    </row>
    <row r="42" spans="1:16" ht="15.3" x14ac:dyDescent="0.55000000000000004">
      <c r="A42" s="312"/>
      <c r="C42" s="581"/>
      <c r="D42" s="482" t="str">
        <f>'NHS &amp; LA treatment'!D20</f>
        <v>Treatment for opioid use</v>
      </c>
      <c r="E42" s="484" t="s">
        <v>119</v>
      </c>
      <c r="F42" s="483">
        <v>0</v>
      </c>
      <c r="G42" s="368" t="s">
        <v>134</v>
      </c>
      <c r="H42" s="486"/>
      <c r="I42" s="486"/>
      <c r="J42" s="486"/>
      <c r="K42" s="494">
        <f>F42*'NHS &amp; LA treatment'!$L$20</f>
        <v>0</v>
      </c>
      <c r="L42" s="486"/>
      <c r="M42" s="486"/>
      <c r="N42" s="486"/>
      <c r="O42" s="486"/>
      <c r="P42" s="481"/>
    </row>
    <row r="43" spans="1:16" ht="15.3" x14ac:dyDescent="0.55000000000000004">
      <c r="A43" s="312"/>
      <c r="C43" s="581"/>
      <c r="D43" s="482" t="str">
        <f>'NHS &amp; LA treatment'!D21</f>
        <v>Treatment for non-opioid drug use</v>
      </c>
      <c r="E43" s="484" t="s">
        <v>119</v>
      </c>
      <c r="F43" s="483">
        <v>0</v>
      </c>
      <c r="G43" s="368" t="s">
        <v>134</v>
      </c>
      <c r="H43" s="486"/>
      <c r="I43" s="486"/>
      <c r="J43" s="486"/>
      <c r="K43" s="494">
        <f>F43*'NHS &amp; LA treatment'!$L$21</f>
        <v>0</v>
      </c>
      <c r="L43" s="486"/>
      <c r="M43" s="486"/>
      <c r="N43" s="486"/>
      <c r="O43" s="486"/>
      <c r="P43" s="481"/>
    </row>
    <row r="44" spans="1:16" ht="15.3" x14ac:dyDescent="0.55000000000000004">
      <c r="A44" s="312"/>
      <c r="C44" s="581"/>
      <c r="D44" s="482" t="str">
        <f>'NHS &amp; LA treatment'!D22</f>
        <v>Treatment for alcohol use</v>
      </c>
      <c r="E44" s="484" t="s">
        <v>119</v>
      </c>
      <c r="F44" s="483">
        <v>0</v>
      </c>
      <c r="G44" s="368" t="s">
        <v>134</v>
      </c>
      <c r="H44" s="486"/>
      <c r="I44" s="486"/>
      <c r="J44" s="486"/>
      <c r="K44" s="494">
        <f>F44*'NHS &amp; LA treatment'!$L$22</f>
        <v>0</v>
      </c>
      <c r="L44" s="486"/>
      <c r="M44" s="486"/>
      <c r="N44" s="486"/>
      <c r="O44" s="486"/>
      <c r="P44" s="481"/>
    </row>
    <row r="45" spans="1:16" ht="15.3" x14ac:dyDescent="0.55000000000000004">
      <c r="A45" s="312"/>
      <c r="C45" s="581"/>
      <c r="D45" s="482" t="str">
        <f>'NHS &amp; LA treatment'!D23</f>
        <v>Treatment for young people (alcohol and drugs)</v>
      </c>
      <c r="E45" s="483">
        <v>0</v>
      </c>
      <c r="F45" s="484" t="s">
        <v>119</v>
      </c>
      <c r="G45" s="368" t="s">
        <v>134</v>
      </c>
      <c r="H45" s="486"/>
      <c r="I45" s="486"/>
      <c r="J45" s="486"/>
      <c r="K45" s="494">
        <f>E45*'NHS &amp; LA treatment'!$L$23</f>
        <v>0</v>
      </c>
      <c r="L45" s="486"/>
      <c r="M45" s="486"/>
      <c r="N45" s="486"/>
      <c r="O45" s="486"/>
      <c r="P45" s="481"/>
    </row>
    <row r="46" spans="1:16" ht="15.3" x14ac:dyDescent="0.55000000000000004">
      <c r="C46" s="581"/>
      <c r="D46" s="482" t="str">
        <f>'NHS &amp; LA treatment'!D24</f>
        <v>Inpatient detoxfication</v>
      </c>
      <c r="E46" s="484" t="s">
        <v>119</v>
      </c>
      <c r="F46" s="483">
        <v>0</v>
      </c>
      <c r="G46" s="368" t="s">
        <v>134</v>
      </c>
      <c r="H46" s="486"/>
      <c r="I46" s="486"/>
      <c r="J46" s="486"/>
      <c r="K46" s="494">
        <f>F46*'NHS &amp; LA treatment'!$L$24</f>
        <v>0</v>
      </c>
      <c r="L46" s="486"/>
      <c r="M46" s="486"/>
      <c r="N46" s="486"/>
      <c r="O46" s="486"/>
      <c r="P46" s="481"/>
    </row>
    <row r="47" spans="1:16" ht="15.3" x14ac:dyDescent="0.55000000000000004">
      <c r="C47" s="581"/>
      <c r="D47" s="482" t="str">
        <f>'NHS &amp; LA treatment'!D25</f>
        <v>Residential rehabilitation</v>
      </c>
      <c r="E47" s="484" t="s">
        <v>119</v>
      </c>
      <c r="F47" s="483">
        <v>0</v>
      </c>
      <c r="G47" s="368" t="s">
        <v>134</v>
      </c>
      <c r="H47" s="486"/>
      <c r="I47" s="486"/>
      <c r="J47" s="486"/>
      <c r="K47" s="494">
        <f>F47*'NHS &amp; LA treatment'!$L$25</f>
        <v>0</v>
      </c>
      <c r="L47" s="486"/>
      <c r="M47" s="486"/>
      <c r="N47" s="486"/>
      <c r="O47" s="486"/>
      <c r="P47" s="481"/>
    </row>
    <row r="48" spans="1:16" ht="15" x14ac:dyDescent="0.55000000000000004">
      <c r="C48" s="581"/>
      <c r="D48" s="573" t="s">
        <v>147</v>
      </c>
      <c r="E48" s="574"/>
      <c r="F48" s="574"/>
      <c r="G48" s="575"/>
      <c r="H48" s="486"/>
      <c r="I48" s="486"/>
      <c r="J48" s="486"/>
      <c r="K48" s="494">
        <f>0</f>
        <v>0</v>
      </c>
      <c r="L48" s="486"/>
      <c r="M48" s="486"/>
      <c r="N48" s="486"/>
      <c r="O48" s="486"/>
      <c r="P48" s="481"/>
    </row>
    <row r="49" spans="1:16" ht="15" x14ac:dyDescent="0.55000000000000004">
      <c r="C49" s="581"/>
      <c r="D49" s="573" t="s">
        <v>791</v>
      </c>
      <c r="E49" s="574"/>
      <c r="F49" s="574"/>
      <c r="G49" s="575"/>
      <c r="H49" s="494">
        <v>0</v>
      </c>
      <c r="I49" s="486"/>
      <c r="J49" s="486"/>
      <c r="K49" s="494">
        <f>0</f>
        <v>0</v>
      </c>
      <c r="L49" s="486"/>
      <c r="M49" s="486"/>
      <c r="N49" s="486"/>
      <c r="O49" s="486"/>
      <c r="P49" s="481"/>
    </row>
    <row r="50" spans="1:16" ht="15" x14ac:dyDescent="0.55000000000000004">
      <c r="C50" s="581"/>
      <c r="D50" s="582" t="s">
        <v>148</v>
      </c>
      <c r="E50" s="583"/>
      <c r="F50" s="583"/>
      <c r="G50" s="584"/>
      <c r="H50" s="490">
        <f>SUM(H42:H49)</f>
        <v>0</v>
      </c>
      <c r="I50" s="486"/>
      <c r="J50" s="486"/>
      <c r="K50" s="490">
        <f>SUM(K42:K49)</f>
        <v>0</v>
      </c>
      <c r="L50" s="486"/>
      <c r="M50" s="486"/>
      <c r="N50" s="486"/>
      <c r="O50" s="486"/>
      <c r="P50" s="481"/>
    </row>
    <row r="51" spans="1:16" ht="15.6" x14ac:dyDescent="0.6">
      <c r="C51" s="477"/>
      <c r="D51" s="477"/>
      <c r="E51" s="477"/>
      <c r="F51" s="477"/>
      <c r="G51" s="479"/>
      <c r="H51" s="479"/>
      <c r="I51" s="479"/>
      <c r="J51" s="479"/>
      <c r="K51" s="479"/>
      <c r="L51" s="495"/>
      <c r="M51" s="479"/>
      <c r="N51" s="477"/>
      <c r="O51" s="477"/>
      <c r="P51" s="477"/>
    </row>
    <row r="52" spans="1:16" ht="15.6" x14ac:dyDescent="0.6">
      <c r="C52" s="477"/>
      <c r="D52" s="477"/>
      <c r="E52" s="589" t="s">
        <v>149</v>
      </c>
      <c r="F52" s="589"/>
      <c r="G52" s="479"/>
      <c r="H52" s="479"/>
      <c r="I52" s="479"/>
      <c r="J52" s="479"/>
      <c r="K52" s="479"/>
      <c r="L52" s="495"/>
      <c r="M52" s="479"/>
      <c r="N52" s="477"/>
      <c r="O52" s="477"/>
      <c r="P52" s="477"/>
    </row>
    <row r="53" spans="1:16" s="271" customFormat="1" ht="15.3" x14ac:dyDescent="0.55000000000000004">
      <c r="A53" s="313"/>
      <c r="C53" s="46"/>
      <c r="D53" s="343" t="s">
        <v>148</v>
      </c>
      <c r="E53" s="588">
        <f>SUM(H50:O50)</f>
        <v>0</v>
      </c>
      <c r="F53" s="588"/>
      <c r="G53" s="46"/>
      <c r="H53" s="496"/>
      <c r="I53" s="46"/>
      <c r="J53" s="46"/>
      <c r="K53" s="46"/>
      <c r="L53" s="46"/>
      <c r="M53" s="46"/>
      <c r="N53" s="46"/>
      <c r="O53" s="46"/>
      <c r="P53" s="46"/>
    </row>
    <row r="54" spans="1:16" s="271" customFormat="1" ht="15.3" x14ac:dyDescent="0.55000000000000004">
      <c r="A54" s="313"/>
      <c r="C54" s="46"/>
      <c r="D54" s="343" t="s">
        <v>150</v>
      </c>
      <c r="E54" s="577" t="str">
        <f>IFERROR(IF(SUM(H39:K39)=SUM(H40:K40),TEXT(ROUND(SUM(H39:K39),-1),"#,#"),TEXT(ROUND(SUM(H39:K39),-1)," #,# - ")&amp;TEXT(ROUND(SUM(H40:K40),-1),"#,#")),"")</f>
        <v/>
      </c>
      <c r="F54" s="578"/>
      <c r="G54" s="46"/>
      <c r="H54" s="46"/>
      <c r="I54" s="46"/>
      <c r="J54" s="46"/>
      <c r="K54" s="46"/>
      <c r="L54" s="496"/>
      <c r="M54" s="46"/>
      <c r="N54" s="46"/>
      <c r="O54" s="46"/>
      <c r="P54" s="46"/>
    </row>
    <row r="55" spans="1:16" s="271" customFormat="1" ht="15.3" x14ac:dyDescent="0.55000000000000004">
      <c r="A55" s="313"/>
      <c r="C55" s="46"/>
      <c r="D55" s="343" t="s">
        <v>151</v>
      </c>
      <c r="E55" s="572" t="str">
        <f>IFERROR(IF(SUM(H39:K39)=SUM(H40:K40),TEXT(ROUND(SUM(H39:K39)-E53,-1),"#,#"),TEXT(ROUND(SUM(H39:K39)-E53,-1),"#,# - ")&amp;TEXT(ROUND(SUM(H40:K40)-E53,-1),"#,#")),"")</f>
        <v/>
      </c>
      <c r="F55" s="572"/>
      <c r="G55" s="46"/>
      <c r="H55" s="46"/>
      <c r="I55" s="46"/>
      <c r="J55" s="46"/>
      <c r="K55" s="46"/>
      <c r="L55" s="496"/>
      <c r="M55" s="46"/>
      <c r="N55" s="46"/>
      <c r="O55" s="46"/>
      <c r="P55" s="46"/>
    </row>
    <row r="56" spans="1:16" s="271" customFormat="1" ht="15.3" x14ac:dyDescent="0.55000000000000004">
      <c r="A56" s="313"/>
      <c r="C56" s="46"/>
      <c r="D56" s="343" t="s">
        <v>152</v>
      </c>
      <c r="E56" s="572">
        <f>IFERROR(IF(SUM(H39:K39)=SUM(H40:K40),TEXT(ROUND(SUM(H39:K39)/E53,2),"#.#0"),TEXT(ROUND(SUM(H39:K39)/E53,2),"#.#0 - ")&amp;TEXT(ROUND(SUM(H40:K40)/E53,2),"#.#0")),0)</f>
        <v>0</v>
      </c>
      <c r="F56" s="572"/>
      <c r="G56" s="46"/>
      <c r="H56" s="46"/>
      <c r="I56" s="46"/>
      <c r="J56" s="46"/>
      <c r="K56" s="46"/>
      <c r="L56" s="46"/>
      <c r="M56" s="46"/>
      <c r="N56" s="46"/>
      <c r="O56" s="46"/>
      <c r="P56" s="46"/>
    </row>
    <row r="57" spans="1:16" s="271" customFormat="1" ht="15.3" x14ac:dyDescent="0.55000000000000004">
      <c r="A57" s="313"/>
      <c r="C57" s="46"/>
      <c r="D57" s="339" t="s">
        <v>153</v>
      </c>
      <c r="E57" s="577" t="str">
        <f>IFERROR(IF(SUM(H39:O39)=SUM(H40:O40),TEXT(ROUND(SUM(H39:O39),-1),"#,#"),TEXT(ROUND(SUM(H39:O39),-1)," #,# - ")&amp;TEXT(ROUND(SUM(H40:O40),-1),"#,#")),"")</f>
        <v/>
      </c>
      <c r="F57" s="578"/>
      <c r="G57" s="46"/>
      <c r="H57" s="46"/>
      <c r="I57" s="46"/>
      <c r="J57" s="46"/>
      <c r="K57" s="46"/>
      <c r="L57" s="46"/>
      <c r="M57" s="46"/>
      <c r="N57" s="46"/>
      <c r="O57" s="46"/>
      <c r="P57" s="46"/>
    </row>
    <row r="58" spans="1:16" s="271" customFormat="1" ht="15.3" x14ac:dyDescent="0.55000000000000004">
      <c r="A58" s="313"/>
      <c r="C58" s="46"/>
      <c r="D58" s="339" t="s">
        <v>154</v>
      </c>
      <c r="E58" s="572" t="str">
        <f>IFERROR(IF(SUM(H39:O39)=SUM(H40:O40),TEXT(ROUND(SUM(H39:O39)-E53,-1)," #,#"),TEXT(ROUND(SUM(H39:O39)-E53,-1),"#,# - ")&amp;TEXT(ROUND(SUM(H40:O40)-E53,-1),"#,#")),"")</f>
        <v/>
      </c>
      <c r="F58" s="572"/>
      <c r="G58" s="46"/>
      <c r="H58" s="46"/>
      <c r="I58" s="46"/>
      <c r="J58" s="46"/>
      <c r="K58" s="46"/>
      <c r="L58" s="46"/>
      <c r="M58" s="46"/>
      <c r="N58" s="46"/>
      <c r="O58" s="46"/>
      <c r="P58" s="46"/>
    </row>
    <row r="59" spans="1:16" s="271" customFormat="1" ht="15.3" x14ac:dyDescent="0.55000000000000004">
      <c r="A59" s="313"/>
      <c r="C59" s="497"/>
      <c r="D59" s="343" t="s">
        <v>155</v>
      </c>
      <c r="E59" s="572">
        <f>IFERROR(IF(SUM(H39:O39)=SUM(H40:O40),TEXT(ROUND(SUM(H39:O39)/E53,2),"#.#0"),TEXT(ROUND(SUM(H39:O39)/E53,2),"#.#0 - ")&amp;TEXT(ROUND(SUM(H40:O40)/E53,2),"#.#0")),0)</f>
        <v>0</v>
      </c>
      <c r="F59" s="572"/>
      <c r="G59" s="497"/>
      <c r="H59" s="497"/>
      <c r="I59" s="497"/>
      <c r="J59" s="497"/>
      <c r="K59" s="46"/>
      <c r="L59" s="46"/>
      <c r="M59" s="46"/>
      <c r="N59" s="46"/>
      <c r="O59" s="46"/>
      <c r="P59" s="46"/>
    </row>
    <row r="60" spans="1:16" ht="15.6" x14ac:dyDescent="0.6">
      <c r="C60" s="477"/>
      <c r="D60" s="477"/>
      <c r="E60" s="477"/>
      <c r="F60" s="477"/>
      <c r="G60" s="477"/>
      <c r="H60" s="479"/>
      <c r="I60" s="479"/>
      <c r="J60" s="479"/>
      <c r="K60" s="479"/>
      <c r="L60" s="477"/>
      <c r="M60" s="479"/>
      <c r="N60" s="477"/>
      <c r="O60" s="477"/>
      <c r="P60" s="477"/>
    </row>
    <row r="61" spans="1:16" ht="15.6" x14ac:dyDescent="0.6">
      <c r="C61" s="477"/>
      <c r="D61" s="477"/>
      <c r="E61" s="477"/>
      <c r="F61" s="477"/>
      <c r="G61" s="477"/>
      <c r="H61" s="479"/>
      <c r="I61" s="479"/>
      <c r="J61" s="479"/>
      <c r="K61" s="479"/>
      <c r="L61" s="477"/>
      <c r="M61" s="479"/>
      <c r="N61" s="477"/>
      <c r="O61" s="477"/>
      <c r="P61" s="477"/>
    </row>
    <row r="62" spans="1:16" ht="15.6" x14ac:dyDescent="0.6">
      <c r="C62" s="477"/>
      <c r="D62" s="477"/>
      <c r="E62" s="477"/>
      <c r="F62" s="477"/>
      <c r="G62" s="477"/>
      <c r="H62" s="479"/>
      <c r="I62" s="479"/>
      <c r="J62" s="479"/>
      <c r="K62" s="479"/>
      <c r="L62" s="477"/>
      <c r="M62" s="479"/>
      <c r="N62" s="477"/>
      <c r="O62" s="477"/>
      <c r="P62" s="477"/>
    </row>
    <row r="63" spans="1:16" ht="15.6" x14ac:dyDescent="0.6">
      <c r="C63" s="477"/>
      <c r="D63" s="477"/>
      <c r="E63" s="477"/>
      <c r="F63" s="477"/>
      <c r="G63" s="477"/>
      <c r="H63" s="479"/>
      <c r="I63" s="479"/>
      <c r="J63" s="479"/>
      <c r="K63" s="479"/>
      <c r="L63" s="477"/>
      <c r="M63" s="479"/>
      <c r="N63" s="477"/>
      <c r="O63" s="477"/>
      <c r="P63" s="477"/>
    </row>
    <row r="64" spans="1:16" x14ac:dyDescent="0.55000000000000004">
      <c r="D64" s="388"/>
    </row>
  </sheetData>
  <mergeCells count="37">
    <mergeCell ref="D3:M3"/>
    <mergeCell ref="E8:E11"/>
    <mergeCell ref="F8:F11"/>
    <mergeCell ref="G8:G11"/>
    <mergeCell ref="H8:O8"/>
    <mergeCell ref="C8:D11"/>
    <mergeCell ref="D5:M5"/>
    <mergeCell ref="D4:L4"/>
    <mergeCell ref="P8:P11"/>
    <mergeCell ref="H9:M9"/>
    <mergeCell ref="N9:N11"/>
    <mergeCell ref="O9:O11"/>
    <mergeCell ref="H10:K10"/>
    <mergeCell ref="L10:L11"/>
    <mergeCell ref="M10:M11"/>
    <mergeCell ref="H12:O12"/>
    <mergeCell ref="D27:F27"/>
    <mergeCell ref="H27:O27"/>
    <mergeCell ref="D31:F31"/>
    <mergeCell ref="D41:F41"/>
    <mergeCell ref="H41:O41"/>
    <mergeCell ref="C12:C38"/>
    <mergeCell ref="C41:C50"/>
    <mergeCell ref="D50:G50"/>
    <mergeCell ref="D12:F12"/>
    <mergeCell ref="E53:F53"/>
    <mergeCell ref="E52:F52"/>
    <mergeCell ref="D49:G49"/>
    <mergeCell ref="E59:F59"/>
    <mergeCell ref="D48:G48"/>
    <mergeCell ref="D37:G37"/>
    <mergeCell ref="D38:G38"/>
    <mergeCell ref="E54:F54"/>
    <mergeCell ref="E55:F55"/>
    <mergeCell ref="E56:F56"/>
    <mergeCell ref="E58:F58"/>
    <mergeCell ref="E57:F57"/>
  </mergeCells>
  <conditionalFormatting sqref="G12:G36 G41:G47">
    <cfRule type="expression" dxfId="8" priority="1">
      <formula>$D$13:$D$41=""</formula>
    </cfRule>
  </conditionalFormatting>
  <dataValidations count="1">
    <dataValidation type="list" allowBlank="1" showInputMessage="1" showErrorMessage="1" sqref="H37:J37 L37:O37" xr:uid="{1631AA17-3EC0-4E45-BE9F-27E455061996}">
      <formula1>Select</formula1>
    </dataValidation>
  </dataValidations>
  <hyperlinks>
    <hyperlink ref="G18:G19" location="'Social, YP &amp; kinship care'!A1" display="Social, YP &amp; kinship care" xr:uid="{73B376C3-F1AD-4363-9AF2-049C0D3D417C}"/>
    <hyperlink ref="G20" location="Education!A1" display="Education!A1" xr:uid="{C2259D77-F102-44EE-8869-F33A4CE82E80}"/>
    <hyperlink ref="G25" location="Disorders!A1" display="Disorders" xr:uid="{41748028-4F77-4033-9A2D-1926E98FC017}"/>
    <hyperlink ref="G26" location="Homelessness!A1" display="Homelessness!A1" xr:uid="{729EE3F1-13EC-4965-BD7C-BF6DDA5B3161}"/>
    <hyperlink ref="G31" location="'DA &amp; crime'!A1" display="DA &amp; crime" xr:uid="{2D8AC353-3169-4781-BBD9-AA43D4BDFBE5}"/>
    <hyperlink ref="G30" location="'DA &amp; crime'!A1" display="DA &amp; crime" xr:uid="{65FBCC2F-38D0-4A7E-9C0F-29488CA27FFC}"/>
    <hyperlink ref="G27" location="'NHS and LA Treatment'!A1" display="NHS and LA Treatment" xr:uid="{8A4D7BAC-93CA-4745-82AC-EFEC872BAAE4}"/>
    <hyperlink ref="G41" location="'NHS and LA Treatment'!A1" display="NHS and LA Treatment" xr:uid="{C4052C32-61F5-4BBC-B598-EED3DFCF518E}"/>
    <hyperlink ref="G21" location="Education!A1" display="Education!A1" xr:uid="{4D527C8E-86CE-49C8-A78E-25ADD5F5E0FD}"/>
    <hyperlink ref="G15:G16" location="'Social, YP &amp; kinship care'!A1" display="Social, YP &amp; kinship care" xr:uid="{3F6F1EB2-5AE0-433B-BE7B-6BE2FA8406D8}"/>
    <hyperlink ref="G17" location="'Social, YP &amp; kinship care'!A1" display="Social, YP &amp; kinship care" xr:uid="{2098E387-5121-43D6-BECB-1E0733E99DE3}"/>
    <hyperlink ref="G44" location="'NHS and LA Treatment'!A1" display="NHS and LA Treatment" xr:uid="{07583A0E-2593-41CF-8E34-E13F5C546450}"/>
    <hyperlink ref="G45" location="'NHS and LA Treatment'!A1" display="NHS and LA Treatment" xr:uid="{398CAE9E-EEA2-4354-B4BB-F811942D67DD}"/>
    <hyperlink ref="G46" location="'NHS and LA Treatment'!A1" display="NHS and LA Treatment" xr:uid="{CE2F2FF1-D9AD-4227-8F62-4AFFA7134FDD}"/>
    <hyperlink ref="G47" location="'NHS and LA Treatment'!A1" display="NHS and LA Treatment" xr:uid="{F929CD4B-3382-462F-A9FB-21B6F16CA904}"/>
    <hyperlink ref="G42:G43" location="'NHS and LA Treatment'!A1" display="NHS and LA Treatment" xr:uid="{DF661DD5-1A99-435D-B672-1652A5E69CD2}"/>
    <hyperlink ref="G28:G29" location="'NHS and LA Treatment'!A1" display="NHS and LA Treatment" xr:uid="{283E7D06-9F6C-4910-AA4E-B63D735D54F5}"/>
    <hyperlink ref="G33:G35" location="'DA &amp; crime'!A1" display="DA &amp; crime" xr:uid="{C7008B23-3025-4C96-A33D-ACFD9ACBBB3A}"/>
    <hyperlink ref="G32" location="'DA &amp; crime'!A1" display="DA &amp; crime" xr:uid="{DF62A660-FDFD-4F61-8CB0-9BD84822FBA1}"/>
    <hyperlink ref="G36" location="'DA &amp; crime'!A1" display="DA &amp; crime" xr:uid="{5AEDE435-159B-4863-8150-0A6AC0340BF1}"/>
  </hyperlink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60F35-2CA0-4AA3-9AB9-9F24BF772F96}">
  <sheetPr codeName="Sheet9">
    <tabColor rgb="FF00B050"/>
  </sheetPr>
  <dimension ref="A2:S422"/>
  <sheetViews>
    <sheetView showGridLines="0" showRowColHeaders="0" zoomScaleNormal="100" workbookViewId="0">
      <selection activeCell="C2" sqref="C2"/>
    </sheetView>
  </sheetViews>
  <sheetFormatPr defaultColWidth="9.20703125" defaultRowHeight="14.4" x14ac:dyDescent="0.55000000000000004"/>
  <cols>
    <col min="1" max="1" width="36.20703125" style="313" customWidth="1"/>
    <col min="2" max="2" width="2.41796875" style="271" customWidth="1"/>
    <col min="3" max="3" width="5.20703125" style="271" customWidth="1"/>
    <col min="4" max="4" width="52.20703125" style="271" customWidth="1"/>
    <col min="5" max="5" width="13.7890625" style="271" customWidth="1"/>
    <col min="6" max="6" width="10.7890625" style="271" customWidth="1"/>
    <col min="7" max="7" width="0.20703125" style="271" hidden="1" customWidth="1"/>
    <col min="8" max="8" width="15.41796875" style="271" customWidth="1"/>
    <col min="9" max="9" width="14.20703125" style="271" customWidth="1"/>
    <col min="10" max="10" width="15.7890625" style="271" customWidth="1"/>
    <col min="11" max="14" width="14.20703125" style="271" customWidth="1"/>
    <col min="15" max="15" width="15.20703125" style="271" customWidth="1"/>
    <col min="16" max="16" width="169.20703125" style="271" customWidth="1"/>
    <col min="17" max="16384" width="9.20703125" style="271"/>
  </cols>
  <sheetData>
    <row r="2" spans="1:12" s="39" customFormat="1" ht="32.700000000000003" x14ac:dyDescent="1.05">
      <c r="A2" s="313"/>
      <c r="C2" s="43" t="s">
        <v>156</v>
      </c>
    </row>
    <row r="3" spans="1:12" x14ac:dyDescent="0.55000000000000004">
      <c r="A3" s="310"/>
    </row>
    <row r="4" spans="1:12" ht="15.3" x14ac:dyDescent="0.55000000000000004">
      <c r="A4" s="310"/>
      <c r="C4" s="441" t="s">
        <v>902</v>
      </c>
    </row>
    <row r="5" spans="1:12" x14ac:dyDescent="0.55000000000000004">
      <c r="A5" s="310"/>
    </row>
    <row r="6" spans="1:12" ht="22.2" x14ac:dyDescent="0.7">
      <c r="A6" s="310"/>
      <c r="C6" s="353" t="s">
        <v>157</v>
      </c>
    </row>
    <row r="7" spans="1:12" x14ac:dyDescent="0.55000000000000004">
      <c r="A7" s="310"/>
      <c r="C7" s="272"/>
    </row>
    <row r="8" spans="1:12" x14ac:dyDescent="0.55000000000000004">
      <c r="A8" s="310"/>
    </row>
    <row r="9" spans="1:12" x14ac:dyDescent="0.55000000000000004">
      <c r="A9" s="310"/>
      <c r="C9" s="631"/>
      <c r="D9" s="630"/>
      <c r="E9" s="630"/>
      <c r="F9" s="630"/>
      <c r="G9" s="629"/>
      <c r="H9" s="629"/>
      <c r="I9" s="629"/>
      <c r="J9" s="345"/>
    </row>
    <row r="10" spans="1:12" ht="14.25" customHeight="1" x14ac:dyDescent="0.55000000000000004">
      <c r="A10" s="310"/>
      <c r="C10" s="631"/>
      <c r="D10" s="467"/>
      <c r="E10" s="467"/>
      <c r="F10" s="467"/>
      <c r="G10" s="629"/>
      <c r="H10" s="629"/>
      <c r="I10" s="629"/>
      <c r="J10" s="345"/>
    </row>
    <row r="11" spans="1:12" x14ac:dyDescent="0.55000000000000004">
      <c r="A11" s="310"/>
      <c r="C11" s="346"/>
      <c r="D11" s="347"/>
      <c r="E11" s="347"/>
      <c r="F11" s="347"/>
      <c r="G11" s="347"/>
      <c r="H11" s="347"/>
      <c r="I11" s="273"/>
      <c r="J11" s="345"/>
    </row>
    <row r="12" spans="1:12" ht="36.75" customHeight="1" x14ac:dyDescent="0.5">
      <c r="A12" s="311"/>
      <c r="C12" s="346"/>
      <c r="D12" s="347"/>
      <c r="E12" s="347"/>
      <c r="F12" s="347"/>
      <c r="G12" s="347"/>
      <c r="H12" s="347"/>
      <c r="I12" s="348"/>
      <c r="J12" s="345"/>
    </row>
    <row r="13" spans="1:12" ht="12.9" x14ac:dyDescent="0.5">
      <c r="A13" s="311"/>
      <c r="C13" s="346"/>
      <c r="D13" s="347"/>
      <c r="E13" s="347"/>
      <c r="F13" s="347"/>
      <c r="G13" s="347"/>
      <c r="H13" s="347"/>
      <c r="I13" s="273"/>
      <c r="J13" s="345"/>
    </row>
    <row r="14" spans="1:12" ht="12.9" x14ac:dyDescent="0.5">
      <c r="A14" s="311"/>
      <c r="C14" s="346"/>
      <c r="D14" s="347"/>
      <c r="E14" s="347"/>
      <c r="F14" s="347"/>
      <c r="G14" s="347"/>
      <c r="H14" s="347"/>
      <c r="I14" s="273"/>
      <c r="J14" s="345"/>
    </row>
    <row r="15" spans="1:12" ht="15" x14ac:dyDescent="0.5">
      <c r="A15" s="312"/>
      <c r="C15" s="352"/>
      <c r="D15" s="347"/>
      <c r="E15" s="347"/>
      <c r="F15" s="347"/>
      <c r="G15" s="347"/>
      <c r="H15" s="347"/>
      <c r="I15" s="273"/>
      <c r="J15" s="345"/>
      <c r="K15" s="351"/>
    </row>
    <row r="16" spans="1:12" ht="15" x14ac:dyDescent="0.5">
      <c r="A16" s="312"/>
      <c r="C16" s="349"/>
      <c r="D16" s="350"/>
      <c r="E16" s="350"/>
      <c r="F16" s="350"/>
      <c r="G16" s="350"/>
      <c r="H16" s="350"/>
      <c r="I16" s="273"/>
      <c r="J16" s="273"/>
      <c r="L16" s="351"/>
    </row>
    <row r="17" spans="1:10" ht="15" x14ac:dyDescent="0.5">
      <c r="A17" s="312"/>
      <c r="C17" s="272"/>
      <c r="D17" s="274"/>
      <c r="E17" s="274"/>
      <c r="F17" s="274"/>
      <c r="G17" s="274"/>
      <c r="H17" s="274"/>
    </row>
    <row r="18" spans="1:10" ht="15" x14ac:dyDescent="0.5">
      <c r="A18" s="312"/>
      <c r="C18" s="637"/>
      <c r="D18" s="637"/>
      <c r="E18" s="637"/>
      <c r="F18" s="637"/>
      <c r="G18" s="637"/>
      <c r="H18" s="637"/>
      <c r="I18" s="637"/>
      <c r="J18" s="637"/>
    </row>
    <row r="19" spans="1:10" ht="15" x14ac:dyDescent="0.5">
      <c r="A19" s="312"/>
      <c r="C19" s="637"/>
      <c r="D19" s="637"/>
      <c r="E19" s="637"/>
      <c r="F19" s="637"/>
      <c r="G19" s="637"/>
      <c r="H19" s="637"/>
      <c r="I19" s="637"/>
      <c r="J19" s="637"/>
    </row>
    <row r="20" spans="1:10" ht="15" x14ac:dyDescent="0.5">
      <c r="A20" s="312"/>
      <c r="C20" s="637"/>
      <c r="D20" s="637"/>
      <c r="E20" s="637"/>
      <c r="F20" s="637"/>
      <c r="G20" s="637"/>
      <c r="H20" s="637"/>
      <c r="I20" s="637"/>
      <c r="J20" s="637"/>
    </row>
    <row r="21" spans="1:10" ht="15" x14ac:dyDescent="0.5">
      <c r="A21" s="312"/>
      <c r="C21" s="352"/>
      <c r="D21" s="352"/>
      <c r="E21" s="352"/>
      <c r="F21" s="352"/>
      <c r="G21" s="352"/>
      <c r="H21" s="352"/>
      <c r="I21" s="352"/>
      <c r="J21" s="352"/>
    </row>
    <row r="22" spans="1:10" ht="15" x14ac:dyDescent="0.5">
      <c r="A22" s="312"/>
      <c r="C22" s="272"/>
    </row>
    <row r="23" spans="1:10" ht="15" x14ac:dyDescent="0.5">
      <c r="A23" s="312"/>
    </row>
    <row r="24" spans="1:10" ht="15" x14ac:dyDescent="0.5">
      <c r="A24" s="312"/>
      <c r="C24" s="631"/>
      <c r="D24" s="630"/>
      <c r="E24" s="630"/>
      <c r="F24" s="630"/>
      <c r="G24" s="629"/>
      <c r="H24" s="629"/>
      <c r="I24" s="629"/>
    </row>
    <row r="25" spans="1:10" ht="15" x14ac:dyDescent="0.5">
      <c r="A25" s="312"/>
      <c r="C25" s="631"/>
      <c r="D25" s="467"/>
      <c r="E25" s="467"/>
      <c r="F25" s="467"/>
      <c r="G25" s="629"/>
      <c r="H25" s="629"/>
      <c r="I25" s="629"/>
    </row>
    <row r="26" spans="1:10" ht="15" x14ac:dyDescent="0.5">
      <c r="A26" s="312"/>
      <c r="C26" s="346"/>
      <c r="D26" s="347"/>
      <c r="E26" s="347"/>
      <c r="F26" s="347"/>
      <c r="G26" s="347"/>
      <c r="H26" s="347"/>
      <c r="I26" s="273"/>
    </row>
    <row r="27" spans="1:10" ht="15" x14ac:dyDescent="0.5">
      <c r="A27" s="312"/>
      <c r="C27" s="346"/>
      <c r="D27" s="347"/>
      <c r="E27" s="347"/>
      <c r="F27" s="347"/>
      <c r="G27" s="347"/>
      <c r="H27" s="347"/>
      <c r="I27" s="348"/>
    </row>
    <row r="28" spans="1:10" ht="15" x14ac:dyDescent="0.5">
      <c r="A28" s="312"/>
      <c r="C28" s="346"/>
      <c r="D28" s="347"/>
      <c r="E28" s="347"/>
      <c r="F28" s="347"/>
      <c r="G28" s="347"/>
      <c r="H28" s="347"/>
      <c r="I28" s="273"/>
    </row>
    <row r="29" spans="1:10" ht="15" x14ac:dyDescent="0.5">
      <c r="A29" s="312"/>
      <c r="C29" s="346"/>
      <c r="D29" s="347"/>
      <c r="E29" s="347"/>
      <c r="F29" s="347"/>
      <c r="G29" s="347"/>
      <c r="H29" s="347"/>
      <c r="I29" s="273"/>
    </row>
    <row r="30" spans="1:10" ht="15" x14ac:dyDescent="0.5">
      <c r="A30" s="312"/>
      <c r="C30" s="346"/>
      <c r="D30" s="347"/>
      <c r="E30" s="347"/>
      <c r="F30" s="347"/>
      <c r="G30" s="347"/>
      <c r="H30" s="347"/>
      <c r="I30" s="273"/>
    </row>
    <row r="31" spans="1:10" ht="15" x14ac:dyDescent="0.5">
      <c r="A31" s="312"/>
      <c r="C31" s="354" t="s">
        <v>158</v>
      </c>
      <c r="D31" s="355"/>
      <c r="E31" s="347"/>
      <c r="F31" s="347"/>
      <c r="G31" s="347"/>
      <c r="H31" s="347"/>
      <c r="I31" s="273"/>
    </row>
    <row r="32" spans="1:10" ht="15" x14ac:dyDescent="0.5">
      <c r="A32" s="312"/>
      <c r="C32" s="354"/>
      <c r="D32" s="439" t="s">
        <v>159</v>
      </c>
      <c r="E32" s="347"/>
      <c r="F32" s="347"/>
      <c r="G32" s="347"/>
      <c r="H32" s="347"/>
      <c r="I32" s="273"/>
    </row>
    <row r="33" spans="1:16" ht="15" x14ac:dyDescent="0.5">
      <c r="A33" s="312"/>
      <c r="C33" s="354"/>
      <c r="D33" s="439" t="s">
        <v>160</v>
      </c>
      <c r="E33" s="347"/>
      <c r="F33" s="347"/>
      <c r="G33" s="347"/>
      <c r="H33" s="347"/>
      <c r="I33" s="273"/>
    </row>
    <row r="34" spans="1:16" ht="15" x14ac:dyDescent="0.5">
      <c r="A34" s="312"/>
      <c r="C34" s="354"/>
      <c r="D34" s="439" t="s">
        <v>161</v>
      </c>
      <c r="E34" s="347"/>
      <c r="F34" s="347"/>
      <c r="G34" s="347"/>
      <c r="H34" s="347"/>
      <c r="I34" s="273"/>
    </row>
    <row r="35" spans="1:16" ht="15" x14ac:dyDescent="0.5">
      <c r="A35" s="312"/>
      <c r="C35" s="354"/>
      <c r="D35" s="439" t="s">
        <v>162</v>
      </c>
      <c r="E35" s="347"/>
      <c r="F35" s="347"/>
      <c r="G35" s="347"/>
      <c r="H35" s="347"/>
      <c r="I35" s="273"/>
    </row>
    <row r="36" spans="1:16" ht="15" x14ac:dyDescent="0.5">
      <c r="A36" s="312"/>
      <c r="C36" s="354"/>
      <c r="D36" s="439" t="s">
        <v>163</v>
      </c>
      <c r="E36" s="347"/>
      <c r="F36" s="347"/>
      <c r="G36" s="347"/>
      <c r="H36" s="347"/>
      <c r="I36" s="273"/>
    </row>
    <row r="37" spans="1:16" ht="15" x14ac:dyDescent="0.5">
      <c r="A37" s="312"/>
      <c r="C37" s="354"/>
      <c r="D37" s="356"/>
      <c r="E37" s="347"/>
      <c r="F37" s="347"/>
      <c r="G37" s="347"/>
      <c r="H37" s="347"/>
      <c r="I37" s="273"/>
    </row>
    <row r="38" spans="1:16" ht="15" x14ac:dyDescent="0.5">
      <c r="A38" s="312"/>
      <c r="C38" s="354" t="s">
        <v>792</v>
      </c>
      <c r="D38" s="356"/>
      <c r="E38" s="347"/>
      <c r="F38" s="347"/>
      <c r="G38" s="347"/>
      <c r="H38" s="347"/>
      <c r="I38" s="273"/>
    </row>
    <row r="39" spans="1:16" ht="15" x14ac:dyDescent="0.5">
      <c r="A39" s="312"/>
      <c r="C39" s="354" t="s">
        <v>832</v>
      </c>
      <c r="D39" s="356"/>
      <c r="E39" s="347"/>
      <c r="F39" s="347"/>
      <c r="G39" s="347"/>
      <c r="H39" s="347"/>
      <c r="I39" s="273"/>
    </row>
    <row r="40" spans="1:16" ht="15.75" customHeight="1" x14ac:dyDescent="0.5">
      <c r="A40" s="312"/>
      <c r="C40" s="354"/>
      <c r="D40" s="356"/>
      <c r="E40" s="347"/>
      <c r="F40" s="347"/>
      <c r="G40" s="347"/>
      <c r="H40" s="347"/>
      <c r="I40" s="273"/>
    </row>
    <row r="41" spans="1:16" ht="15" x14ac:dyDescent="0.5">
      <c r="A41" s="312"/>
      <c r="C41" s="523" t="s">
        <v>821</v>
      </c>
      <c r="D41" s="522"/>
      <c r="E41" s="347"/>
      <c r="F41" s="347"/>
      <c r="G41" s="347"/>
      <c r="H41" s="347"/>
      <c r="I41" s="273"/>
    </row>
    <row r="42" spans="1:16" ht="14.25" customHeight="1" x14ac:dyDescent="0.5">
      <c r="A42" s="312"/>
      <c r="C42" s="46" t="s">
        <v>164</v>
      </c>
      <c r="D42" s="46"/>
    </row>
    <row r="43" spans="1:16" ht="12.6" customHeight="1" x14ac:dyDescent="0.5">
      <c r="A43" s="312"/>
    </row>
    <row r="44" spans="1:16" ht="111" customHeight="1" x14ac:dyDescent="0.5">
      <c r="A44" s="312"/>
      <c r="C44" s="570" t="s">
        <v>793</v>
      </c>
      <c r="D44" s="570"/>
      <c r="E44" s="570"/>
      <c r="F44" s="570"/>
      <c r="G44" s="570"/>
      <c r="H44" s="570"/>
      <c r="I44" s="570"/>
      <c r="J44" s="570"/>
      <c r="K44" s="570"/>
      <c r="L44" s="570"/>
      <c r="M44" s="570"/>
      <c r="N44" s="570"/>
      <c r="O44" s="570"/>
    </row>
    <row r="45" spans="1:16" ht="14.25" customHeight="1" x14ac:dyDescent="0.5">
      <c r="A45" s="312"/>
      <c r="C45" s="46"/>
      <c r="D45" s="46"/>
    </row>
    <row r="47" spans="1:16" s="321" customFormat="1" ht="15.75" customHeight="1" x14ac:dyDescent="0.55000000000000004">
      <c r="A47" s="313"/>
      <c r="B47" s="271"/>
      <c r="C47" s="639" t="s">
        <v>101</v>
      </c>
      <c r="D47" s="639"/>
      <c r="E47" s="625" t="s">
        <v>102</v>
      </c>
      <c r="F47" s="625" t="s">
        <v>103</v>
      </c>
      <c r="G47" s="625" t="s">
        <v>98</v>
      </c>
      <c r="H47" s="640" t="s">
        <v>104</v>
      </c>
      <c r="I47" s="641"/>
      <c r="J47" s="641"/>
      <c r="K47" s="641"/>
      <c r="L47" s="641"/>
      <c r="M47" s="641"/>
      <c r="N47" s="641"/>
      <c r="O47" s="642"/>
      <c r="P47" s="623" t="s">
        <v>105</v>
      </c>
    </row>
    <row r="48" spans="1:16" s="321" customFormat="1" ht="15.75" customHeight="1" x14ac:dyDescent="0.55000000000000004">
      <c r="A48" s="313"/>
      <c r="B48" s="271"/>
      <c r="C48" s="639"/>
      <c r="D48" s="639"/>
      <c r="E48" s="625"/>
      <c r="F48" s="625"/>
      <c r="G48" s="625"/>
      <c r="H48" s="624" t="s">
        <v>106</v>
      </c>
      <c r="I48" s="624"/>
      <c r="J48" s="624"/>
      <c r="K48" s="624"/>
      <c r="L48" s="624"/>
      <c r="M48" s="624"/>
      <c r="N48" s="645" t="s">
        <v>107</v>
      </c>
      <c r="O48" s="645" t="s">
        <v>108</v>
      </c>
      <c r="P48" s="623"/>
    </row>
    <row r="49" spans="1:16" s="321" customFormat="1" ht="15.75" customHeight="1" x14ac:dyDescent="0.55000000000000004">
      <c r="A49" s="313"/>
      <c r="B49" s="271"/>
      <c r="C49" s="639"/>
      <c r="D49" s="639"/>
      <c r="E49" s="625"/>
      <c r="F49" s="625"/>
      <c r="G49" s="625"/>
      <c r="H49" s="648" t="s">
        <v>109</v>
      </c>
      <c r="I49" s="649"/>
      <c r="J49" s="649"/>
      <c r="K49" s="650"/>
      <c r="L49" s="643" t="s">
        <v>110</v>
      </c>
      <c r="M49" s="643" t="s">
        <v>111</v>
      </c>
      <c r="N49" s="646"/>
      <c r="O49" s="646"/>
      <c r="P49" s="623"/>
    </row>
    <row r="50" spans="1:16" s="321" customFormat="1" x14ac:dyDescent="0.55000000000000004">
      <c r="A50" s="313"/>
      <c r="B50" s="271"/>
      <c r="C50" s="639"/>
      <c r="D50" s="639"/>
      <c r="E50" s="625"/>
      <c r="F50" s="625"/>
      <c r="G50" s="625"/>
      <c r="H50" s="465" t="s">
        <v>112</v>
      </c>
      <c r="I50" s="465" t="s">
        <v>63</v>
      </c>
      <c r="J50" s="465" t="s">
        <v>113</v>
      </c>
      <c r="K50" s="465" t="s">
        <v>114</v>
      </c>
      <c r="L50" s="644"/>
      <c r="M50" s="644"/>
      <c r="N50" s="647"/>
      <c r="O50" s="647"/>
      <c r="P50" s="623"/>
    </row>
    <row r="51" spans="1:16" s="321" customFormat="1" ht="15.75" customHeight="1" x14ac:dyDescent="0.55000000000000004">
      <c r="A51" s="313"/>
      <c r="B51" s="271"/>
      <c r="C51" s="636" t="s">
        <v>115</v>
      </c>
      <c r="D51" s="638" t="s">
        <v>116</v>
      </c>
      <c r="E51" s="616"/>
      <c r="F51" s="617"/>
      <c r="G51" s="322" t="s">
        <v>117</v>
      </c>
      <c r="H51" s="653"/>
      <c r="I51" s="654"/>
      <c r="J51" s="654"/>
      <c r="K51" s="654"/>
      <c r="L51" s="654"/>
      <c r="M51" s="654"/>
      <c r="N51" s="654"/>
      <c r="O51" s="655"/>
      <c r="P51" s="323"/>
    </row>
    <row r="52" spans="1:16" s="321" customFormat="1" ht="15" hidden="1" customHeight="1" x14ac:dyDescent="0.55000000000000004">
      <c r="A52" s="313"/>
      <c r="B52" s="271"/>
      <c r="C52" s="636"/>
      <c r="D52" s="372" t="s">
        <v>118</v>
      </c>
      <c r="E52" s="324">
        <v>0</v>
      </c>
      <c r="F52" s="325" t="s">
        <v>119</v>
      </c>
      <c r="G52" s="322" t="s">
        <v>117</v>
      </c>
      <c r="H52" s="466">
        <f>$E52*'Social, YP &amp; kinship care'!$L$7</f>
        <v>0</v>
      </c>
      <c r="I52" s="326"/>
      <c r="J52" s="326"/>
      <c r="K52" s="326"/>
      <c r="L52" s="326"/>
      <c r="M52" s="326"/>
      <c r="N52" s="326"/>
      <c r="O52" s="326"/>
      <c r="P52" s="323"/>
    </row>
    <row r="53" spans="1:16" s="321" customFormat="1" x14ac:dyDescent="0.55000000000000004">
      <c r="A53" s="313"/>
      <c r="B53" s="271"/>
      <c r="C53" s="636"/>
      <c r="D53" s="372" t="s">
        <v>120</v>
      </c>
      <c r="E53" s="324">
        <v>1</v>
      </c>
      <c r="F53" s="325" t="s">
        <v>119</v>
      </c>
      <c r="G53" s="322" t="s">
        <v>117</v>
      </c>
      <c r="H53" s="466">
        <f>$E53*'Social, YP &amp; kinship care'!$L$9</f>
        <v>10400</v>
      </c>
      <c r="I53" s="326"/>
      <c r="J53" s="326"/>
      <c r="K53" s="326"/>
      <c r="L53" s="326"/>
      <c r="M53" s="326"/>
      <c r="N53" s="326"/>
      <c r="O53" s="326"/>
      <c r="P53" s="323"/>
    </row>
    <row r="54" spans="1:16" s="321" customFormat="1" ht="15" hidden="1" customHeight="1" x14ac:dyDescent="0.55000000000000004">
      <c r="A54" s="313"/>
      <c r="B54" s="271"/>
      <c r="C54" s="636"/>
      <c r="D54" s="372" t="s">
        <v>121</v>
      </c>
      <c r="E54" s="324">
        <v>0</v>
      </c>
      <c r="F54" s="325" t="s">
        <v>119</v>
      </c>
      <c r="G54" s="322" t="s">
        <v>117</v>
      </c>
      <c r="H54" s="466">
        <f>$E54*'Social, YP &amp; kinship care'!$L$10</f>
        <v>0</v>
      </c>
      <c r="I54" s="326"/>
      <c r="J54" s="326"/>
      <c r="K54" s="326"/>
      <c r="L54" s="326"/>
      <c r="M54" s="326"/>
      <c r="N54" s="326"/>
      <c r="O54" s="326"/>
      <c r="P54" s="323"/>
    </row>
    <row r="55" spans="1:16" s="321" customFormat="1" ht="15" hidden="1" customHeight="1" x14ac:dyDescent="0.55000000000000004">
      <c r="A55" s="313"/>
      <c r="B55" s="271"/>
      <c r="C55" s="636"/>
      <c r="D55" s="372" t="s">
        <v>122</v>
      </c>
      <c r="E55" s="324">
        <v>0</v>
      </c>
      <c r="F55" s="325" t="s">
        <v>119</v>
      </c>
      <c r="G55" s="322" t="s">
        <v>117</v>
      </c>
      <c r="H55" s="466">
        <f>$E55*'Social, YP &amp; kinship care'!$L$11</f>
        <v>0</v>
      </c>
      <c r="I55" s="326"/>
      <c r="J55" s="326"/>
      <c r="K55" s="326"/>
      <c r="L55" s="326"/>
      <c r="M55" s="326"/>
      <c r="N55" s="326"/>
      <c r="O55" s="326"/>
      <c r="P55" s="323"/>
    </row>
    <row r="56" spans="1:16" s="321" customFormat="1" ht="15" hidden="1" customHeight="1" x14ac:dyDescent="0.55000000000000004">
      <c r="A56" s="313"/>
      <c r="B56" s="271"/>
      <c r="C56" s="636"/>
      <c r="D56" s="372" t="s">
        <v>123</v>
      </c>
      <c r="E56" s="324">
        <v>0</v>
      </c>
      <c r="F56" s="325" t="s">
        <v>119</v>
      </c>
      <c r="G56" s="322" t="s">
        <v>117</v>
      </c>
      <c r="H56" s="466">
        <f>$E56*'Social, YP &amp; kinship care'!$L$12</f>
        <v>0</v>
      </c>
      <c r="I56" s="326"/>
      <c r="J56" s="326"/>
      <c r="K56" s="326"/>
      <c r="L56" s="326"/>
      <c r="M56" s="326"/>
      <c r="N56" s="326"/>
      <c r="O56" s="326"/>
      <c r="P56" s="323"/>
    </row>
    <row r="57" spans="1:16" s="321" customFormat="1" ht="15" hidden="1" customHeight="1" x14ac:dyDescent="0.55000000000000004">
      <c r="A57" s="313"/>
      <c r="B57" s="271"/>
      <c r="C57" s="636"/>
      <c r="D57" s="469" t="s">
        <v>124</v>
      </c>
      <c r="E57" s="324">
        <v>0</v>
      </c>
      <c r="F57" s="325" t="s">
        <v>119</v>
      </c>
      <c r="G57" s="322" t="s">
        <v>117</v>
      </c>
      <c r="H57" s="326"/>
      <c r="I57" s="326"/>
      <c r="J57" s="326"/>
      <c r="K57" s="326"/>
      <c r="L57" s="326"/>
      <c r="M57" s="326"/>
      <c r="N57" s="466">
        <f>E57*'Social, YP &amp; kinship care'!$K$20</f>
        <v>0</v>
      </c>
      <c r="O57" s="326"/>
      <c r="P57" s="323"/>
    </row>
    <row r="58" spans="1:16" s="321" customFormat="1" ht="15" hidden="1" customHeight="1" x14ac:dyDescent="0.55000000000000004">
      <c r="A58" s="313"/>
      <c r="B58" s="271"/>
      <c r="C58" s="636"/>
      <c r="D58" s="469" t="s">
        <v>125</v>
      </c>
      <c r="E58" s="325" t="s">
        <v>119</v>
      </c>
      <c r="F58" s="324">
        <v>0</v>
      </c>
      <c r="G58" s="322" t="s">
        <v>117</v>
      </c>
      <c r="H58" s="326"/>
      <c r="I58" s="326"/>
      <c r="J58" s="326"/>
      <c r="K58" s="326"/>
      <c r="L58" s="326"/>
      <c r="M58" s="326"/>
      <c r="N58" s="466">
        <f>F58*'Social, YP &amp; kinship care'!$K$21</f>
        <v>0</v>
      </c>
      <c r="O58" s="326"/>
      <c r="P58" s="323"/>
    </row>
    <row r="59" spans="1:16" s="321" customFormat="1" ht="15" hidden="1" customHeight="1" x14ac:dyDescent="0.55000000000000004">
      <c r="A59" s="313"/>
      <c r="B59" s="271"/>
      <c r="C59" s="636"/>
      <c r="D59" s="469" t="s">
        <v>126</v>
      </c>
      <c r="E59" s="324">
        <v>0</v>
      </c>
      <c r="F59" s="325" t="s">
        <v>119</v>
      </c>
      <c r="G59" s="327" t="s">
        <v>127</v>
      </c>
      <c r="H59" s="466">
        <f>$E59*(Education!$L$10)</f>
        <v>0</v>
      </c>
      <c r="I59" s="466">
        <f>$E59*(Education!$L$7)</f>
        <v>0</v>
      </c>
      <c r="J59" s="326"/>
      <c r="K59" s="326"/>
      <c r="L59" s="466">
        <f>E59*Education!$L$11</f>
        <v>0</v>
      </c>
      <c r="M59" s="326"/>
      <c r="N59" s="326"/>
      <c r="O59" s="326"/>
      <c r="P59" s="323"/>
    </row>
    <row r="60" spans="1:16" s="321" customFormat="1" ht="15" hidden="1" customHeight="1" x14ac:dyDescent="0.55000000000000004">
      <c r="A60" s="313"/>
      <c r="B60" s="271"/>
      <c r="C60" s="636"/>
      <c r="D60" s="469" t="s">
        <v>128</v>
      </c>
      <c r="E60" s="324">
        <v>0</v>
      </c>
      <c r="F60" s="325" t="s">
        <v>119</v>
      </c>
      <c r="G60" s="327" t="s">
        <v>127</v>
      </c>
      <c r="H60" s="466">
        <f>E60*(Education!$L$16)</f>
        <v>0</v>
      </c>
      <c r="I60" s="466">
        <f>E60*(Education!$L$13)</f>
        <v>0</v>
      </c>
      <c r="J60" s="326"/>
      <c r="K60" s="326"/>
      <c r="L60" s="466">
        <f>E60*(Education!$L$17)</f>
        <v>0</v>
      </c>
      <c r="M60" s="326"/>
      <c r="N60" s="326"/>
      <c r="O60" s="326"/>
      <c r="P60" s="323"/>
    </row>
    <row r="61" spans="1:16" s="321" customFormat="1" x14ac:dyDescent="0.55000000000000004">
      <c r="A61" s="313"/>
      <c r="B61" s="271"/>
      <c r="C61" s="636"/>
      <c r="D61" s="469" t="s">
        <v>129</v>
      </c>
      <c r="E61" s="324">
        <v>1</v>
      </c>
      <c r="F61" s="325" t="s">
        <v>119</v>
      </c>
      <c r="G61" s="328" t="s">
        <v>24</v>
      </c>
      <c r="H61" s="326"/>
      <c r="I61" s="326"/>
      <c r="J61" s="326"/>
      <c r="K61" s="326"/>
      <c r="L61" s="466">
        <f>E61*(Disorders!$L$8+Disorders!$L$10+Disorders!$L$11)</f>
        <v>60</v>
      </c>
      <c r="M61" s="326"/>
      <c r="N61" s="326"/>
      <c r="O61" s="466">
        <f>E61*(Disorders!$N$8+Disorders!$N$9)</f>
        <v>5100</v>
      </c>
      <c r="P61" s="323"/>
    </row>
    <row r="62" spans="1:16" s="321" customFormat="1" x14ac:dyDescent="0.55000000000000004">
      <c r="A62" s="313"/>
      <c r="B62" s="271"/>
      <c r="C62" s="636"/>
      <c r="D62" s="469" t="s">
        <v>130</v>
      </c>
      <c r="E62" s="324">
        <v>1</v>
      </c>
      <c r="F62" s="325" t="s">
        <v>119</v>
      </c>
      <c r="G62" s="328" t="s">
        <v>24</v>
      </c>
      <c r="H62" s="326"/>
      <c r="I62" s="326"/>
      <c r="J62" s="326"/>
      <c r="K62" s="326"/>
      <c r="L62" s="466">
        <f>E62*(Disorders!$L$16+Disorders!$L$17+Disorders!$L$18+Disorders!$L$19)</f>
        <v>300</v>
      </c>
      <c r="M62" s="326"/>
      <c r="N62" s="466">
        <f>E62*(Disorders!$M$19)</f>
        <v>50</v>
      </c>
      <c r="O62" s="466">
        <f>E62*Disorders!$N$16</f>
        <v>200</v>
      </c>
      <c r="P62" s="323"/>
    </row>
    <row r="63" spans="1:16" s="321" customFormat="1" ht="15" hidden="1" customHeight="1" x14ac:dyDescent="0.55000000000000004">
      <c r="A63" s="313"/>
      <c r="B63" s="271"/>
      <c r="C63" s="636"/>
      <c r="D63" s="469" t="s">
        <v>131</v>
      </c>
      <c r="E63" s="324">
        <v>0</v>
      </c>
      <c r="F63" s="325" t="s">
        <v>119</v>
      </c>
      <c r="G63" s="328" t="s">
        <v>24</v>
      </c>
      <c r="H63" s="466">
        <f>$E63*(Disorders!$L$23)</f>
        <v>0</v>
      </c>
      <c r="I63" s="466">
        <f>$E63*(Disorders!$L$21)</f>
        <v>0</v>
      </c>
      <c r="J63" s="326"/>
      <c r="K63" s="326"/>
      <c r="L63" s="466">
        <f>$E63*Disorders!$L$22</f>
        <v>0</v>
      </c>
      <c r="M63" s="326"/>
      <c r="N63" s="326"/>
      <c r="O63" s="326"/>
      <c r="P63" s="323"/>
    </row>
    <row r="64" spans="1:16" s="321" customFormat="1" x14ac:dyDescent="0.55000000000000004">
      <c r="A64" s="313"/>
      <c r="B64" s="271"/>
      <c r="C64" s="636"/>
      <c r="D64" s="469" t="s">
        <v>132</v>
      </c>
      <c r="E64" s="324">
        <v>1</v>
      </c>
      <c r="F64" s="325" t="s">
        <v>119</v>
      </c>
      <c r="G64" s="328" t="s">
        <v>24</v>
      </c>
      <c r="H64" s="466">
        <f>$E64*Disorders!$L$26</f>
        <v>11100</v>
      </c>
      <c r="I64" s="466">
        <f>$E64*Disorders!$L$28</f>
        <v>3700</v>
      </c>
      <c r="J64" s="326"/>
      <c r="K64" s="326"/>
      <c r="L64" s="466">
        <f>$E64*Disorders!$L$25</f>
        <v>2400</v>
      </c>
      <c r="M64" s="326"/>
      <c r="N64" s="326"/>
      <c r="O64" s="326"/>
      <c r="P64" s="323"/>
    </row>
    <row r="65" spans="1:16" s="321" customFormat="1" x14ac:dyDescent="0.55000000000000004">
      <c r="A65" s="313"/>
      <c r="B65" s="271"/>
      <c r="C65" s="636"/>
      <c r="D65" s="469" t="s">
        <v>82</v>
      </c>
      <c r="E65" s="324">
        <v>1</v>
      </c>
      <c r="F65" s="324">
        <v>1</v>
      </c>
      <c r="G65" s="329" t="s">
        <v>165</v>
      </c>
      <c r="H65" s="326"/>
      <c r="I65" s="326"/>
      <c r="J65" s="466">
        <f>IF(E65&gt;0,1*Homelessness!$L$6,0)</f>
        <v>16900</v>
      </c>
      <c r="K65" s="326"/>
      <c r="L65" s="466">
        <f>E65*(Homelessness!$L$13+Homelessness!$L$14)+F65*Homelessness!$L$8</f>
        <v>1200</v>
      </c>
      <c r="M65" s="466">
        <f>F65*Homelessness!L9</f>
        <v>2700</v>
      </c>
      <c r="N65" s="326"/>
      <c r="O65" s="466">
        <f>E65*Homelessness!$N$15+F65*Homelessness!$N$10</f>
        <v>18600</v>
      </c>
      <c r="P65" s="323"/>
    </row>
    <row r="66" spans="1:16" s="321" customFormat="1" ht="15" hidden="1" customHeight="1" x14ac:dyDescent="0.55000000000000004">
      <c r="A66" s="313"/>
      <c r="B66" s="271"/>
      <c r="C66" s="636"/>
      <c r="D66" s="615" t="s">
        <v>133</v>
      </c>
      <c r="E66" s="616"/>
      <c r="F66" s="617"/>
      <c r="G66" s="330" t="s">
        <v>134</v>
      </c>
      <c r="H66" s="653"/>
      <c r="I66" s="654"/>
      <c r="J66" s="654"/>
      <c r="K66" s="654"/>
      <c r="L66" s="654"/>
      <c r="M66" s="654"/>
      <c r="N66" s="654"/>
      <c r="O66" s="655"/>
      <c r="P66" s="323"/>
    </row>
    <row r="67" spans="1:16" s="321" customFormat="1" ht="15" hidden="1" customHeight="1" x14ac:dyDescent="0.55000000000000004">
      <c r="A67" s="313"/>
      <c r="B67" s="271"/>
      <c r="C67" s="636"/>
      <c r="D67" s="372" t="s">
        <v>166</v>
      </c>
      <c r="E67" s="324">
        <v>0</v>
      </c>
      <c r="F67" s="325" t="s">
        <v>119</v>
      </c>
      <c r="G67" s="330" t="s">
        <v>134</v>
      </c>
      <c r="H67" s="326"/>
      <c r="I67" s="326"/>
      <c r="J67" s="326"/>
      <c r="K67" s="326"/>
      <c r="L67" s="466">
        <f>E67*'NHS &amp; LA treatment'!$L$18</f>
        <v>0</v>
      </c>
      <c r="M67" s="326"/>
      <c r="N67" s="326"/>
      <c r="O67" s="326"/>
      <c r="P67" s="323"/>
    </row>
    <row r="68" spans="1:16" s="321" customFormat="1" ht="15" hidden="1" customHeight="1" x14ac:dyDescent="0.55000000000000004">
      <c r="A68" s="313"/>
      <c r="B68" s="271"/>
      <c r="C68" s="636"/>
      <c r="D68" s="372" t="s">
        <v>167</v>
      </c>
      <c r="E68" s="324">
        <v>0</v>
      </c>
      <c r="F68" s="325" t="s">
        <v>119</v>
      </c>
      <c r="G68" s="330" t="s">
        <v>134</v>
      </c>
      <c r="H68" s="326"/>
      <c r="I68" s="326"/>
      <c r="J68" s="326"/>
      <c r="K68" s="326"/>
      <c r="L68" s="466">
        <f>E68*'NHS &amp; LA treatment'!$L$19</f>
        <v>0</v>
      </c>
      <c r="M68" s="326"/>
      <c r="N68" s="326"/>
      <c r="O68" s="326"/>
      <c r="P68" s="323"/>
    </row>
    <row r="69" spans="1:16" s="321" customFormat="1" ht="15" hidden="1" customHeight="1" x14ac:dyDescent="0.55000000000000004">
      <c r="A69" s="313"/>
      <c r="B69" s="271"/>
      <c r="C69" s="636"/>
      <c r="D69" s="469" t="s">
        <v>135</v>
      </c>
      <c r="E69" s="325" t="s">
        <v>119</v>
      </c>
      <c r="F69" s="324">
        <v>0</v>
      </c>
      <c r="G69" s="331" t="s">
        <v>136</v>
      </c>
      <c r="H69" s="326"/>
      <c r="I69" s="326"/>
      <c r="J69" s="326"/>
      <c r="K69" s="326"/>
      <c r="L69" s="466">
        <f>F69*'DA &amp; crime'!$L$7</f>
        <v>0</v>
      </c>
      <c r="M69" s="466">
        <f>F69*'DA &amp; crime'!$L$10</f>
        <v>0</v>
      </c>
      <c r="N69" s="466">
        <f>F69*('DA &amp; crime'!$M$11+'DA &amp; crime'!$M$8)</f>
        <v>0</v>
      </c>
      <c r="O69" s="466">
        <f>F69*'DA &amp; crime'!$N$9</f>
        <v>0</v>
      </c>
      <c r="P69" s="323"/>
    </row>
    <row r="70" spans="1:16" s="321" customFormat="1" ht="15" hidden="1" customHeight="1" x14ac:dyDescent="0.55000000000000004">
      <c r="A70" s="313"/>
      <c r="B70" s="271"/>
      <c r="C70" s="636"/>
      <c r="D70" s="615" t="s">
        <v>35</v>
      </c>
      <c r="E70" s="616" t="s">
        <v>137</v>
      </c>
      <c r="F70" s="617" t="s">
        <v>137</v>
      </c>
      <c r="G70" s="331" t="s">
        <v>136</v>
      </c>
      <c r="H70" s="326"/>
      <c r="I70" s="326"/>
      <c r="J70" s="326"/>
      <c r="K70" s="326"/>
      <c r="L70" s="326"/>
      <c r="M70" s="326"/>
      <c r="N70" s="326"/>
      <c r="O70" s="326"/>
      <c r="P70" s="323"/>
    </row>
    <row r="71" spans="1:16" s="255" customFormat="1" ht="15.75" hidden="1" customHeight="1" x14ac:dyDescent="0.55000000000000004">
      <c r="A71" s="313"/>
      <c r="C71" s="636"/>
      <c r="D71" s="373" t="s">
        <v>138</v>
      </c>
      <c r="E71" s="325" t="s">
        <v>119</v>
      </c>
      <c r="F71" s="320">
        <v>0</v>
      </c>
      <c r="G71" s="317"/>
      <c r="H71" s="317"/>
      <c r="I71" s="317"/>
      <c r="J71" s="317"/>
      <c r="K71" s="326"/>
      <c r="L71" s="466">
        <f>F71*AVERAGE('DA &amp; crime'!$L$13,'DA &amp; crime'!$L$19)*6</f>
        <v>0</v>
      </c>
      <c r="M71" s="466">
        <f>F71*AVERAGE('DA &amp; crime'!$L$16,'DA &amp; crime'!$L$22)*6</f>
        <v>0</v>
      </c>
      <c r="N71" s="466">
        <f>F71*AVERAGE('DA &amp; crime'!$M$14,'DA &amp; crime'!$M$17,'DA &amp; crime'!$M$20,'DA &amp; crime'!$M$23)*6</f>
        <v>0</v>
      </c>
      <c r="O71" s="466">
        <f>F71*AVERAGE('DA &amp; crime'!$N$15,'DA &amp; crime'!$N$21)*6</f>
        <v>0</v>
      </c>
      <c r="P71" s="323"/>
    </row>
    <row r="72" spans="1:16" s="321" customFormat="1" ht="15" hidden="1" customHeight="1" x14ac:dyDescent="0.55000000000000004">
      <c r="A72" s="313"/>
      <c r="B72" s="271"/>
      <c r="C72" s="636"/>
      <c r="D72" s="373" t="s">
        <v>139</v>
      </c>
      <c r="E72" s="325" t="s">
        <v>119</v>
      </c>
      <c r="F72" s="324">
        <v>0</v>
      </c>
      <c r="G72" s="331" t="s">
        <v>136</v>
      </c>
      <c r="H72" s="326"/>
      <c r="I72" s="326"/>
      <c r="J72" s="326"/>
      <c r="K72" s="326"/>
      <c r="L72" s="326"/>
      <c r="M72" s="466">
        <f>$F72*'DA &amp; crime'!$L$24*100</f>
        <v>0</v>
      </c>
      <c r="N72" s="326"/>
      <c r="O72" s="326"/>
      <c r="P72" s="323"/>
    </row>
    <row r="73" spans="1:16" s="321" customFormat="1" ht="15" hidden="1" customHeight="1" x14ac:dyDescent="0.55000000000000004">
      <c r="A73" s="313"/>
      <c r="B73" s="271"/>
      <c r="C73" s="636"/>
      <c r="D73" s="373" t="s">
        <v>140</v>
      </c>
      <c r="E73" s="325" t="s">
        <v>119</v>
      </c>
      <c r="F73" s="324">
        <v>0</v>
      </c>
      <c r="G73" s="331" t="s">
        <v>136</v>
      </c>
      <c r="H73" s="326"/>
      <c r="I73" s="326"/>
      <c r="J73" s="326"/>
      <c r="K73" s="326"/>
      <c r="L73" s="466">
        <f>F73*'DA &amp; crime'!$L$26*15</f>
        <v>0</v>
      </c>
      <c r="M73" s="466">
        <f>F73*'DA &amp; crime'!$L$29*15</f>
        <v>0</v>
      </c>
      <c r="N73" s="466">
        <f>F73*('DA &amp; crime'!$M$27+'DA &amp; crime'!$M$30)*15</f>
        <v>0</v>
      </c>
      <c r="O73" s="466">
        <f>F73*'DA &amp; crime'!$N$28*15</f>
        <v>0</v>
      </c>
      <c r="P73" s="323"/>
    </row>
    <row r="74" spans="1:16" s="321" customFormat="1" ht="15" hidden="1" customHeight="1" x14ac:dyDescent="0.55000000000000004">
      <c r="A74" s="313"/>
      <c r="B74" s="271"/>
      <c r="C74" s="636"/>
      <c r="D74" s="374" t="s">
        <v>141</v>
      </c>
      <c r="E74" s="333" t="s">
        <v>119</v>
      </c>
      <c r="F74" s="334">
        <v>0</v>
      </c>
      <c r="G74" s="331" t="s">
        <v>136</v>
      </c>
      <c r="H74" s="335"/>
      <c r="I74" s="335"/>
      <c r="J74" s="335"/>
      <c r="K74" s="335"/>
      <c r="L74" s="336">
        <f>F74*'DA &amp; crime'!$L$32*25</f>
        <v>0</v>
      </c>
      <c r="M74" s="336">
        <f>F74*'DA &amp; crime'!$L$35*25</f>
        <v>0</v>
      </c>
      <c r="N74" s="336">
        <f>F74*('DA &amp; crime'!$M$33+'DA &amp; crime'!$M$36)*25</f>
        <v>0</v>
      </c>
      <c r="O74" s="336">
        <f>F74*'DA &amp; crime'!$N$34*25</f>
        <v>0</v>
      </c>
      <c r="P74" s="323"/>
    </row>
    <row r="75" spans="1:16" s="321" customFormat="1" ht="15.75" hidden="1" customHeight="1" x14ac:dyDescent="0.55000000000000004">
      <c r="A75" s="313"/>
      <c r="B75" s="271"/>
      <c r="C75" s="636"/>
      <c r="D75" s="374" t="s">
        <v>142</v>
      </c>
      <c r="E75" s="316" t="s">
        <v>119</v>
      </c>
      <c r="F75" s="320">
        <v>0</v>
      </c>
      <c r="G75" s="261"/>
      <c r="H75" s="317"/>
      <c r="I75" s="317"/>
      <c r="J75" s="317"/>
      <c r="K75" s="317"/>
      <c r="L75" s="317"/>
      <c r="M75" s="276">
        <f>$F75*'DA &amp; crime'!$L$44*6</f>
        <v>0</v>
      </c>
      <c r="N75" s="317"/>
      <c r="O75" s="317"/>
      <c r="P75" s="323"/>
    </row>
    <row r="76" spans="1:16" s="321" customFormat="1" ht="16.5" customHeight="1" x14ac:dyDescent="0.55000000000000004">
      <c r="A76" s="313"/>
      <c r="B76" s="271"/>
      <c r="C76" s="636"/>
      <c r="D76" s="628" t="s">
        <v>143</v>
      </c>
      <c r="E76" s="628"/>
      <c r="F76" s="628"/>
      <c r="G76" s="628"/>
      <c r="H76" s="338" t="s">
        <v>144</v>
      </c>
      <c r="I76" s="338" t="s">
        <v>144</v>
      </c>
      <c r="J76" s="338" t="s">
        <v>144</v>
      </c>
      <c r="K76" s="326"/>
      <c r="L76" s="338" t="s">
        <v>144</v>
      </c>
      <c r="M76" s="338" t="s">
        <v>144</v>
      </c>
      <c r="N76" s="338" t="s">
        <v>144</v>
      </c>
      <c r="O76" s="338" t="s">
        <v>144</v>
      </c>
      <c r="P76" s="323"/>
    </row>
    <row r="77" spans="1:16" s="321" customFormat="1" x14ac:dyDescent="0.55000000000000004">
      <c r="A77" s="313"/>
      <c r="B77" s="271"/>
      <c r="C77" s="636"/>
      <c r="D77" s="632" t="s">
        <v>188</v>
      </c>
      <c r="E77" s="633"/>
      <c r="F77" s="633"/>
      <c r="G77" s="634"/>
      <c r="H77" s="340" t="str">
        <f>IF(H76="No","(£"&amp;(ROUND(SMALL(H52:H75,COUNTIF(H52:H75,0)+1),0))&amp;" - £"&amp;(ROUND(MAX(H52:H75),0))&amp;")",SUM(H52:H75))</f>
        <v>(£10400 - £11100)</v>
      </c>
      <c r="I77" s="340" t="str">
        <f t="shared" ref="I77" si="0">IF(I76="No","(£"&amp;(ROUND(SMALL(I52:I75,COUNTIF(I52:I75,0)+1),0))&amp;" - £"&amp;(ROUND(MAX(I52:I75),0))&amp;")",SUM(I52:I75))</f>
        <v>(£3700 - £3700)</v>
      </c>
      <c r="J77" s="340" t="str">
        <f t="shared" ref="J77" si="1">IF(J76="No","(£"&amp;(ROUND(SMALL(J52:J75,COUNTIF(J52:J75,0)+1),0))&amp;" - £"&amp;(ROUND(MAX(J52:J75),0))&amp;")",SUM(J52:J75))</f>
        <v>(£16900 - £16900)</v>
      </c>
      <c r="K77" s="326"/>
      <c r="L77" s="340" t="str">
        <f t="shared" ref="L77" si="2">IF(L76="No","(£"&amp;(ROUND(SMALL(L52:L75,COUNTIF(L52:L75,0)+1),0))&amp;" - £"&amp;(ROUND(MAX(L52:L75),0))&amp;")",SUM(L52:L75))</f>
        <v>(£60 - £2400)</v>
      </c>
      <c r="M77" s="340" t="str">
        <f t="shared" ref="M77" si="3">IF(M76="No","(£"&amp;(ROUND(SMALL(M52:M75,COUNTIF(M52:M75,0)+1),0))&amp;" - £"&amp;(ROUND(MAX(M52:M75),0))&amp;")",SUM(M52:M75))</f>
        <v>(£2700 - £2700)</v>
      </c>
      <c r="N77" s="340" t="str">
        <f t="shared" ref="N77" si="4">IF(N76="No","(£"&amp;(ROUND(SMALL(N52:N75,COUNTIF(N52:N75,0)+1),0))&amp;" - £"&amp;(ROUND(MAX(N52:N75),0))&amp;")",SUM(N52:N75))</f>
        <v>(£50 - £50)</v>
      </c>
      <c r="O77" s="340" t="str">
        <f t="shared" ref="O77" si="5">IF(O76="No","(£"&amp;(ROUND(SMALL(O52:O75,COUNTIF(O52:O75,0)+1),0))&amp;" - £"&amp;(ROUND(MAX(O52:O75),0))&amp;")",SUM(O52:O75))</f>
        <v>(£200 - £18600)</v>
      </c>
      <c r="P77" s="323"/>
    </row>
    <row r="78" spans="1:16" s="321" customFormat="1" hidden="1" x14ac:dyDescent="0.55000000000000004">
      <c r="A78" s="313"/>
      <c r="B78" s="357"/>
      <c r="C78" s="341"/>
      <c r="D78" s="468"/>
      <c r="E78" s="468"/>
      <c r="F78" s="442" t="s">
        <v>168</v>
      </c>
      <c r="G78" s="443"/>
      <c r="H78" s="444">
        <f>IF(H76="No",SMALL((H52:H75),COUNTIF(H52:H75,0)+1),SUM(H52:H75))</f>
        <v>10400</v>
      </c>
      <c r="I78" s="444">
        <f t="shared" ref="I78:O78" si="6">IF(I76="No",SMALL((I52:I75),COUNTIF(I52:I75,0)+1),SUM(I52:I75))</f>
        <v>3700</v>
      </c>
      <c r="J78" s="444">
        <f t="shared" si="6"/>
        <v>16900</v>
      </c>
      <c r="K78" s="326"/>
      <c r="L78" s="444">
        <f t="shared" si="6"/>
        <v>60</v>
      </c>
      <c r="M78" s="444">
        <f t="shared" si="6"/>
        <v>2700</v>
      </c>
      <c r="N78" s="444">
        <f t="shared" si="6"/>
        <v>50</v>
      </c>
      <c r="O78" s="444">
        <f t="shared" si="6"/>
        <v>200</v>
      </c>
      <c r="P78" s="358"/>
    </row>
    <row r="79" spans="1:16" s="321" customFormat="1" hidden="1" x14ac:dyDescent="0.55000000000000004">
      <c r="A79" s="313"/>
      <c r="B79" s="357"/>
      <c r="C79" s="341"/>
      <c r="D79" s="468"/>
      <c r="E79" s="468"/>
      <c r="F79" s="442" t="s">
        <v>169</v>
      </c>
      <c r="G79" s="443"/>
      <c r="H79" s="444">
        <f>IF(H76="No",MAX(H52:H75),SUM(H52:H75))</f>
        <v>11100</v>
      </c>
      <c r="I79" s="444">
        <f t="shared" ref="I79:O79" si="7">IF(I76="No",MAX(I52:I75),SUM(I52:I75))</f>
        <v>3700</v>
      </c>
      <c r="J79" s="444">
        <f t="shared" si="7"/>
        <v>16900</v>
      </c>
      <c r="K79" s="326"/>
      <c r="L79" s="444">
        <f t="shared" si="7"/>
        <v>2400</v>
      </c>
      <c r="M79" s="444">
        <f t="shared" si="7"/>
        <v>2700</v>
      </c>
      <c r="N79" s="444">
        <f t="shared" si="7"/>
        <v>50</v>
      </c>
      <c r="O79" s="444">
        <f t="shared" si="7"/>
        <v>18600</v>
      </c>
      <c r="P79" s="358"/>
    </row>
    <row r="80" spans="1:16" s="321" customFormat="1" x14ac:dyDescent="0.55000000000000004">
      <c r="A80" s="313"/>
      <c r="B80" s="271"/>
      <c r="C80" s="626" t="s">
        <v>145</v>
      </c>
      <c r="D80" s="627" t="s">
        <v>210</v>
      </c>
      <c r="E80" s="627">
        <v>0</v>
      </c>
      <c r="F80" s="627">
        <v>0</v>
      </c>
      <c r="G80" s="344" t="s">
        <v>134</v>
      </c>
      <c r="H80" s="614"/>
      <c r="I80" s="614"/>
      <c r="J80" s="614"/>
      <c r="K80" s="614"/>
      <c r="L80" s="614"/>
      <c r="M80" s="614"/>
      <c r="N80" s="614"/>
      <c r="O80" s="614"/>
      <c r="P80" s="323"/>
    </row>
    <row r="81" spans="1:16" s="321" customFormat="1" hidden="1" x14ac:dyDescent="0.55000000000000004">
      <c r="A81" s="313"/>
      <c r="B81" s="271"/>
      <c r="C81" s="626"/>
      <c r="D81" s="372" t="s">
        <v>170</v>
      </c>
      <c r="E81" s="325" t="s">
        <v>119</v>
      </c>
      <c r="F81" s="324">
        <v>0</v>
      </c>
      <c r="G81" s="344" t="s">
        <v>134</v>
      </c>
      <c r="H81" s="326"/>
      <c r="I81" s="326"/>
      <c r="J81" s="326"/>
      <c r="K81" s="332">
        <f>F81*'NHS &amp; LA treatment'!$L$20</f>
        <v>0</v>
      </c>
      <c r="L81" s="326"/>
      <c r="M81" s="326"/>
      <c r="N81" s="326"/>
      <c r="O81" s="326"/>
      <c r="P81" s="323"/>
    </row>
    <row r="82" spans="1:16" s="321" customFormat="1" hidden="1" x14ac:dyDescent="0.55000000000000004">
      <c r="A82" s="313"/>
      <c r="B82" s="271"/>
      <c r="C82" s="626"/>
      <c r="D82" s="372" t="s">
        <v>171</v>
      </c>
      <c r="E82" s="325" t="s">
        <v>119</v>
      </c>
      <c r="F82" s="324">
        <v>0</v>
      </c>
      <c r="G82" s="344" t="s">
        <v>134</v>
      </c>
      <c r="H82" s="326"/>
      <c r="I82" s="326"/>
      <c r="J82" s="326"/>
      <c r="K82" s="332">
        <f>F82*'NHS &amp; LA treatment'!$L$21</f>
        <v>0</v>
      </c>
      <c r="L82" s="326"/>
      <c r="M82" s="326"/>
      <c r="N82" s="326"/>
      <c r="O82" s="326"/>
      <c r="P82" s="323"/>
    </row>
    <row r="83" spans="1:16" s="321" customFormat="1" x14ac:dyDescent="0.55000000000000004">
      <c r="A83" s="313"/>
      <c r="B83" s="271"/>
      <c r="C83" s="626"/>
      <c r="D83" s="372" t="s">
        <v>172</v>
      </c>
      <c r="E83" s="325" t="s">
        <v>119</v>
      </c>
      <c r="F83" s="324">
        <v>1</v>
      </c>
      <c r="G83" s="344" t="s">
        <v>134</v>
      </c>
      <c r="H83" s="326"/>
      <c r="I83" s="326"/>
      <c r="J83" s="326"/>
      <c r="K83" s="371">
        <f>F83*'NHS &amp; LA treatment'!$L$22</f>
        <v>1300</v>
      </c>
      <c r="L83" s="326"/>
      <c r="M83" s="326"/>
      <c r="N83" s="326"/>
      <c r="O83" s="326"/>
      <c r="P83" s="323"/>
    </row>
    <row r="84" spans="1:16" s="321" customFormat="1" hidden="1" x14ac:dyDescent="0.55000000000000004">
      <c r="A84" s="313"/>
      <c r="B84" s="271"/>
      <c r="C84" s="626"/>
      <c r="D84" s="372" t="s">
        <v>173</v>
      </c>
      <c r="E84" s="324">
        <v>0</v>
      </c>
      <c r="F84" s="325" t="s">
        <v>119</v>
      </c>
      <c r="G84" s="344" t="s">
        <v>134</v>
      </c>
      <c r="H84" s="326"/>
      <c r="I84" s="326"/>
      <c r="J84" s="326"/>
      <c r="K84" s="371">
        <f>E84*'NHS &amp; LA treatment'!$L$23</f>
        <v>0</v>
      </c>
      <c r="L84" s="326"/>
      <c r="M84" s="326"/>
      <c r="N84" s="326"/>
      <c r="O84" s="326"/>
      <c r="P84" s="323"/>
    </row>
    <row r="85" spans="1:16" s="321" customFormat="1" hidden="1" x14ac:dyDescent="0.55000000000000004">
      <c r="A85" s="313"/>
      <c r="B85" s="271"/>
      <c r="C85" s="626"/>
      <c r="D85" s="372" t="s">
        <v>174</v>
      </c>
      <c r="E85" s="325" t="s">
        <v>119</v>
      </c>
      <c r="F85" s="324">
        <v>0</v>
      </c>
      <c r="G85" s="344" t="s">
        <v>134</v>
      </c>
      <c r="H85" s="326"/>
      <c r="I85" s="326"/>
      <c r="J85" s="326"/>
      <c r="K85" s="371">
        <f>F85*'NHS &amp; LA treatment'!$L$24</f>
        <v>0</v>
      </c>
      <c r="L85" s="326"/>
      <c r="M85" s="326"/>
      <c r="N85" s="326"/>
      <c r="O85" s="326"/>
      <c r="P85" s="323"/>
    </row>
    <row r="86" spans="1:16" s="321" customFormat="1" x14ac:dyDescent="0.55000000000000004">
      <c r="A86" s="313"/>
      <c r="B86" s="271"/>
      <c r="C86" s="626"/>
      <c r="D86" s="372" t="s">
        <v>175</v>
      </c>
      <c r="E86" s="325" t="s">
        <v>119</v>
      </c>
      <c r="F86" s="324">
        <v>1</v>
      </c>
      <c r="G86" s="344" t="s">
        <v>134</v>
      </c>
      <c r="H86" s="326"/>
      <c r="I86" s="326"/>
      <c r="J86" s="326"/>
      <c r="K86" s="371">
        <f>F86*'NHS &amp; LA treatment'!$L$25</f>
        <v>9800</v>
      </c>
      <c r="L86" s="326"/>
      <c r="M86" s="326"/>
      <c r="N86" s="326"/>
      <c r="O86" s="326"/>
      <c r="P86" s="323"/>
    </row>
    <row r="87" spans="1:16" s="321" customFormat="1" x14ac:dyDescent="0.55000000000000004">
      <c r="A87" s="313"/>
      <c r="B87" s="271"/>
      <c r="C87" s="626"/>
      <c r="D87" s="615" t="s">
        <v>147</v>
      </c>
      <c r="E87" s="616"/>
      <c r="F87" s="616"/>
      <c r="G87" s="617"/>
      <c r="H87" s="326"/>
      <c r="I87" s="326"/>
      <c r="J87" s="326"/>
      <c r="K87" s="371">
        <f>0</f>
        <v>0</v>
      </c>
      <c r="L87" s="326"/>
      <c r="M87" s="326"/>
      <c r="N87" s="326"/>
      <c r="O87" s="326"/>
      <c r="P87" s="323"/>
    </row>
    <row r="88" spans="1:16" s="321" customFormat="1" x14ac:dyDescent="0.55000000000000004">
      <c r="A88" s="313"/>
      <c r="B88" s="271"/>
      <c r="C88" s="626"/>
      <c r="D88" s="615" t="s">
        <v>791</v>
      </c>
      <c r="E88" s="616"/>
      <c r="F88" s="616"/>
      <c r="G88" s="617"/>
      <c r="H88" s="371">
        <v>0</v>
      </c>
      <c r="I88" s="326"/>
      <c r="J88" s="326"/>
      <c r="K88" s="371">
        <f>0</f>
        <v>0</v>
      </c>
      <c r="L88" s="326"/>
      <c r="M88" s="326"/>
      <c r="N88" s="326"/>
      <c r="O88" s="326"/>
      <c r="P88" s="323"/>
    </row>
    <row r="89" spans="1:16" s="321" customFormat="1" x14ac:dyDescent="0.55000000000000004">
      <c r="A89" s="313"/>
      <c r="B89" s="271"/>
      <c r="C89" s="626"/>
      <c r="D89" s="618" t="s">
        <v>148</v>
      </c>
      <c r="E89" s="619"/>
      <c r="F89" s="619"/>
      <c r="G89" s="620"/>
      <c r="H89" s="337">
        <f>SUM(H81:H88)</f>
        <v>0</v>
      </c>
      <c r="I89" s="326"/>
      <c r="J89" s="326"/>
      <c r="K89" s="337">
        <f>SUM(K81:K88)</f>
        <v>11100</v>
      </c>
      <c r="L89" s="326"/>
      <c r="M89" s="326"/>
      <c r="N89" s="326"/>
      <c r="O89" s="326"/>
      <c r="P89" s="323"/>
    </row>
    <row r="90" spans="1:16" s="321" customFormat="1" x14ac:dyDescent="0.55000000000000004">
      <c r="A90" s="313"/>
      <c r="B90" s="271"/>
      <c r="C90" s="427"/>
      <c r="D90" s="428"/>
      <c r="E90" s="428"/>
      <c r="F90" s="428"/>
      <c r="G90" s="428"/>
      <c r="H90" s="429"/>
      <c r="I90" s="430"/>
      <c r="J90" s="430"/>
      <c r="K90" s="429"/>
      <c r="L90" s="430"/>
      <c r="M90" s="430"/>
      <c r="N90" s="430"/>
      <c r="O90" s="430"/>
      <c r="P90" s="431"/>
    </row>
    <row r="91" spans="1:16" s="321" customFormat="1" ht="15.3" x14ac:dyDescent="0.55000000000000004">
      <c r="A91" s="313"/>
      <c r="B91" s="271"/>
      <c r="C91" s="427"/>
      <c r="D91" s="432"/>
      <c r="E91" s="651" t="s">
        <v>149</v>
      </c>
      <c r="F91" s="651"/>
      <c r="G91" s="428"/>
      <c r="H91" s="429"/>
      <c r="I91" s="430"/>
      <c r="J91" s="430"/>
      <c r="K91" s="429"/>
      <c r="L91" s="430"/>
      <c r="M91" s="430"/>
      <c r="N91" s="430"/>
      <c r="O91" s="430"/>
      <c r="P91" s="431"/>
    </row>
    <row r="92" spans="1:16" ht="15.3" x14ac:dyDescent="0.55000000000000004">
      <c r="C92" s="433"/>
      <c r="D92" s="434" t="s">
        <v>148</v>
      </c>
      <c r="E92" s="652">
        <f>SUM(H89:O89)</f>
        <v>11100</v>
      </c>
      <c r="F92" s="652"/>
      <c r="G92" s="433"/>
      <c r="H92" s="433"/>
      <c r="I92" s="433"/>
      <c r="J92" s="433"/>
      <c r="K92" s="433"/>
      <c r="L92" s="433"/>
      <c r="M92" s="433"/>
      <c r="N92" s="433"/>
      <c r="O92" s="433"/>
      <c r="P92" s="433"/>
    </row>
    <row r="93" spans="1:16" ht="15.3" x14ac:dyDescent="0.55000000000000004">
      <c r="D93" s="343" t="s">
        <v>150</v>
      </c>
      <c r="E93" s="577" t="str">
        <f>IF(SUM(H78:K78)=SUM(H79:K79),TEXT(ROUND(SUM(H78:K78),-1),"#,#"),TEXT(ROUND(SUM(H78:K78),-1)," #,# - ")&amp;TEXT(ROUND(SUM(H79:K79),-1),"#,#"))</f>
        <v xml:space="preserve"> 31,000 - 31,700</v>
      </c>
      <c r="F93" s="578"/>
      <c r="H93" s="273"/>
    </row>
    <row r="94" spans="1:16" ht="15.3" x14ac:dyDescent="0.55000000000000004">
      <c r="D94" s="343" t="s">
        <v>151</v>
      </c>
      <c r="E94" s="572" t="str">
        <f>IF(SUM(H78:K78)=SUM(H79:K79),TEXT(ROUND(SUM(H78:K78)-E92,-1),"#,#"),TEXT(ROUND(SUM(H78:K78)-E92,-1),"#,# - ")&amp;TEXT(ROUND(SUM(H79:K79)-E92,-1),"#,#"))</f>
        <v>19,900 - 20,600</v>
      </c>
      <c r="F94" s="572"/>
      <c r="L94" s="273"/>
    </row>
    <row r="95" spans="1:16" ht="15.3" x14ac:dyDescent="0.55000000000000004">
      <c r="D95" s="343" t="s">
        <v>152</v>
      </c>
      <c r="E95" s="572" t="str">
        <f>IFERROR(IF(SUM(H78:K78)=SUM(H79:K79),TEXT(ROUND(SUM(H78:K78)/E92,2),"#.#0"),TEXT(ROUND(SUM(H78:K78)/E92,2),"#.#0 - ")&amp;TEXT(ROUND(SUM(H79:K79)/E92,2),"#.#0")),0)</f>
        <v>2.79 - 2.86</v>
      </c>
      <c r="F95" s="572"/>
      <c r="L95" s="273"/>
    </row>
    <row r="96" spans="1:16" ht="15.3" x14ac:dyDescent="0.55000000000000004">
      <c r="D96" s="339" t="s">
        <v>153</v>
      </c>
      <c r="E96" s="577" t="str">
        <f>IF(SUM(H78:O78)=SUM(H79:O79),TEXT(ROUND(SUM(H78:O78),-1),"#,#"),TEXT(ROUND(SUM(H78:O78),-1)," #,# - ")&amp;TEXT(ROUND(SUM(H79:O79),-1),"#,#"))</f>
        <v xml:space="preserve"> 34,010 - 55,450</v>
      </c>
      <c r="F96" s="578"/>
    </row>
    <row r="97" spans="3:10" ht="15.3" x14ac:dyDescent="0.55000000000000004">
      <c r="D97" s="339" t="s">
        <v>154</v>
      </c>
      <c r="E97" s="572" t="str">
        <f>IF(SUM(H78:O78)=SUM(H79:O79),TEXT(ROUND(SUM(H78:O78)-E92,-1)," #,#"),TEXT(ROUND(SUM(H78:O78)-E92,-1),"#,# - ")&amp;TEXT(ROUND(SUM(H79:O79)-E92,-1),"#,#"))</f>
        <v>22,910 - 44,350</v>
      </c>
      <c r="F97" s="572"/>
    </row>
    <row r="98" spans="3:10" ht="15.3" x14ac:dyDescent="0.55000000000000004">
      <c r="C98" s="319"/>
      <c r="D98" s="343" t="s">
        <v>155</v>
      </c>
      <c r="E98" s="572" t="str">
        <f>IFERROR(IF(SUM(H78:O78)=SUM(H79:O79),TEXT(ROUND(SUM(H78:O78)/E92,2),"#.#0"),TEXT(ROUND(SUM(H78:O78)/E92,2),"#.#0 - ")&amp;TEXT(ROUND(SUM(H79:O79)/E92,2),"#.#0")),0)</f>
        <v>3.06 - 5.0</v>
      </c>
      <c r="F98" s="572"/>
      <c r="G98" s="319"/>
      <c r="H98" s="319"/>
      <c r="I98" s="319"/>
      <c r="J98" s="319"/>
    </row>
    <row r="101" spans="3:10" ht="22.2" x14ac:dyDescent="0.7">
      <c r="C101" s="353" t="s">
        <v>176</v>
      </c>
    </row>
    <row r="103" spans="3:10" x14ac:dyDescent="0.55000000000000004">
      <c r="C103" s="319"/>
      <c r="D103" s="319"/>
      <c r="E103" s="319"/>
      <c r="F103" s="319"/>
      <c r="G103" s="319"/>
      <c r="H103" s="319"/>
      <c r="I103" s="319"/>
      <c r="J103" s="319"/>
    </row>
    <row r="104" spans="3:10" x14ac:dyDescent="0.55000000000000004">
      <c r="C104" s="319"/>
      <c r="D104" s="319"/>
      <c r="E104" s="319"/>
      <c r="F104" s="319"/>
      <c r="G104" s="319"/>
      <c r="H104" s="319"/>
      <c r="I104" s="319"/>
      <c r="J104" s="319"/>
    </row>
    <row r="105" spans="3:10" x14ac:dyDescent="0.55000000000000004">
      <c r="C105" s="319"/>
      <c r="D105" s="319"/>
      <c r="E105" s="319"/>
      <c r="F105" s="319"/>
      <c r="G105" s="319"/>
      <c r="H105" s="319"/>
      <c r="I105" s="319"/>
      <c r="J105" s="319"/>
    </row>
    <row r="106" spans="3:10" x14ac:dyDescent="0.55000000000000004">
      <c r="C106" s="319"/>
      <c r="D106" s="319"/>
      <c r="E106" s="319"/>
      <c r="F106" s="319"/>
      <c r="G106" s="319"/>
      <c r="H106" s="319"/>
      <c r="I106" s="319"/>
      <c r="J106" s="319"/>
    </row>
    <row r="107" spans="3:10" x14ac:dyDescent="0.55000000000000004">
      <c r="C107" s="319"/>
      <c r="D107" s="319"/>
      <c r="E107" s="319"/>
      <c r="F107" s="319"/>
      <c r="G107" s="319"/>
      <c r="H107" s="319"/>
      <c r="I107" s="319"/>
      <c r="J107" s="319"/>
    </row>
    <row r="108" spans="3:10" x14ac:dyDescent="0.55000000000000004">
      <c r="C108" s="319"/>
      <c r="D108" s="319"/>
      <c r="E108" s="319"/>
      <c r="F108" s="319"/>
      <c r="G108" s="319"/>
      <c r="H108" s="319"/>
      <c r="I108" s="319"/>
      <c r="J108" s="319"/>
    </row>
    <row r="109" spans="3:10" x14ac:dyDescent="0.55000000000000004">
      <c r="C109" s="319"/>
      <c r="D109" s="319"/>
      <c r="E109" s="319"/>
      <c r="F109" s="319"/>
      <c r="G109" s="319"/>
      <c r="H109" s="319"/>
      <c r="I109" s="319"/>
      <c r="J109" s="319"/>
    </row>
    <row r="110" spans="3:10" x14ac:dyDescent="0.55000000000000004">
      <c r="C110" s="319"/>
      <c r="D110" s="319"/>
      <c r="E110" s="319"/>
      <c r="F110" s="319"/>
      <c r="G110" s="319"/>
      <c r="H110" s="319"/>
      <c r="I110" s="319"/>
      <c r="J110" s="319"/>
    </row>
    <row r="111" spans="3:10" x14ac:dyDescent="0.55000000000000004">
      <c r="C111" s="319"/>
      <c r="D111" s="319"/>
      <c r="E111" s="319"/>
      <c r="F111" s="319"/>
      <c r="G111" s="319"/>
      <c r="H111" s="319"/>
      <c r="I111" s="319"/>
      <c r="J111" s="319"/>
    </row>
    <row r="112" spans="3:10" x14ac:dyDescent="0.55000000000000004">
      <c r="C112" s="319"/>
      <c r="D112" s="319"/>
      <c r="E112" s="319"/>
      <c r="F112" s="319"/>
      <c r="G112" s="319"/>
      <c r="H112" s="319"/>
      <c r="I112" s="319"/>
      <c r="J112" s="319"/>
    </row>
    <row r="113" spans="3:15" x14ac:dyDescent="0.55000000000000004">
      <c r="C113" s="319"/>
      <c r="D113" s="319"/>
      <c r="E113" s="319"/>
      <c r="F113" s="319"/>
      <c r="G113" s="319"/>
      <c r="H113" s="319"/>
      <c r="I113" s="319"/>
      <c r="J113" s="319"/>
    </row>
    <row r="114" spans="3:15" x14ac:dyDescent="0.55000000000000004">
      <c r="C114" s="319"/>
      <c r="D114" s="319"/>
      <c r="E114" s="319"/>
      <c r="F114" s="319"/>
      <c r="G114" s="319"/>
      <c r="H114" s="319"/>
      <c r="I114" s="319"/>
      <c r="J114" s="319"/>
    </row>
    <row r="115" spans="3:15" x14ac:dyDescent="0.55000000000000004">
      <c r="C115" s="319"/>
      <c r="D115" s="319"/>
      <c r="E115" s="319"/>
      <c r="F115" s="319"/>
      <c r="G115" s="319"/>
      <c r="H115" s="319"/>
      <c r="I115" s="319"/>
      <c r="J115" s="319"/>
    </row>
    <row r="116" spans="3:15" x14ac:dyDescent="0.55000000000000004">
      <c r="C116" s="319"/>
      <c r="D116" s="319"/>
      <c r="E116" s="319"/>
      <c r="F116" s="319"/>
      <c r="G116" s="319"/>
      <c r="H116" s="319"/>
      <c r="I116" s="319"/>
      <c r="J116" s="319"/>
    </row>
    <row r="117" spans="3:15" x14ac:dyDescent="0.55000000000000004">
      <c r="C117" s="319"/>
      <c r="D117" s="319"/>
      <c r="E117" s="319"/>
      <c r="F117" s="319"/>
      <c r="G117" s="319"/>
      <c r="H117" s="319"/>
      <c r="I117" s="319"/>
      <c r="J117" s="319"/>
    </row>
    <row r="118" spans="3:15" x14ac:dyDescent="0.55000000000000004">
      <c r="C118" s="319"/>
      <c r="D118" s="319"/>
      <c r="E118" s="319"/>
      <c r="F118" s="319"/>
      <c r="G118" s="319"/>
      <c r="H118" s="319"/>
      <c r="I118" s="319"/>
      <c r="J118" s="319"/>
    </row>
    <row r="119" spans="3:15" x14ac:dyDescent="0.55000000000000004">
      <c r="C119" s="319"/>
      <c r="D119" s="319"/>
      <c r="E119" s="319"/>
      <c r="F119" s="319"/>
      <c r="G119" s="319"/>
      <c r="H119" s="319"/>
      <c r="I119" s="319"/>
      <c r="J119" s="319"/>
    </row>
    <row r="120" spans="3:15" x14ac:dyDescent="0.55000000000000004">
      <c r="C120" s="319"/>
      <c r="D120" s="319"/>
      <c r="E120" s="319"/>
      <c r="F120" s="319"/>
      <c r="G120" s="319"/>
      <c r="H120" s="319"/>
      <c r="I120" s="319"/>
      <c r="J120" s="319"/>
    </row>
    <row r="121" spans="3:15" x14ac:dyDescent="0.55000000000000004">
      <c r="C121" s="319"/>
      <c r="D121" s="319"/>
      <c r="E121" s="319"/>
      <c r="F121" s="319"/>
      <c r="G121" s="319"/>
      <c r="H121" s="319"/>
      <c r="I121" s="319"/>
      <c r="J121" s="319"/>
    </row>
    <row r="122" spans="3:15" x14ac:dyDescent="0.55000000000000004">
      <c r="C122" s="319"/>
      <c r="D122" s="319"/>
      <c r="E122" s="319"/>
      <c r="F122" s="319"/>
      <c r="G122" s="319"/>
      <c r="H122" s="319"/>
      <c r="I122" s="319"/>
      <c r="J122" s="319"/>
    </row>
    <row r="123" spans="3:15" x14ac:dyDescent="0.55000000000000004">
      <c r="C123" s="319"/>
      <c r="D123" s="319"/>
      <c r="E123" s="319"/>
      <c r="F123" s="319"/>
      <c r="G123" s="319"/>
      <c r="H123" s="319"/>
      <c r="I123" s="319"/>
      <c r="J123" s="319"/>
    </row>
    <row r="124" spans="3:15" x14ac:dyDescent="0.55000000000000004">
      <c r="C124" s="319"/>
      <c r="D124" s="319"/>
      <c r="E124" s="319"/>
      <c r="F124" s="319"/>
      <c r="G124" s="319"/>
      <c r="H124" s="319"/>
      <c r="I124" s="319"/>
      <c r="J124" s="319"/>
    </row>
    <row r="125" spans="3:15" x14ac:dyDescent="0.55000000000000004">
      <c r="C125" s="319"/>
      <c r="D125" s="319"/>
      <c r="E125" s="319"/>
      <c r="F125" s="319"/>
      <c r="G125" s="319"/>
      <c r="H125" s="319"/>
      <c r="I125" s="319"/>
      <c r="J125" s="319"/>
    </row>
    <row r="126" spans="3:15" x14ac:dyDescent="0.55000000000000004">
      <c r="C126" s="319"/>
      <c r="D126" s="319"/>
      <c r="E126" s="319"/>
      <c r="F126" s="319"/>
      <c r="G126" s="319"/>
      <c r="H126" s="319"/>
      <c r="I126" s="319"/>
      <c r="J126" s="319"/>
    </row>
    <row r="127" spans="3:15" ht="15" x14ac:dyDescent="0.55000000000000004">
      <c r="C127" s="354" t="s">
        <v>177</v>
      </c>
      <c r="D127" s="354"/>
      <c r="E127" s="355"/>
      <c r="F127" s="319"/>
      <c r="G127" s="319"/>
      <c r="H127" s="319"/>
      <c r="I127" s="319"/>
      <c r="J127" s="319"/>
    </row>
    <row r="128" spans="3:15" ht="35.25" customHeight="1" x14ac:dyDescent="0.55000000000000004">
      <c r="C128" s="319"/>
      <c r="D128" s="570" t="s">
        <v>178</v>
      </c>
      <c r="E128" s="570"/>
      <c r="F128" s="570"/>
      <c r="G128" s="570"/>
      <c r="H128" s="570"/>
      <c r="I128" s="570"/>
      <c r="J128" s="570"/>
      <c r="K128" s="570"/>
      <c r="L128" s="570"/>
      <c r="M128" s="570"/>
      <c r="N128" s="570"/>
      <c r="O128" s="570"/>
    </row>
    <row r="129" spans="1:16" ht="35.25" customHeight="1" x14ac:dyDescent="0.55000000000000004">
      <c r="C129" s="319"/>
      <c r="D129" s="570" t="s">
        <v>179</v>
      </c>
      <c r="E129" s="570"/>
      <c r="F129" s="570"/>
      <c r="G129" s="570"/>
      <c r="H129" s="570"/>
      <c r="I129" s="570"/>
      <c r="J129" s="570"/>
      <c r="K129" s="570"/>
      <c r="L129" s="570"/>
      <c r="M129" s="570"/>
      <c r="N129" s="570"/>
      <c r="O129" s="570"/>
    </row>
    <row r="130" spans="1:16" ht="20.25" customHeight="1" x14ac:dyDescent="0.55000000000000004">
      <c r="C130" s="319"/>
      <c r="D130" s="570" t="s">
        <v>180</v>
      </c>
      <c r="E130" s="570"/>
      <c r="F130" s="570"/>
      <c r="G130" s="570"/>
      <c r="H130" s="570"/>
      <c r="I130" s="570"/>
      <c r="J130" s="570"/>
      <c r="K130" s="570"/>
      <c r="L130" s="570"/>
      <c r="M130" s="570"/>
      <c r="N130" s="570"/>
      <c r="O130" s="570"/>
    </row>
    <row r="131" spans="1:16" ht="20.25" customHeight="1" x14ac:dyDescent="0.55000000000000004">
      <c r="C131" s="319"/>
      <c r="D131" s="570" t="s">
        <v>181</v>
      </c>
      <c r="E131" s="570"/>
      <c r="F131" s="570"/>
      <c r="G131" s="570"/>
      <c r="H131" s="570"/>
      <c r="I131" s="570"/>
      <c r="J131" s="570"/>
      <c r="K131" s="570"/>
      <c r="L131" s="570"/>
      <c r="M131" s="570"/>
      <c r="N131" s="570"/>
      <c r="O131" s="570"/>
    </row>
    <row r="132" spans="1:16" ht="20.25" customHeight="1" x14ac:dyDescent="0.55000000000000004">
      <c r="C132" s="319"/>
      <c r="D132" s="570" t="s">
        <v>182</v>
      </c>
      <c r="E132" s="570"/>
      <c r="F132" s="570"/>
      <c r="G132" s="570"/>
      <c r="H132" s="570"/>
      <c r="I132" s="570"/>
      <c r="J132" s="570"/>
      <c r="K132" s="570"/>
      <c r="L132" s="570"/>
      <c r="M132" s="570"/>
      <c r="N132" s="570"/>
      <c r="O132" s="570"/>
    </row>
    <row r="133" spans="1:16" ht="20.100000000000001" customHeight="1" x14ac:dyDescent="0.55000000000000004">
      <c r="C133" s="319"/>
      <c r="D133" s="570" t="s">
        <v>183</v>
      </c>
      <c r="E133" s="570"/>
      <c r="F133" s="570"/>
      <c r="G133" s="570"/>
      <c r="H133" s="570"/>
      <c r="I133" s="570"/>
      <c r="J133" s="570"/>
      <c r="K133" s="570"/>
      <c r="L133" s="570"/>
      <c r="M133" s="570"/>
      <c r="N133" s="570"/>
      <c r="O133" s="570"/>
    </row>
    <row r="134" spans="1:16" x14ac:dyDescent="0.55000000000000004">
      <c r="C134" s="319"/>
      <c r="D134" s="319"/>
      <c r="E134" s="319"/>
      <c r="F134" s="319"/>
      <c r="G134" s="319"/>
      <c r="H134" s="319"/>
      <c r="I134" s="319"/>
      <c r="J134" s="319"/>
    </row>
    <row r="135" spans="1:16" x14ac:dyDescent="0.55000000000000004">
      <c r="C135" s="319"/>
      <c r="D135" s="319"/>
      <c r="E135" s="319"/>
      <c r="F135" s="319"/>
      <c r="G135" s="319"/>
      <c r="H135" s="319"/>
      <c r="I135" s="319"/>
      <c r="J135" s="319"/>
    </row>
    <row r="136" spans="1:16" s="321" customFormat="1" ht="15.75" customHeight="1" x14ac:dyDescent="0.55000000000000004">
      <c r="A136" s="313"/>
      <c r="B136" s="271"/>
      <c r="C136" s="635" t="s">
        <v>115</v>
      </c>
      <c r="D136" s="623" t="s">
        <v>101</v>
      </c>
      <c r="E136" s="625" t="s">
        <v>102</v>
      </c>
      <c r="F136" s="625" t="s">
        <v>103</v>
      </c>
      <c r="G136" s="625" t="s">
        <v>98</v>
      </c>
      <c r="H136" s="640" t="s">
        <v>104</v>
      </c>
      <c r="I136" s="641"/>
      <c r="J136" s="641"/>
      <c r="K136" s="641"/>
      <c r="L136" s="641"/>
      <c r="M136" s="641"/>
      <c r="N136" s="641"/>
      <c r="O136" s="642"/>
      <c r="P136" s="623" t="s">
        <v>105</v>
      </c>
    </row>
    <row r="137" spans="1:16" s="321" customFormat="1" ht="15.75" customHeight="1" x14ac:dyDescent="0.55000000000000004">
      <c r="A137" s="313"/>
      <c r="B137" s="271"/>
      <c r="C137" s="636"/>
      <c r="D137" s="623"/>
      <c r="E137" s="625"/>
      <c r="F137" s="625"/>
      <c r="G137" s="625"/>
      <c r="H137" s="624" t="s">
        <v>106</v>
      </c>
      <c r="I137" s="624"/>
      <c r="J137" s="624"/>
      <c r="K137" s="624"/>
      <c r="L137" s="624"/>
      <c r="M137" s="624"/>
      <c r="N137" s="645" t="s">
        <v>107</v>
      </c>
      <c r="O137" s="645" t="s">
        <v>108</v>
      </c>
      <c r="P137" s="623"/>
    </row>
    <row r="138" spans="1:16" s="321" customFormat="1" ht="15.75" customHeight="1" x14ac:dyDescent="0.55000000000000004">
      <c r="A138" s="313"/>
      <c r="B138" s="271"/>
      <c r="C138" s="636"/>
      <c r="D138" s="623"/>
      <c r="E138" s="625"/>
      <c r="F138" s="625"/>
      <c r="G138" s="625"/>
      <c r="H138" s="648" t="s">
        <v>109</v>
      </c>
      <c r="I138" s="649"/>
      <c r="J138" s="649"/>
      <c r="K138" s="650"/>
      <c r="L138" s="643" t="s">
        <v>110</v>
      </c>
      <c r="M138" s="643" t="s">
        <v>111</v>
      </c>
      <c r="N138" s="646"/>
      <c r="O138" s="646"/>
      <c r="P138" s="623"/>
    </row>
    <row r="139" spans="1:16" s="321" customFormat="1" x14ac:dyDescent="0.55000000000000004">
      <c r="A139" s="313"/>
      <c r="B139" s="271"/>
      <c r="C139" s="636"/>
      <c r="D139" s="623"/>
      <c r="E139" s="625"/>
      <c r="F139" s="625"/>
      <c r="G139" s="625"/>
      <c r="H139" s="465" t="s">
        <v>112</v>
      </c>
      <c r="I139" s="465" t="s">
        <v>63</v>
      </c>
      <c r="J139" s="465" t="s">
        <v>113</v>
      </c>
      <c r="K139" s="465" t="s">
        <v>114</v>
      </c>
      <c r="L139" s="644"/>
      <c r="M139" s="644"/>
      <c r="N139" s="647"/>
      <c r="O139" s="647"/>
      <c r="P139" s="623"/>
    </row>
    <row r="140" spans="1:16" s="321" customFormat="1" x14ac:dyDescent="0.55000000000000004">
      <c r="A140" s="313"/>
      <c r="B140" s="271"/>
      <c r="C140" s="636"/>
      <c r="D140" s="615" t="s">
        <v>116</v>
      </c>
      <c r="E140" s="616"/>
      <c r="F140" s="617"/>
      <c r="G140" s="322" t="s">
        <v>117</v>
      </c>
      <c r="H140" s="653"/>
      <c r="I140" s="654"/>
      <c r="J140" s="654"/>
      <c r="K140" s="654"/>
      <c r="L140" s="654"/>
      <c r="M140" s="654"/>
      <c r="N140" s="654"/>
      <c r="O140" s="655"/>
      <c r="P140" s="323"/>
    </row>
    <row r="141" spans="1:16" s="321" customFormat="1" ht="18.75" customHeight="1" x14ac:dyDescent="0.55000000000000004">
      <c r="A141" s="313"/>
      <c r="B141" s="271"/>
      <c r="C141" s="636"/>
      <c r="D141" s="372" t="s">
        <v>118</v>
      </c>
      <c r="E141" s="324">
        <v>1</v>
      </c>
      <c r="F141" s="325" t="s">
        <v>119</v>
      </c>
      <c r="G141" s="322" t="s">
        <v>117</v>
      </c>
      <c r="H141" s="466">
        <f>$E141*'Social, YP &amp; kinship care'!$L$7</f>
        <v>60000</v>
      </c>
      <c r="I141" s="326"/>
      <c r="J141" s="326"/>
      <c r="K141" s="326"/>
      <c r="L141" s="326"/>
      <c r="M141" s="326"/>
      <c r="N141" s="326"/>
      <c r="O141" s="326"/>
      <c r="P141" s="323" t="s">
        <v>184</v>
      </c>
    </row>
    <row r="142" spans="1:16" s="321" customFormat="1" hidden="1" x14ac:dyDescent="0.55000000000000004">
      <c r="A142" s="313"/>
      <c r="B142" s="271"/>
      <c r="C142" s="636"/>
      <c r="D142" s="372" t="s">
        <v>120</v>
      </c>
      <c r="E142" s="324">
        <v>0</v>
      </c>
      <c r="F142" s="325" t="s">
        <v>119</v>
      </c>
      <c r="G142" s="322" t="s">
        <v>117</v>
      </c>
      <c r="H142" s="466">
        <f>$E142*'Social, YP &amp; kinship care'!$L$9</f>
        <v>0</v>
      </c>
      <c r="I142" s="326"/>
      <c r="J142" s="326"/>
      <c r="K142" s="326"/>
      <c r="L142" s="326"/>
      <c r="M142" s="326"/>
      <c r="N142" s="326"/>
      <c r="O142" s="326"/>
      <c r="P142" s="323"/>
    </row>
    <row r="143" spans="1:16" s="321" customFormat="1" hidden="1" x14ac:dyDescent="0.55000000000000004">
      <c r="A143" s="313"/>
      <c r="B143" s="271"/>
      <c r="C143" s="636"/>
      <c r="D143" s="372" t="s">
        <v>121</v>
      </c>
      <c r="E143" s="324">
        <v>0</v>
      </c>
      <c r="F143" s="325" t="s">
        <v>119</v>
      </c>
      <c r="G143" s="322" t="s">
        <v>117</v>
      </c>
      <c r="H143" s="466">
        <f>$E143*'Social, YP &amp; kinship care'!$L$10</f>
        <v>0</v>
      </c>
      <c r="I143" s="326"/>
      <c r="J143" s="326"/>
      <c r="K143" s="326"/>
      <c r="L143" s="326"/>
      <c r="M143" s="326"/>
      <c r="N143" s="326"/>
      <c r="O143" s="326"/>
      <c r="P143" s="323"/>
    </row>
    <row r="144" spans="1:16" s="321" customFormat="1" hidden="1" x14ac:dyDescent="0.55000000000000004">
      <c r="A144" s="313"/>
      <c r="B144" s="271"/>
      <c r="C144" s="636"/>
      <c r="D144" s="372" t="s">
        <v>122</v>
      </c>
      <c r="E144" s="324">
        <v>0</v>
      </c>
      <c r="F144" s="325" t="s">
        <v>119</v>
      </c>
      <c r="G144" s="322" t="s">
        <v>117</v>
      </c>
      <c r="H144" s="466">
        <f>$E144*'Social, YP &amp; kinship care'!$L$11</f>
        <v>0</v>
      </c>
      <c r="I144" s="326"/>
      <c r="J144" s="326"/>
      <c r="K144" s="326"/>
      <c r="L144" s="326"/>
      <c r="M144" s="326"/>
      <c r="N144" s="326"/>
      <c r="O144" s="326"/>
      <c r="P144" s="323"/>
    </row>
    <row r="145" spans="1:16" s="321" customFormat="1" hidden="1" x14ac:dyDescent="0.55000000000000004">
      <c r="A145" s="313"/>
      <c r="B145" s="271"/>
      <c r="C145" s="636"/>
      <c r="D145" s="372" t="s">
        <v>123</v>
      </c>
      <c r="E145" s="324">
        <v>0</v>
      </c>
      <c r="F145" s="325" t="s">
        <v>119</v>
      </c>
      <c r="G145" s="322" t="s">
        <v>117</v>
      </c>
      <c r="H145" s="466">
        <f>$E145*'Social, YP &amp; kinship care'!$L$12</f>
        <v>0</v>
      </c>
      <c r="I145" s="326"/>
      <c r="J145" s="326"/>
      <c r="K145" s="326"/>
      <c r="L145" s="326"/>
      <c r="M145" s="326"/>
      <c r="N145" s="326"/>
      <c r="O145" s="326"/>
      <c r="P145" s="323"/>
    </row>
    <row r="146" spans="1:16" s="321" customFormat="1" hidden="1" x14ac:dyDescent="0.55000000000000004">
      <c r="A146" s="313"/>
      <c r="B146" s="271"/>
      <c r="C146" s="636"/>
      <c r="D146" s="469" t="s">
        <v>124</v>
      </c>
      <c r="E146" s="324">
        <v>0</v>
      </c>
      <c r="F146" s="325" t="s">
        <v>119</v>
      </c>
      <c r="G146" s="322" t="s">
        <v>117</v>
      </c>
      <c r="H146" s="326"/>
      <c r="I146" s="326"/>
      <c r="J146" s="326"/>
      <c r="K146" s="326"/>
      <c r="L146" s="326"/>
      <c r="M146" s="326"/>
      <c r="N146" s="466">
        <f>E146*'Social, YP &amp; kinship care'!$K$20</f>
        <v>0</v>
      </c>
      <c r="O146" s="326"/>
      <c r="P146" s="323"/>
    </row>
    <row r="147" spans="1:16" s="321" customFormat="1" hidden="1" x14ac:dyDescent="0.55000000000000004">
      <c r="A147" s="313"/>
      <c r="B147" s="271"/>
      <c r="C147" s="636"/>
      <c r="D147" s="469" t="s">
        <v>125</v>
      </c>
      <c r="E147" s="325" t="s">
        <v>119</v>
      </c>
      <c r="F147" s="324">
        <v>0</v>
      </c>
      <c r="G147" s="322" t="s">
        <v>117</v>
      </c>
      <c r="H147" s="326"/>
      <c r="I147" s="326"/>
      <c r="J147" s="326"/>
      <c r="K147" s="326"/>
      <c r="L147" s="326"/>
      <c r="M147" s="326"/>
      <c r="N147" s="466">
        <f>F147*'Social, YP &amp; kinship care'!$K$21</f>
        <v>0</v>
      </c>
      <c r="O147" s="326"/>
      <c r="P147" s="323"/>
    </row>
    <row r="148" spans="1:16" s="321" customFormat="1" hidden="1" x14ac:dyDescent="0.55000000000000004">
      <c r="A148" s="313"/>
      <c r="B148" s="271"/>
      <c r="C148" s="636"/>
      <c r="D148" s="469" t="s">
        <v>126</v>
      </c>
      <c r="E148" s="324">
        <v>0</v>
      </c>
      <c r="F148" s="325" t="s">
        <v>119</v>
      </c>
      <c r="G148" s="327" t="s">
        <v>127</v>
      </c>
      <c r="H148" s="466">
        <f>$E148*(Education!$L$10)</f>
        <v>0</v>
      </c>
      <c r="I148" s="466">
        <f>$E148*(Education!$L$7)</f>
        <v>0</v>
      </c>
      <c r="J148" s="326"/>
      <c r="K148" s="326"/>
      <c r="L148" s="466">
        <f>E148*Education!$L$11</f>
        <v>0</v>
      </c>
      <c r="M148" s="326"/>
      <c r="N148" s="326"/>
      <c r="O148" s="326"/>
      <c r="P148" s="323"/>
    </row>
    <row r="149" spans="1:16" s="321" customFormat="1" hidden="1" x14ac:dyDescent="0.55000000000000004">
      <c r="A149" s="313"/>
      <c r="B149" s="271"/>
      <c r="C149" s="636"/>
      <c r="D149" s="469" t="s">
        <v>128</v>
      </c>
      <c r="E149" s="324">
        <v>0</v>
      </c>
      <c r="F149" s="325" t="s">
        <v>119</v>
      </c>
      <c r="G149" s="327" t="s">
        <v>127</v>
      </c>
      <c r="H149" s="466">
        <f>E149*(Education!$L$16)</f>
        <v>0</v>
      </c>
      <c r="I149" s="466">
        <f>E149*(Education!$L$13)</f>
        <v>0</v>
      </c>
      <c r="J149" s="326"/>
      <c r="K149" s="326"/>
      <c r="L149" s="466">
        <f>E149*(Education!$L$17)</f>
        <v>0</v>
      </c>
      <c r="M149" s="326"/>
      <c r="N149" s="326"/>
      <c r="O149" s="326"/>
      <c r="P149" s="323"/>
    </row>
    <row r="150" spans="1:16" s="321" customFormat="1" hidden="1" x14ac:dyDescent="0.55000000000000004">
      <c r="A150" s="313"/>
      <c r="B150" s="271"/>
      <c r="C150" s="636"/>
      <c r="D150" s="469" t="s">
        <v>129</v>
      </c>
      <c r="E150" s="324">
        <v>0</v>
      </c>
      <c r="F150" s="325" t="s">
        <v>119</v>
      </c>
      <c r="G150" s="328" t="s">
        <v>24</v>
      </c>
      <c r="H150" s="326"/>
      <c r="I150" s="326"/>
      <c r="J150" s="326"/>
      <c r="K150" s="326"/>
      <c r="L150" s="466">
        <f>E150*(Disorders!$L$8+Disorders!$L$10+Disorders!$L$11)</f>
        <v>0</v>
      </c>
      <c r="M150" s="326"/>
      <c r="N150" s="326"/>
      <c r="O150" s="466">
        <f>E150*(Disorders!$N$8+Disorders!$N$9)</f>
        <v>0</v>
      </c>
      <c r="P150" s="323"/>
    </row>
    <row r="151" spans="1:16" s="321" customFormat="1" hidden="1" x14ac:dyDescent="0.55000000000000004">
      <c r="A151" s="313"/>
      <c r="B151" s="271"/>
      <c r="C151" s="636"/>
      <c r="D151" s="469" t="s">
        <v>130</v>
      </c>
      <c r="E151" s="324">
        <v>0</v>
      </c>
      <c r="F151" s="325" t="s">
        <v>119</v>
      </c>
      <c r="G151" s="328" t="s">
        <v>24</v>
      </c>
      <c r="H151" s="326"/>
      <c r="I151" s="326"/>
      <c r="J151" s="326"/>
      <c r="K151" s="326"/>
      <c r="L151" s="466">
        <f>E151*(Disorders!$L$16+Disorders!$L$17+Disorders!$L$18+Disorders!$L$19)</f>
        <v>0</v>
      </c>
      <c r="M151" s="326"/>
      <c r="N151" s="466">
        <f>E151*(Disorders!$M$19)</f>
        <v>0</v>
      </c>
      <c r="O151" s="466">
        <f>E151*Disorders!$N$16</f>
        <v>0</v>
      </c>
      <c r="P151" s="323"/>
    </row>
    <row r="152" spans="1:16" s="321" customFormat="1" hidden="1" x14ac:dyDescent="0.55000000000000004">
      <c r="A152" s="313"/>
      <c r="B152" s="271"/>
      <c r="C152" s="636"/>
      <c r="D152" s="469" t="s">
        <v>131</v>
      </c>
      <c r="E152" s="324">
        <v>0</v>
      </c>
      <c r="F152" s="325" t="s">
        <v>119</v>
      </c>
      <c r="G152" s="328" t="s">
        <v>24</v>
      </c>
      <c r="H152" s="466">
        <f>$E152*(Disorders!$L$23)</f>
        <v>0</v>
      </c>
      <c r="I152" s="466">
        <f>$E152*(Disorders!$L$21)</f>
        <v>0</v>
      </c>
      <c r="J152" s="326"/>
      <c r="K152" s="326"/>
      <c r="L152" s="466">
        <f>$E152*Disorders!$L$22</f>
        <v>0</v>
      </c>
      <c r="M152" s="326"/>
      <c r="N152" s="326"/>
      <c r="O152" s="326"/>
      <c r="P152" s="323"/>
    </row>
    <row r="153" spans="1:16" s="321" customFormat="1" hidden="1" x14ac:dyDescent="0.55000000000000004">
      <c r="A153" s="313"/>
      <c r="B153" s="271"/>
      <c r="C153" s="636"/>
      <c r="D153" s="469" t="s">
        <v>132</v>
      </c>
      <c r="E153" s="324">
        <v>0</v>
      </c>
      <c r="F153" s="325" t="s">
        <v>119</v>
      </c>
      <c r="G153" s="328" t="s">
        <v>24</v>
      </c>
      <c r="H153" s="466">
        <f>$E153*Disorders!$L$26</f>
        <v>0</v>
      </c>
      <c r="I153" s="466">
        <f>$E153*Disorders!$L$28</f>
        <v>0</v>
      </c>
      <c r="J153" s="326"/>
      <c r="K153" s="326"/>
      <c r="L153" s="466">
        <f>$E153*Disorders!$L$25</f>
        <v>0</v>
      </c>
      <c r="M153" s="326"/>
      <c r="N153" s="326"/>
      <c r="O153" s="326"/>
      <c r="P153" s="323"/>
    </row>
    <row r="154" spans="1:16" s="321" customFormat="1" x14ac:dyDescent="0.55000000000000004">
      <c r="A154" s="313"/>
      <c r="B154" s="271"/>
      <c r="C154" s="636"/>
      <c r="D154" s="469" t="s">
        <v>82</v>
      </c>
      <c r="E154" s="324">
        <v>1</v>
      </c>
      <c r="F154" s="324">
        <v>1</v>
      </c>
      <c r="G154" s="329" t="s">
        <v>165</v>
      </c>
      <c r="H154" s="326"/>
      <c r="I154" s="326"/>
      <c r="J154" s="466">
        <f>IF(E154&gt;0,1*Homelessness!$L$6,0)</f>
        <v>16900</v>
      </c>
      <c r="K154" s="326"/>
      <c r="L154" s="466">
        <f>E154*(Homelessness!$L$13+Homelessness!$L$14)+F154*Homelessness!$L$8</f>
        <v>1200</v>
      </c>
      <c r="M154" s="466">
        <f>F154*Homelessness!L9</f>
        <v>2700</v>
      </c>
      <c r="N154" s="326"/>
      <c r="O154" s="466">
        <f>E154*Homelessness!$N$15+F154*Homelessness!$N$10</f>
        <v>18600</v>
      </c>
      <c r="P154" s="323"/>
    </row>
    <row r="155" spans="1:16" s="321" customFormat="1" hidden="1" x14ac:dyDescent="0.55000000000000004">
      <c r="A155" s="313"/>
      <c r="B155" s="271"/>
      <c r="C155" s="636"/>
      <c r="D155" s="615" t="s">
        <v>133</v>
      </c>
      <c r="E155" s="616"/>
      <c r="F155" s="617"/>
      <c r="G155" s="330" t="s">
        <v>134</v>
      </c>
      <c r="H155" s="653"/>
      <c r="I155" s="654"/>
      <c r="J155" s="654"/>
      <c r="K155" s="654"/>
      <c r="L155" s="654"/>
      <c r="M155" s="654"/>
      <c r="N155" s="654"/>
      <c r="O155" s="655"/>
      <c r="P155" s="323"/>
    </row>
    <row r="156" spans="1:16" s="321" customFormat="1" hidden="1" x14ac:dyDescent="0.55000000000000004">
      <c r="A156" s="313"/>
      <c r="B156" s="271"/>
      <c r="C156" s="636"/>
      <c r="D156" s="372" t="s">
        <v>166</v>
      </c>
      <c r="E156" s="324">
        <v>0</v>
      </c>
      <c r="F156" s="325" t="s">
        <v>119</v>
      </c>
      <c r="G156" s="330" t="s">
        <v>134</v>
      </c>
      <c r="H156" s="326"/>
      <c r="I156" s="326"/>
      <c r="J156" s="326"/>
      <c r="K156" s="326"/>
      <c r="L156" s="466">
        <f>E156*'NHS &amp; LA treatment'!$L$18</f>
        <v>0</v>
      </c>
      <c r="M156" s="326"/>
      <c r="N156" s="326"/>
      <c r="O156" s="326"/>
      <c r="P156" s="323"/>
    </row>
    <row r="157" spans="1:16" s="321" customFormat="1" hidden="1" x14ac:dyDescent="0.55000000000000004">
      <c r="A157" s="313"/>
      <c r="B157" s="271"/>
      <c r="C157" s="636"/>
      <c r="D157" s="372" t="s">
        <v>167</v>
      </c>
      <c r="E157" s="324">
        <v>0</v>
      </c>
      <c r="F157" s="325" t="s">
        <v>119</v>
      </c>
      <c r="G157" s="330" t="s">
        <v>134</v>
      </c>
      <c r="H157" s="326"/>
      <c r="I157" s="326"/>
      <c r="J157" s="326"/>
      <c r="K157" s="326"/>
      <c r="L157" s="466">
        <f>E157*'NHS &amp; LA treatment'!$L$19</f>
        <v>0</v>
      </c>
      <c r="M157" s="326"/>
      <c r="N157" s="326"/>
      <c r="O157" s="326"/>
      <c r="P157" s="323"/>
    </row>
    <row r="158" spans="1:16" s="321" customFormat="1" x14ac:dyDescent="0.55000000000000004">
      <c r="A158" s="313"/>
      <c r="B158" s="271"/>
      <c r="C158" s="636"/>
      <c r="D158" s="469" t="s">
        <v>135</v>
      </c>
      <c r="E158" s="325" t="s">
        <v>119</v>
      </c>
      <c r="F158" s="324">
        <v>1</v>
      </c>
      <c r="G158" s="331" t="s">
        <v>136</v>
      </c>
      <c r="H158" s="326"/>
      <c r="I158" s="326"/>
      <c r="J158" s="326"/>
      <c r="K158" s="326"/>
      <c r="L158" s="466">
        <f>F158*'DA &amp; crime'!$L$7</f>
        <v>1400</v>
      </c>
      <c r="M158" s="466">
        <f>F158*'DA &amp; crime'!$L$10</f>
        <v>1000</v>
      </c>
      <c r="N158" s="466">
        <f>F158*('DA &amp; crime'!$M$11+'DA &amp; crime'!$M$8)</f>
        <v>8700</v>
      </c>
      <c r="O158" s="466">
        <f>F158*'DA &amp; crime'!$N$9</f>
        <v>21400</v>
      </c>
      <c r="P158" s="323"/>
    </row>
    <row r="159" spans="1:16" s="321" customFormat="1" x14ac:dyDescent="0.55000000000000004">
      <c r="A159" s="313"/>
      <c r="B159" s="271"/>
      <c r="C159" s="636"/>
      <c r="D159" s="615" t="s">
        <v>35</v>
      </c>
      <c r="E159" s="616" t="s">
        <v>137</v>
      </c>
      <c r="F159" s="617" t="s">
        <v>137</v>
      </c>
      <c r="G159" s="331" t="s">
        <v>136</v>
      </c>
      <c r="H159" s="326"/>
      <c r="I159" s="326"/>
      <c r="J159" s="326"/>
      <c r="K159" s="326"/>
      <c r="L159" s="326"/>
      <c r="M159" s="326"/>
      <c r="N159" s="326"/>
      <c r="O159" s="326"/>
      <c r="P159" s="323"/>
    </row>
    <row r="160" spans="1:16" s="255" customFormat="1" ht="13.5" customHeight="1" x14ac:dyDescent="0.55000000000000004">
      <c r="A160" s="313"/>
      <c r="C160" s="636"/>
      <c r="D160" s="373" t="s">
        <v>138</v>
      </c>
      <c r="E160" s="325" t="s">
        <v>119</v>
      </c>
      <c r="F160" s="320">
        <v>1</v>
      </c>
      <c r="G160" s="317"/>
      <c r="H160" s="317"/>
      <c r="I160" s="317"/>
      <c r="J160" s="317"/>
      <c r="K160" s="326"/>
      <c r="L160" s="466">
        <f>F160*AVERAGE('DA &amp; crime'!$L$13,'DA &amp; crime'!$L$19)*6</f>
        <v>4200</v>
      </c>
      <c r="M160" s="466">
        <f>F160*AVERAGE('DA &amp; crime'!$L$16,'DA &amp; crime'!$L$22)*6</f>
        <v>15900</v>
      </c>
      <c r="N160" s="466">
        <f>F160*AVERAGE('DA &amp; crime'!$M$14,'DA &amp; crime'!$M$17,'DA &amp; crime'!$M$20,'DA &amp; crime'!$M$23)*6</f>
        <v>5550</v>
      </c>
      <c r="O160" s="466">
        <f>F160*AVERAGE('DA &amp; crime'!$N$15,'DA &amp; crime'!$N$21)*6</f>
        <v>29400</v>
      </c>
      <c r="P160" s="323" t="s">
        <v>185</v>
      </c>
    </row>
    <row r="161" spans="1:16" s="321" customFormat="1" hidden="1" x14ac:dyDescent="0.55000000000000004">
      <c r="A161" s="313"/>
      <c r="B161" s="271"/>
      <c r="C161" s="636"/>
      <c r="D161" s="373" t="s">
        <v>139</v>
      </c>
      <c r="E161" s="325" t="s">
        <v>119</v>
      </c>
      <c r="F161" s="324">
        <v>0</v>
      </c>
      <c r="G161" s="331" t="s">
        <v>136</v>
      </c>
      <c r="H161" s="326"/>
      <c r="I161" s="326"/>
      <c r="J161" s="326"/>
      <c r="K161" s="326"/>
      <c r="L161" s="326"/>
      <c r="M161" s="466">
        <f>$F161*'DA &amp; crime'!$L$24*100</f>
        <v>0</v>
      </c>
      <c r="N161" s="326"/>
      <c r="O161" s="326"/>
      <c r="P161" s="323"/>
    </row>
    <row r="162" spans="1:16" s="321" customFormat="1" hidden="1" x14ac:dyDescent="0.55000000000000004">
      <c r="A162" s="313"/>
      <c r="B162" s="271"/>
      <c r="C162" s="636"/>
      <c r="D162" s="373" t="s">
        <v>140</v>
      </c>
      <c r="E162" s="325" t="s">
        <v>119</v>
      </c>
      <c r="F162" s="324">
        <v>0</v>
      </c>
      <c r="G162" s="331" t="s">
        <v>136</v>
      </c>
      <c r="H162" s="326"/>
      <c r="I162" s="326"/>
      <c r="J162" s="326"/>
      <c r="K162" s="326"/>
      <c r="L162" s="466">
        <f>F162*'DA &amp; crime'!$L$26*15</f>
        <v>0</v>
      </c>
      <c r="M162" s="466">
        <f>F162*'DA &amp; crime'!$L$29*15</f>
        <v>0</v>
      </c>
      <c r="N162" s="466">
        <f>F162*('DA &amp; crime'!$M$27+'DA &amp; crime'!$M$30)*15</f>
        <v>0</v>
      </c>
      <c r="O162" s="466">
        <f>F162*'DA &amp; crime'!$N$28*15</f>
        <v>0</v>
      </c>
      <c r="P162" s="323"/>
    </row>
    <row r="163" spans="1:16" s="321" customFormat="1" hidden="1" x14ac:dyDescent="0.55000000000000004">
      <c r="A163" s="313"/>
      <c r="B163" s="271"/>
      <c r="C163" s="636"/>
      <c r="D163" s="374" t="s">
        <v>141</v>
      </c>
      <c r="E163" s="333" t="s">
        <v>119</v>
      </c>
      <c r="F163" s="334">
        <v>0</v>
      </c>
      <c r="G163" s="331" t="s">
        <v>136</v>
      </c>
      <c r="H163" s="335"/>
      <c r="I163" s="335"/>
      <c r="J163" s="335"/>
      <c r="K163" s="326"/>
      <c r="L163" s="336">
        <f>F163*'DA &amp; crime'!$L$32*25</f>
        <v>0</v>
      </c>
      <c r="M163" s="336">
        <f>F163*'DA &amp; crime'!$L$35*25</f>
        <v>0</v>
      </c>
      <c r="N163" s="336">
        <f>F163*('DA &amp; crime'!$M$33+'DA &amp; crime'!$M$36)*25</f>
        <v>0</v>
      </c>
      <c r="O163" s="336">
        <f>F163*'DA &amp; crime'!$N$34*25</f>
        <v>0</v>
      </c>
      <c r="P163" s="323"/>
    </row>
    <row r="164" spans="1:16" s="321" customFormat="1" ht="15.3" hidden="1" x14ac:dyDescent="0.55000000000000004">
      <c r="A164" s="313"/>
      <c r="B164" s="271"/>
      <c r="C164" s="636"/>
      <c r="D164" s="374" t="s">
        <v>142</v>
      </c>
      <c r="E164" s="316" t="s">
        <v>119</v>
      </c>
      <c r="F164" s="320">
        <v>0</v>
      </c>
      <c r="G164" s="261"/>
      <c r="H164" s="317"/>
      <c r="I164" s="317"/>
      <c r="J164" s="317"/>
      <c r="K164" s="326"/>
      <c r="L164" s="317"/>
      <c r="M164" s="276">
        <f>$F164*'DA &amp; crime'!$L$44*6</f>
        <v>0</v>
      </c>
      <c r="N164" s="317"/>
      <c r="O164" s="317"/>
      <c r="P164" s="323"/>
    </row>
    <row r="165" spans="1:16" s="321" customFormat="1" x14ac:dyDescent="0.55000000000000004">
      <c r="A165" s="313"/>
      <c r="B165" s="271"/>
      <c r="C165" s="636"/>
      <c r="D165" s="628" t="s">
        <v>143</v>
      </c>
      <c r="E165" s="628"/>
      <c r="F165" s="628"/>
      <c r="G165" s="628"/>
      <c r="H165" s="338" t="s">
        <v>186</v>
      </c>
      <c r="I165" s="338" t="s">
        <v>187</v>
      </c>
      <c r="J165" s="338" t="s">
        <v>186</v>
      </c>
      <c r="K165" s="326"/>
      <c r="L165" s="338" t="s">
        <v>144</v>
      </c>
      <c r="M165" s="338" t="s">
        <v>144</v>
      </c>
      <c r="N165" s="338" t="s">
        <v>186</v>
      </c>
      <c r="O165" s="338" t="s">
        <v>144</v>
      </c>
      <c r="P165" s="323"/>
    </row>
    <row r="166" spans="1:16" s="321" customFormat="1" hidden="1" x14ac:dyDescent="0.55000000000000004">
      <c r="A166" s="313"/>
      <c r="B166" s="271"/>
      <c r="C166" s="636"/>
      <c r="D166" s="632" t="s">
        <v>188</v>
      </c>
      <c r="E166" s="633"/>
      <c r="F166" s="633"/>
      <c r="G166" s="634"/>
      <c r="H166" s="340">
        <f>IF(H165="No","(£"&amp;(ROUND(SMALL(H141:H164,COUNTIF(H141:H164,0)+1),0))&amp;" - £"&amp;(ROUND(MAX(H141:H164),0))&amp;")",SUM(H141:H164))</f>
        <v>60000</v>
      </c>
      <c r="I166" s="340">
        <f t="shared" ref="I166:O166" si="8">IF(I165="No","(£"&amp;(ROUND(SMALL(I141:I164,COUNTIF(I141:I164,0)+1),0))&amp;" - £"&amp;(ROUND(MAX(I141:I164),0))&amp;")",SUM(I141:I164))</f>
        <v>0</v>
      </c>
      <c r="J166" s="340">
        <f t="shared" si="8"/>
        <v>16900</v>
      </c>
      <c r="K166" s="326"/>
      <c r="L166" s="340" t="str">
        <f>IF(L165="No","(£"&amp;(ROUND(SMALL(L141:L164,COUNTIF(L141:L164,0)+1),0))&amp;" - £"&amp;(ROUND(MAX(L141:L164),0))&amp;")",SUM(L141:L164))</f>
        <v>(£1200 - £4200)</v>
      </c>
      <c r="M166" s="340" t="str">
        <f t="shared" si="8"/>
        <v>(£1000 - £15900)</v>
      </c>
      <c r="N166" s="340">
        <f t="shared" si="8"/>
        <v>14250</v>
      </c>
      <c r="O166" s="340" t="str">
        <f t="shared" si="8"/>
        <v>(£18600 - £29400)</v>
      </c>
      <c r="P166" s="323"/>
    </row>
    <row r="167" spans="1:16" s="321" customFormat="1" hidden="1" x14ac:dyDescent="0.55000000000000004">
      <c r="A167" s="313"/>
      <c r="B167" s="357"/>
      <c r="C167" s="341"/>
      <c r="D167" s="468"/>
      <c r="E167" s="468"/>
      <c r="F167" s="468"/>
      <c r="G167" s="468"/>
      <c r="H167" s="426">
        <f>IF(H165="No",SMALL((H141:H164),COUNTIF(H141:H164,0)+1),SUM(H141:H164))</f>
        <v>60000</v>
      </c>
      <c r="I167" s="426">
        <f t="shared" ref="I167:O167" si="9">IF(I165="No",SMALL((I141:I164),COUNTIF(I141:I164,0)+1),SUM(I141:I164))</f>
        <v>0</v>
      </c>
      <c r="J167" s="426">
        <f t="shared" si="9"/>
        <v>16900</v>
      </c>
      <c r="K167" s="326"/>
      <c r="L167" s="426">
        <f t="shared" si="9"/>
        <v>1200</v>
      </c>
      <c r="M167" s="426">
        <f t="shared" si="9"/>
        <v>1000</v>
      </c>
      <c r="N167" s="426">
        <f t="shared" si="9"/>
        <v>14250</v>
      </c>
      <c r="O167" s="426">
        <f t="shared" si="9"/>
        <v>18600</v>
      </c>
      <c r="P167" s="358"/>
    </row>
    <row r="168" spans="1:16" s="321" customFormat="1" hidden="1" x14ac:dyDescent="0.55000000000000004">
      <c r="A168" s="313"/>
      <c r="B168" s="357"/>
      <c r="C168" s="341"/>
      <c r="D168" s="468"/>
      <c r="E168" s="468"/>
      <c r="F168" s="468"/>
      <c r="G168" s="468"/>
      <c r="H168" s="426">
        <f>IF(H165="No",MAX(H141:H164),SUM(H141:H164))</f>
        <v>60000</v>
      </c>
      <c r="I168" s="426">
        <f t="shared" ref="I168:O168" si="10">IF(I165="No",MAX(I141:I164),SUM(I141:I164))</f>
        <v>0</v>
      </c>
      <c r="J168" s="426">
        <f t="shared" si="10"/>
        <v>16900</v>
      </c>
      <c r="K168" s="326"/>
      <c r="L168" s="426">
        <f t="shared" si="10"/>
        <v>4200</v>
      </c>
      <c r="M168" s="426">
        <f t="shared" si="10"/>
        <v>15900</v>
      </c>
      <c r="N168" s="426">
        <f t="shared" si="10"/>
        <v>14250</v>
      </c>
      <c r="O168" s="426">
        <f t="shared" si="10"/>
        <v>29400</v>
      </c>
      <c r="P168" s="358"/>
    </row>
    <row r="169" spans="1:16" s="321" customFormat="1" x14ac:dyDescent="0.55000000000000004">
      <c r="A169" s="313"/>
      <c r="B169" s="271"/>
      <c r="C169" s="626" t="s">
        <v>145</v>
      </c>
      <c r="D169" s="627" t="s">
        <v>210</v>
      </c>
      <c r="E169" s="627">
        <v>0</v>
      </c>
      <c r="F169" s="627">
        <v>0</v>
      </c>
      <c r="G169" s="344" t="s">
        <v>134</v>
      </c>
      <c r="H169" s="614"/>
      <c r="I169" s="614"/>
      <c r="J169" s="614"/>
      <c r="K169" s="614"/>
      <c r="L169" s="614"/>
      <c r="M169" s="614"/>
      <c r="N169" s="614"/>
      <c r="O169" s="614"/>
      <c r="P169" s="323"/>
    </row>
    <row r="170" spans="1:16" s="321" customFormat="1" x14ac:dyDescent="0.55000000000000004">
      <c r="A170" s="313"/>
      <c r="B170" s="271"/>
      <c r="C170" s="626"/>
      <c r="D170" s="372" t="s">
        <v>170</v>
      </c>
      <c r="E170" s="325" t="s">
        <v>119</v>
      </c>
      <c r="F170" s="324">
        <v>2</v>
      </c>
      <c r="G170" s="344" t="s">
        <v>134</v>
      </c>
      <c r="H170" s="326"/>
      <c r="I170" s="326"/>
      <c r="J170" s="326"/>
      <c r="K170" s="371">
        <f>F170*'NHS &amp; LA treatment'!$L$20</f>
        <v>5600</v>
      </c>
      <c r="L170" s="326"/>
      <c r="M170" s="326"/>
      <c r="N170" s="326"/>
      <c r="O170" s="326"/>
      <c r="P170" s="323" t="s">
        <v>189</v>
      </c>
    </row>
    <row r="171" spans="1:16" s="321" customFormat="1" hidden="1" x14ac:dyDescent="0.55000000000000004">
      <c r="A171" s="313"/>
      <c r="B171" s="271"/>
      <c r="C171" s="626"/>
      <c r="D171" s="372" t="s">
        <v>171</v>
      </c>
      <c r="E171" s="325" t="s">
        <v>119</v>
      </c>
      <c r="F171" s="324">
        <v>0</v>
      </c>
      <c r="G171" s="344" t="s">
        <v>134</v>
      </c>
      <c r="H171" s="326"/>
      <c r="I171" s="326"/>
      <c r="J171" s="326"/>
      <c r="K171" s="371">
        <f>F171*'NHS &amp; LA treatment'!$L$21</f>
        <v>0</v>
      </c>
      <c r="L171" s="326"/>
      <c r="M171" s="326"/>
      <c r="N171" s="326"/>
      <c r="O171" s="326"/>
      <c r="P171" s="323"/>
    </row>
    <row r="172" spans="1:16" s="321" customFormat="1" hidden="1" x14ac:dyDescent="0.55000000000000004">
      <c r="A172" s="313"/>
      <c r="B172" s="271"/>
      <c r="C172" s="626"/>
      <c r="D172" s="372" t="s">
        <v>172</v>
      </c>
      <c r="E172" s="325" t="s">
        <v>119</v>
      </c>
      <c r="F172" s="324">
        <v>0</v>
      </c>
      <c r="G172" s="344" t="s">
        <v>134</v>
      </c>
      <c r="H172" s="326"/>
      <c r="I172" s="326"/>
      <c r="J172" s="326"/>
      <c r="K172" s="371">
        <f>F172*'NHS &amp; LA treatment'!$L$22</f>
        <v>0</v>
      </c>
      <c r="L172" s="326"/>
      <c r="M172" s="326"/>
      <c r="N172" s="326"/>
      <c r="O172" s="326"/>
      <c r="P172" s="323"/>
    </row>
    <row r="173" spans="1:16" s="321" customFormat="1" hidden="1" x14ac:dyDescent="0.55000000000000004">
      <c r="A173" s="313"/>
      <c r="B173" s="271"/>
      <c r="C173" s="626"/>
      <c r="D173" s="372" t="s">
        <v>173</v>
      </c>
      <c r="E173" s="324">
        <v>0</v>
      </c>
      <c r="F173" s="325" t="s">
        <v>119</v>
      </c>
      <c r="G173" s="344" t="s">
        <v>134</v>
      </c>
      <c r="H173" s="326"/>
      <c r="I173" s="326"/>
      <c r="J173" s="326"/>
      <c r="K173" s="371">
        <f>E173*'NHS &amp; LA treatment'!$L$23</f>
        <v>0</v>
      </c>
      <c r="L173" s="326"/>
      <c r="M173" s="326"/>
      <c r="N173" s="326"/>
      <c r="O173" s="326"/>
      <c r="P173" s="323"/>
    </row>
    <row r="174" spans="1:16" s="321" customFormat="1" hidden="1" x14ac:dyDescent="0.55000000000000004">
      <c r="A174" s="313"/>
      <c r="B174" s="271"/>
      <c r="C174" s="626"/>
      <c r="D174" s="372" t="s">
        <v>174</v>
      </c>
      <c r="E174" s="325" t="s">
        <v>119</v>
      </c>
      <c r="F174" s="324">
        <v>0</v>
      </c>
      <c r="G174" s="344" t="s">
        <v>134</v>
      </c>
      <c r="H174" s="326"/>
      <c r="I174" s="326"/>
      <c r="J174" s="326"/>
      <c r="K174" s="371">
        <f>F174*'NHS &amp; LA treatment'!$L$24</f>
        <v>0</v>
      </c>
      <c r="L174" s="326"/>
      <c r="M174" s="326"/>
      <c r="N174" s="326"/>
      <c r="O174" s="326"/>
      <c r="P174" s="323"/>
    </row>
    <row r="175" spans="1:16" s="321" customFormat="1" x14ac:dyDescent="0.55000000000000004">
      <c r="A175" s="313"/>
      <c r="B175" s="271"/>
      <c r="C175" s="626"/>
      <c r="D175" s="372" t="s">
        <v>175</v>
      </c>
      <c r="E175" s="325" t="s">
        <v>119</v>
      </c>
      <c r="F175" s="324">
        <v>2</v>
      </c>
      <c r="G175" s="344" t="s">
        <v>134</v>
      </c>
      <c r="H175" s="326"/>
      <c r="I175" s="326"/>
      <c r="J175" s="326"/>
      <c r="K175" s="371">
        <f>F175*'NHS &amp; LA treatment'!$L$25</f>
        <v>19600</v>
      </c>
      <c r="L175" s="326"/>
      <c r="M175" s="326"/>
      <c r="N175" s="326"/>
      <c r="O175" s="326"/>
      <c r="P175" s="323" t="s">
        <v>190</v>
      </c>
    </row>
    <row r="176" spans="1:16" s="321" customFormat="1" x14ac:dyDescent="0.55000000000000004">
      <c r="A176" s="313"/>
      <c r="B176" s="271"/>
      <c r="C176" s="626"/>
      <c r="D176" s="615" t="s">
        <v>147</v>
      </c>
      <c r="E176" s="616"/>
      <c r="F176" s="616"/>
      <c r="G176" s="617"/>
      <c r="H176" s="326"/>
      <c r="I176" s="326"/>
      <c r="J176" s="326"/>
      <c r="K176" s="371">
        <f>0</f>
        <v>0</v>
      </c>
      <c r="L176" s="326"/>
      <c r="M176" s="326"/>
      <c r="N176" s="326"/>
      <c r="O176" s="326"/>
      <c r="P176" s="323"/>
    </row>
    <row r="177" spans="1:19" s="321" customFormat="1" ht="24.6" x14ac:dyDescent="0.55000000000000004">
      <c r="A177" s="313"/>
      <c r="B177" s="271"/>
      <c r="C177" s="626"/>
      <c r="D177" s="615" t="s">
        <v>791</v>
      </c>
      <c r="E177" s="616"/>
      <c r="F177" s="616"/>
      <c r="G177" s="617"/>
      <c r="H177" s="371">
        <f>'Social, YP &amp; kinship care'!L10</f>
        <v>9300</v>
      </c>
      <c r="I177" s="326"/>
      <c r="J177" s="326"/>
      <c r="K177" s="371">
        <f>0</f>
        <v>0</v>
      </c>
      <c r="L177" s="326"/>
      <c r="M177" s="326"/>
      <c r="N177" s="326"/>
      <c r="O177" s="326"/>
      <c r="P177" s="323" t="s">
        <v>191</v>
      </c>
    </row>
    <row r="178" spans="1:19" s="321" customFormat="1" x14ac:dyDescent="0.55000000000000004">
      <c r="A178" s="313"/>
      <c r="B178" s="271"/>
      <c r="C178" s="626"/>
      <c r="D178" s="618" t="s">
        <v>148</v>
      </c>
      <c r="E178" s="619"/>
      <c r="F178" s="619"/>
      <c r="G178" s="620"/>
      <c r="H178" s="337">
        <f>SUM(H170:H177)</f>
        <v>9300</v>
      </c>
      <c r="I178" s="326"/>
      <c r="J178" s="326"/>
      <c r="K178" s="337">
        <f>SUM(K170:K177)</f>
        <v>25200</v>
      </c>
      <c r="L178" s="326"/>
      <c r="M178" s="326"/>
      <c r="N178" s="326"/>
      <c r="O178" s="326"/>
      <c r="P178" s="323"/>
    </row>
    <row r="179" spans="1:19" s="321" customFormat="1" x14ac:dyDescent="0.55000000000000004">
      <c r="A179" s="313"/>
      <c r="B179" s="271"/>
      <c r="C179" s="427"/>
      <c r="D179" s="428"/>
      <c r="E179" s="428"/>
      <c r="F179" s="428"/>
      <c r="G179" s="428"/>
      <c r="H179" s="429"/>
      <c r="I179" s="430"/>
      <c r="J179" s="430"/>
      <c r="K179" s="429"/>
      <c r="L179" s="430"/>
      <c r="M179" s="430"/>
      <c r="N179" s="430"/>
      <c r="O179" s="430"/>
      <c r="P179" s="431"/>
      <c r="Q179" s="435"/>
      <c r="R179" s="435"/>
      <c r="S179" s="435"/>
    </row>
    <row r="180" spans="1:19" s="321" customFormat="1" ht="15.3" x14ac:dyDescent="0.55000000000000004">
      <c r="A180" s="313"/>
      <c r="B180" s="271"/>
      <c r="C180" s="427"/>
      <c r="D180" s="432"/>
      <c r="E180" s="610" t="s">
        <v>149</v>
      </c>
      <c r="F180" s="611"/>
      <c r="G180" s="428"/>
      <c r="H180" s="429"/>
      <c r="I180" s="430"/>
      <c r="J180" s="430"/>
      <c r="K180" s="429"/>
      <c r="L180" s="430"/>
      <c r="M180" s="430"/>
      <c r="N180" s="430"/>
      <c r="O180" s="430"/>
      <c r="P180" s="431"/>
      <c r="Q180" s="435"/>
      <c r="R180" s="435"/>
      <c r="S180" s="435"/>
    </row>
    <row r="181" spans="1:19" ht="15.3" x14ac:dyDescent="0.55000000000000004">
      <c r="C181" s="433"/>
      <c r="D181" s="434" t="s">
        <v>148</v>
      </c>
      <c r="E181" s="612">
        <f>SUM(H178:O178)</f>
        <v>34500</v>
      </c>
      <c r="F181" s="613"/>
      <c r="G181" s="433"/>
      <c r="H181" s="433"/>
      <c r="I181" s="433"/>
      <c r="J181" s="433"/>
      <c r="K181" s="433"/>
      <c r="L181" s="433"/>
      <c r="M181" s="433"/>
      <c r="N181" s="433"/>
      <c r="O181" s="433"/>
      <c r="P181" s="433"/>
      <c r="Q181" s="433"/>
      <c r="R181" s="433"/>
      <c r="S181" s="433"/>
    </row>
    <row r="182" spans="1:19" ht="15.3" x14ac:dyDescent="0.55000000000000004">
      <c r="D182" s="343" t="s">
        <v>150</v>
      </c>
      <c r="E182" s="577" t="str">
        <f>IF(SUM(H167:K167)=SUM(H168:K168),TEXT(ROUND(SUM(H167:K167),-1),"#,#"),TEXT(ROUND(SUM(H167:K167),-1)," #,# - ")&amp;TEXT(ROUND(SUM(H168:K168),-1),"#,#"))</f>
        <v>76,900</v>
      </c>
      <c r="F182" s="578"/>
      <c r="H182" s="273"/>
    </row>
    <row r="183" spans="1:19" ht="15.3" x14ac:dyDescent="0.55000000000000004">
      <c r="D183" s="343" t="s">
        <v>151</v>
      </c>
      <c r="E183" s="577" t="str">
        <f>IF(SUM(H167:K167)=SUM(H168:K168),TEXT(ROUND(SUM(H167:K167)-E181,-1),"#,#"),TEXT(ROUND(SUM(H167:K167)-E181,-1),"#,# - ")&amp;TEXT(ROUND(SUM(H168:K168)-E181,-1),"#,#"))</f>
        <v>42,400</v>
      </c>
      <c r="F183" s="578"/>
      <c r="L183" s="273"/>
    </row>
    <row r="184" spans="1:19" ht="15.3" x14ac:dyDescent="0.55000000000000004">
      <c r="D184" s="343" t="s">
        <v>152</v>
      </c>
      <c r="E184" s="577" t="str">
        <f>IFERROR(IF(SUM(H167:K167)=SUM(H168:K168),TEXT(ROUND(SUM(H167:K167)/E181,2),"#.#0"),TEXT(ROUND(SUM(H167:K167)/E181,2),"#.#0 - ")&amp;TEXT(ROUND(SUM(H168:K168)/E181,2),"#.#0")),0)</f>
        <v>2.23</v>
      </c>
      <c r="F184" s="578"/>
      <c r="K184" s="273"/>
      <c r="L184" s="273"/>
    </row>
    <row r="185" spans="1:19" ht="15.3" x14ac:dyDescent="0.55000000000000004">
      <c r="D185" s="339" t="s">
        <v>153</v>
      </c>
      <c r="E185" s="577" t="str">
        <f>IF(SUM(H167:O167)=SUM(H168:O168),TEXT(ROUND(SUM(H167:O167),-1),"#,#"),TEXT(ROUND(SUM(H167:O167),-1)," #,# - ")&amp;TEXT(ROUND(SUM(H168:O168),-1),"#,#"))</f>
        <v xml:space="preserve"> 111,950 - 140,650</v>
      </c>
      <c r="F185" s="578"/>
      <c r="K185" s="273"/>
    </row>
    <row r="186" spans="1:19" ht="15.3" x14ac:dyDescent="0.55000000000000004">
      <c r="D186" s="339" t="s">
        <v>154</v>
      </c>
      <c r="E186" s="577" t="str">
        <f>IF(SUM(H167:O167)=SUM(H168:O168),TEXT(ROUND(SUM(H167:O167)-E181,-1)," #,#"),TEXT(ROUND(SUM(H167:O167)-E181,-1),"#,# - ")&amp;TEXT(ROUND(SUM(H168:O168)-E181,-1),"#,#"))</f>
        <v>77,450 - 106,150</v>
      </c>
      <c r="F186" s="578"/>
      <c r="K186" s="273"/>
    </row>
    <row r="187" spans="1:19" ht="15.3" x14ac:dyDescent="0.55000000000000004">
      <c r="C187" s="319"/>
      <c r="D187" s="343" t="s">
        <v>155</v>
      </c>
      <c r="E187" s="577" t="str">
        <f>IFERROR(IF(SUM(H167:O167)=SUM(H168:O168),TEXT(ROUND(SUM(H167:O167)/E181,2),"#.#0"),TEXT(ROUND(SUM(H167:O167)/E181,2),"#.#0 - ")&amp;TEXT(ROUND(SUM(H168:O168)/E181,2),"#.#0")),0)</f>
        <v>3.24 - 4.08</v>
      </c>
      <c r="F187" s="578"/>
      <c r="G187" s="319"/>
      <c r="H187" s="319"/>
      <c r="I187" s="319"/>
      <c r="J187" s="319"/>
    </row>
    <row r="188" spans="1:19" x14ac:dyDescent="0.55000000000000004">
      <c r="C188" s="319"/>
      <c r="D188" s="319"/>
      <c r="E188" s="319"/>
      <c r="F188" s="319"/>
      <c r="G188" s="319"/>
      <c r="H188" s="319"/>
      <c r="I188" s="319"/>
      <c r="J188" s="319"/>
    </row>
    <row r="189" spans="1:19" x14ac:dyDescent="0.55000000000000004">
      <c r="C189" s="319"/>
      <c r="D189" s="319"/>
      <c r="E189" s="319"/>
      <c r="F189" s="319"/>
      <c r="G189" s="319"/>
      <c r="H189" s="319"/>
      <c r="I189" s="319"/>
      <c r="J189" s="319"/>
    </row>
    <row r="190" spans="1:19" ht="22.2" x14ac:dyDescent="0.7">
      <c r="C190" s="353" t="s">
        <v>192</v>
      </c>
    </row>
    <row r="192" spans="1:19" x14ac:dyDescent="0.55000000000000004">
      <c r="C192" s="319"/>
      <c r="D192" s="319"/>
      <c r="E192" s="319"/>
      <c r="F192" s="319"/>
      <c r="G192" s="319"/>
      <c r="H192" s="319"/>
      <c r="I192" s="319"/>
      <c r="J192" s="319"/>
    </row>
    <row r="193" spans="3:10" x14ac:dyDescent="0.55000000000000004">
      <c r="C193" s="319"/>
      <c r="D193" s="319"/>
      <c r="E193" s="319"/>
      <c r="F193" s="319"/>
      <c r="G193" s="319"/>
      <c r="H193" s="319"/>
      <c r="I193" s="319"/>
      <c r="J193" s="319"/>
    </row>
    <row r="194" spans="3:10" x14ac:dyDescent="0.55000000000000004">
      <c r="C194" s="319"/>
      <c r="D194" s="319"/>
      <c r="E194" s="319"/>
      <c r="F194" s="319"/>
      <c r="G194" s="319"/>
      <c r="H194" s="319"/>
      <c r="I194" s="319"/>
      <c r="J194" s="319"/>
    </row>
    <row r="195" spans="3:10" x14ac:dyDescent="0.55000000000000004">
      <c r="C195" s="319"/>
      <c r="D195" s="319"/>
      <c r="E195" s="319"/>
      <c r="F195" s="319"/>
      <c r="G195" s="319"/>
      <c r="H195" s="319"/>
      <c r="I195" s="319"/>
      <c r="J195" s="319"/>
    </row>
    <row r="196" spans="3:10" x14ac:dyDescent="0.55000000000000004">
      <c r="C196" s="319"/>
      <c r="D196" s="319"/>
      <c r="E196" s="319"/>
      <c r="F196" s="319"/>
      <c r="G196" s="319"/>
      <c r="H196" s="319"/>
      <c r="I196" s="319"/>
      <c r="J196" s="319"/>
    </row>
    <row r="197" spans="3:10" x14ac:dyDescent="0.55000000000000004">
      <c r="C197" s="319"/>
      <c r="D197" s="319"/>
      <c r="E197" s="319"/>
      <c r="F197" s="319"/>
      <c r="G197" s="319"/>
      <c r="H197" s="319"/>
      <c r="I197" s="319"/>
      <c r="J197" s="319"/>
    </row>
    <row r="198" spans="3:10" x14ac:dyDescent="0.55000000000000004">
      <c r="C198" s="319"/>
      <c r="D198" s="319"/>
      <c r="E198" s="319"/>
      <c r="F198" s="319"/>
      <c r="G198" s="319"/>
      <c r="H198" s="319"/>
      <c r="I198" s="319"/>
      <c r="J198" s="319"/>
    </row>
    <row r="199" spans="3:10" x14ac:dyDescent="0.55000000000000004">
      <c r="C199" s="319"/>
      <c r="D199" s="319"/>
      <c r="E199" s="319"/>
      <c r="F199" s="319"/>
      <c r="G199" s="319"/>
      <c r="H199" s="319"/>
      <c r="I199" s="319"/>
      <c r="J199" s="319"/>
    </row>
    <row r="200" spans="3:10" x14ac:dyDescent="0.55000000000000004">
      <c r="C200" s="319"/>
      <c r="D200" s="319"/>
      <c r="E200" s="319"/>
      <c r="F200" s="319"/>
      <c r="G200" s="319"/>
      <c r="H200" s="319"/>
      <c r="I200" s="319"/>
      <c r="J200" s="319"/>
    </row>
    <row r="201" spans="3:10" x14ac:dyDescent="0.55000000000000004">
      <c r="C201" s="319"/>
      <c r="D201" s="319"/>
      <c r="E201" s="319"/>
      <c r="F201" s="319"/>
      <c r="G201" s="319"/>
      <c r="H201" s="319"/>
      <c r="I201" s="319"/>
      <c r="J201" s="319"/>
    </row>
    <row r="202" spans="3:10" x14ac:dyDescent="0.55000000000000004">
      <c r="C202" s="319"/>
      <c r="D202" s="319"/>
      <c r="E202" s="319"/>
      <c r="F202" s="319"/>
      <c r="G202" s="319"/>
      <c r="H202" s="319"/>
      <c r="I202" s="319"/>
      <c r="J202" s="319"/>
    </row>
    <row r="203" spans="3:10" x14ac:dyDescent="0.55000000000000004">
      <c r="C203" s="319"/>
      <c r="D203" s="319"/>
      <c r="E203" s="319"/>
      <c r="F203" s="319"/>
      <c r="G203" s="319"/>
      <c r="H203" s="319"/>
      <c r="I203" s="319"/>
      <c r="J203" s="319"/>
    </row>
    <row r="204" spans="3:10" x14ac:dyDescent="0.55000000000000004">
      <c r="C204" s="319"/>
      <c r="D204" s="319"/>
      <c r="E204" s="319"/>
      <c r="F204" s="319"/>
      <c r="G204" s="319"/>
      <c r="H204" s="319"/>
      <c r="I204" s="319"/>
      <c r="J204" s="319"/>
    </row>
    <row r="205" spans="3:10" x14ac:dyDescent="0.55000000000000004">
      <c r="C205" s="319"/>
      <c r="D205" s="319"/>
      <c r="E205" s="319"/>
      <c r="F205" s="319"/>
      <c r="G205" s="319"/>
      <c r="H205" s="319"/>
      <c r="I205" s="319"/>
      <c r="J205" s="319"/>
    </row>
    <row r="206" spans="3:10" x14ac:dyDescent="0.55000000000000004">
      <c r="C206" s="319"/>
      <c r="D206" s="319"/>
      <c r="E206" s="319"/>
      <c r="F206" s="319"/>
      <c r="G206" s="319"/>
      <c r="H206" s="319"/>
      <c r="I206" s="319"/>
      <c r="J206" s="319"/>
    </row>
    <row r="207" spans="3:10" x14ac:dyDescent="0.55000000000000004">
      <c r="C207" s="319"/>
      <c r="D207" s="319"/>
      <c r="E207" s="319"/>
      <c r="F207" s="319"/>
      <c r="G207" s="319"/>
      <c r="H207" s="319"/>
      <c r="I207" s="319"/>
      <c r="J207" s="319"/>
    </row>
    <row r="208" spans="3:10" x14ac:dyDescent="0.55000000000000004">
      <c r="C208" s="319"/>
      <c r="D208" s="319"/>
      <c r="E208" s="319"/>
      <c r="F208" s="319"/>
      <c r="G208" s="319"/>
      <c r="H208" s="319"/>
      <c r="I208" s="319"/>
      <c r="J208" s="319"/>
    </row>
    <row r="209" spans="1:16" x14ac:dyDescent="0.55000000000000004">
      <c r="C209" s="319"/>
      <c r="D209" s="319"/>
      <c r="E209" s="319"/>
      <c r="F209" s="319"/>
      <c r="G209" s="319"/>
      <c r="H209" s="319"/>
      <c r="I209" s="319"/>
      <c r="J209" s="319"/>
    </row>
    <row r="210" spans="1:16" x14ac:dyDescent="0.55000000000000004">
      <c r="C210" s="319"/>
      <c r="D210" s="319"/>
      <c r="E210" s="319"/>
      <c r="F210" s="319"/>
      <c r="G210" s="319"/>
      <c r="H210" s="319"/>
      <c r="I210" s="319"/>
      <c r="J210" s="319"/>
    </row>
    <row r="211" spans="1:16" x14ac:dyDescent="0.55000000000000004">
      <c r="C211" s="319"/>
      <c r="D211" s="319"/>
      <c r="E211" s="319"/>
      <c r="F211" s="319"/>
      <c r="G211" s="319"/>
      <c r="H211" s="319"/>
      <c r="I211" s="319"/>
      <c r="J211" s="319"/>
    </row>
    <row r="212" spans="1:16" ht="15" x14ac:dyDescent="0.55000000000000004">
      <c r="C212" s="354" t="s">
        <v>193</v>
      </c>
      <c r="D212" s="354"/>
      <c r="E212" s="355"/>
      <c r="F212" s="319"/>
      <c r="G212" s="319"/>
      <c r="H212" s="319"/>
      <c r="I212" s="319"/>
      <c r="J212" s="319"/>
    </row>
    <row r="213" spans="1:16" ht="20.25" customHeight="1" x14ac:dyDescent="0.55000000000000004">
      <c r="C213" s="319"/>
      <c r="D213" s="570" t="s">
        <v>194</v>
      </c>
      <c r="E213" s="570"/>
      <c r="F213" s="570"/>
      <c r="G213" s="570"/>
      <c r="H213" s="570"/>
      <c r="I213" s="570"/>
      <c r="J213" s="570"/>
      <c r="K213" s="570"/>
      <c r="L213" s="570"/>
      <c r="M213" s="570"/>
      <c r="N213" s="570"/>
      <c r="O213" s="570"/>
    </row>
    <row r="214" spans="1:16" ht="20.25" customHeight="1" x14ac:dyDescent="0.55000000000000004">
      <c r="C214" s="319"/>
      <c r="D214" s="570" t="s">
        <v>195</v>
      </c>
      <c r="E214" s="570"/>
      <c r="F214" s="570"/>
      <c r="G214" s="570"/>
      <c r="H214" s="570"/>
      <c r="I214" s="570"/>
      <c r="J214" s="570"/>
      <c r="K214" s="570"/>
      <c r="L214" s="570"/>
      <c r="M214" s="570"/>
      <c r="N214" s="570"/>
      <c r="O214" s="570"/>
    </row>
    <row r="215" spans="1:16" ht="19.5" customHeight="1" x14ac:dyDescent="0.55000000000000004">
      <c r="C215" s="319"/>
      <c r="D215" s="570" t="s">
        <v>196</v>
      </c>
      <c r="E215" s="570"/>
      <c r="F215" s="570"/>
      <c r="G215" s="570"/>
      <c r="H215" s="570"/>
      <c r="I215" s="570"/>
      <c r="J215" s="570"/>
      <c r="K215" s="570"/>
      <c r="L215" s="570"/>
      <c r="M215" s="570"/>
      <c r="N215" s="570"/>
      <c r="O215" s="570"/>
    </row>
    <row r="216" spans="1:16" ht="20.25" customHeight="1" x14ac:dyDescent="0.55000000000000004">
      <c r="C216" s="319"/>
      <c r="D216" s="570" t="s">
        <v>197</v>
      </c>
      <c r="E216" s="570"/>
      <c r="F216" s="570"/>
      <c r="G216" s="570"/>
      <c r="H216" s="570"/>
      <c r="I216" s="570"/>
      <c r="J216" s="570"/>
      <c r="K216" s="570"/>
      <c r="L216" s="570"/>
      <c r="M216" s="570"/>
      <c r="N216" s="570"/>
      <c r="O216" s="570"/>
    </row>
    <row r="217" spans="1:16" x14ac:dyDescent="0.55000000000000004">
      <c r="C217" s="319"/>
      <c r="D217" s="319"/>
      <c r="E217" s="319"/>
      <c r="F217" s="319"/>
      <c r="G217" s="319"/>
      <c r="H217" s="319"/>
      <c r="I217" s="319"/>
      <c r="J217" s="319"/>
    </row>
    <row r="218" spans="1:16" x14ac:dyDescent="0.55000000000000004">
      <c r="C218" s="319"/>
      <c r="D218" s="319"/>
      <c r="E218" s="319"/>
      <c r="F218" s="319"/>
      <c r="G218" s="319"/>
      <c r="H218" s="319"/>
      <c r="I218" s="319"/>
      <c r="J218" s="319"/>
    </row>
    <row r="219" spans="1:16" s="321" customFormat="1" ht="15.75" customHeight="1" x14ac:dyDescent="0.55000000000000004">
      <c r="A219" s="313"/>
      <c r="B219" s="271"/>
      <c r="C219" s="626" t="s">
        <v>115</v>
      </c>
      <c r="D219" s="623" t="s">
        <v>101</v>
      </c>
      <c r="E219" s="625" t="s">
        <v>102</v>
      </c>
      <c r="F219" s="625" t="s">
        <v>103</v>
      </c>
      <c r="G219" s="625" t="s">
        <v>98</v>
      </c>
      <c r="H219" s="625" t="s">
        <v>104</v>
      </c>
      <c r="I219" s="625"/>
      <c r="J219" s="625"/>
      <c r="K219" s="625"/>
      <c r="L219" s="625"/>
      <c r="M219" s="625"/>
      <c r="N219" s="625"/>
      <c r="O219" s="625"/>
      <c r="P219" s="623" t="s">
        <v>105</v>
      </c>
    </row>
    <row r="220" spans="1:16" s="321" customFormat="1" ht="15.75" customHeight="1" x14ac:dyDescent="0.55000000000000004">
      <c r="A220" s="313"/>
      <c r="B220" s="271"/>
      <c r="C220" s="626"/>
      <c r="D220" s="623"/>
      <c r="E220" s="625"/>
      <c r="F220" s="625"/>
      <c r="G220" s="625"/>
      <c r="H220" s="624" t="s">
        <v>106</v>
      </c>
      <c r="I220" s="624"/>
      <c r="J220" s="624"/>
      <c r="K220" s="624"/>
      <c r="L220" s="624"/>
      <c r="M220" s="624"/>
      <c r="N220" s="623" t="s">
        <v>107</v>
      </c>
      <c r="O220" s="623" t="s">
        <v>108</v>
      </c>
      <c r="P220" s="623"/>
    </row>
    <row r="221" spans="1:16" s="321" customFormat="1" ht="15.75" customHeight="1" x14ac:dyDescent="0.55000000000000004">
      <c r="A221" s="313"/>
      <c r="B221" s="271"/>
      <c r="C221" s="626"/>
      <c r="D221" s="623"/>
      <c r="E221" s="625"/>
      <c r="F221" s="625"/>
      <c r="G221" s="625"/>
      <c r="H221" s="624" t="s">
        <v>109</v>
      </c>
      <c r="I221" s="624"/>
      <c r="J221" s="624"/>
      <c r="K221" s="624"/>
      <c r="L221" s="624" t="s">
        <v>110</v>
      </c>
      <c r="M221" s="624" t="s">
        <v>111</v>
      </c>
      <c r="N221" s="623"/>
      <c r="O221" s="623"/>
      <c r="P221" s="623"/>
    </row>
    <row r="222" spans="1:16" s="321" customFormat="1" x14ac:dyDescent="0.55000000000000004">
      <c r="A222" s="313"/>
      <c r="B222" s="271"/>
      <c r="C222" s="626"/>
      <c r="D222" s="623"/>
      <c r="E222" s="625"/>
      <c r="F222" s="625"/>
      <c r="G222" s="625"/>
      <c r="H222" s="465" t="s">
        <v>112</v>
      </c>
      <c r="I222" s="465" t="s">
        <v>63</v>
      </c>
      <c r="J222" s="465" t="s">
        <v>113</v>
      </c>
      <c r="K222" s="465" t="s">
        <v>114</v>
      </c>
      <c r="L222" s="624"/>
      <c r="M222" s="624"/>
      <c r="N222" s="623"/>
      <c r="O222" s="623"/>
      <c r="P222" s="623"/>
    </row>
    <row r="223" spans="1:16" s="321" customFormat="1" x14ac:dyDescent="0.55000000000000004">
      <c r="A223" s="313"/>
      <c r="B223" s="271"/>
      <c r="C223" s="626"/>
      <c r="D223" s="627" t="s">
        <v>116</v>
      </c>
      <c r="E223" s="627"/>
      <c r="F223" s="627"/>
      <c r="G223" s="359" t="s">
        <v>117</v>
      </c>
      <c r="H223" s="614"/>
      <c r="I223" s="614"/>
      <c r="J223" s="614"/>
      <c r="K223" s="614"/>
      <c r="L223" s="614"/>
      <c r="M223" s="614"/>
      <c r="N223" s="614"/>
      <c r="O223" s="614"/>
      <c r="P223" s="323"/>
    </row>
    <row r="224" spans="1:16" s="321" customFormat="1" ht="18.75" hidden="1" customHeight="1" x14ac:dyDescent="0.55000000000000004">
      <c r="A224" s="313"/>
      <c r="B224" s="271"/>
      <c r="C224" s="626"/>
      <c r="D224" s="372" t="s">
        <v>118</v>
      </c>
      <c r="E224" s="324">
        <v>0</v>
      </c>
      <c r="F224" s="325" t="s">
        <v>119</v>
      </c>
      <c r="G224" s="359" t="s">
        <v>117</v>
      </c>
      <c r="H224" s="466">
        <f>$E224*'Social, YP &amp; kinship care'!$L$7</f>
        <v>0</v>
      </c>
      <c r="I224" s="326"/>
      <c r="J224" s="326"/>
      <c r="K224" s="326"/>
      <c r="L224" s="326"/>
      <c r="M224" s="326"/>
      <c r="N224" s="326"/>
      <c r="O224" s="326"/>
      <c r="P224" s="323"/>
    </row>
    <row r="225" spans="1:16" s="321" customFormat="1" x14ac:dyDescent="0.55000000000000004">
      <c r="A225" s="313"/>
      <c r="B225" s="271"/>
      <c r="C225" s="626"/>
      <c r="D225" s="372" t="s">
        <v>120</v>
      </c>
      <c r="E225" s="324">
        <v>5</v>
      </c>
      <c r="F225" s="325" t="s">
        <v>119</v>
      </c>
      <c r="G225" s="359" t="s">
        <v>117</v>
      </c>
      <c r="H225" s="466">
        <f>$E225*'Social, YP &amp; kinship care'!$L$9</f>
        <v>52000</v>
      </c>
      <c r="I225" s="326"/>
      <c r="J225" s="326"/>
      <c r="K225" s="326"/>
      <c r="L225" s="326"/>
      <c r="M225" s="326"/>
      <c r="N225" s="326"/>
      <c r="O225" s="326"/>
      <c r="P225" s="323" t="s">
        <v>198</v>
      </c>
    </row>
    <row r="226" spans="1:16" s="321" customFormat="1" hidden="1" x14ac:dyDescent="0.55000000000000004">
      <c r="A226" s="313"/>
      <c r="B226" s="271"/>
      <c r="C226" s="626"/>
      <c r="D226" s="372" t="s">
        <v>121</v>
      </c>
      <c r="E226" s="324">
        <v>0</v>
      </c>
      <c r="F226" s="325" t="s">
        <v>119</v>
      </c>
      <c r="G226" s="359" t="s">
        <v>117</v>
      </c>
      <c r="H226" s="466">
        <f>$E226*'Social, YP &amp; kinship care'!$L$10</f>
        <v>0</v>
      </c>
      <c r="I226" s="326"/>
      <c r="J226" s="326"/>
      <c r="K226" s="326"/>
      <c r="L226" s="326"/>
      <c r="M226" s="326"/>
      <c r="N226" s="326"/>
      <c r="O226" s="326"/>
      <c r="P226" s="323"/>
    </row>
    <row r="227" spans="1:16" s="321" customFormat="1" hidden="1" x14ac:dyDescent="0.55000000000000004">
      <c r="A227" s="313"/>
      <c r="B227" s="271"/>
      <c r="C227" s="626"/>
      <c r="D227" s="372" t="s">
        <v>122</v>
      </c>
      <c r="E227" s="324">
        <v>0</v>
      </c>
      <c r="F227" s="325" t="s">
        <v>119</v>
      </c>
      <c r="G227" s="359" t="s">
        <v>117</v>
      </c>
      <c r="H227" s="466">
        <f>$E227*'Social, YP &amp; kinship care'!$L$11</f>
        <v>0</v>
      </c>
      <c r="I227" s="326"/>
      <c r="J227" s="326"/>
      <c r="K227" s="326"/>
      <c r="L227" s="326"/>
      <c r="M227" s="326"/>
      <c r="N227" s="326"/>
      <c r="O227" s="326"/>
      <c r="P227" s="323"/>
    </row>
    <row r="228" spans="1:16" s="321" customFormat="1" hidden="1" x14ac:dyDescent="0.55000000000000004">
      <c r="A228" s="313"/>
      <c r="B228" s="271"/>
      <c r="C228" s="626"/>
      <c r="D228" s="372" t="s">
        <v>123</v>
      </c>
      <c r="E228" s="324">
        <v>0</v>
      </c>
      <c r="F228" s="325" t="s">
        <v>119</v>
      </c>
      <c r="G228" s="359" t="s">
        <v>117</v>
      </c>
      <c r="H228" s="466">
        <f>$E228*'Social, YP &amp; kinship care'!$L$12</f>
        <v>0</v>
      </c>
      <c r="I228" s="326"/>
      <c r="J228" s="326"/>
      <c r="K228" s="326"/>
      <c r="L228" s="326"/>
      <c r="M228" s="326"/>
      <c r="N228" s="326"/>
      <c r="O228" s="326"/>
      <c r="P228" s="323"/>
    </row>
    <row r="229" spans="1:16" s="321" customFormat="1" x14ac:dyDescent="0.55000000000000004">
      <c r="A229" s="313"/>
      <c r="B229" s="271"/>
      <c r="C229" s="626"/>
      <c r="D229" s="469" t="s">
        <v>124</v>
      </c>
      <c r="E229" s="324">
        <v>1</v>
      </c>
      <c r="F229" s="325" t="s">
        <v>119</v>
      </c>
      <c r="G229" s="359" t="s">
        <v>117</v>
      </c>
      <c r="H229" s="326"/>
      <c r="I229" s="326"/>
      <c r="J229" s="326"/>
      <c r="K229" s="326"/>
      <c r="L229" s="326"/>
      <c r="M229" s="326"/>
      <c r="N229" s="466">
        <f>E229*'Social, YP &amp; kinship care'!$K$20</f>
        <v>5900</v>
      </c>
      <c r="O229" s="326"/>
      <c r="P229" s="323"/>
    </row>
    <row r="230" spans="1:16" s="321" customFormat="1" x14ac:dyDescent="0.55000000000000004">
      <c r="A230" s="313"/>
      <c r="B230" s="271"/>
      <c r="C230" s="626"/>
      <c r="D230" s="469" t="s">
        <v>125</v>
      </c>
      <c r="E230" s="325" t="s">
        <v>119</v>
      </c>
      <c r="F230" s="324">
        <v>0</v>
      </c>
      <c r="G230" s="359" t="s">
        <v>117</v>
      </c>
      <c r="H230" s="326"/>
      <c r="I230" s="326"/>
      <c r="J230" s="326"/>
      <c r="K230" s="326"/>
      <c r="L230" s="326"/>
      <c r="M230" s="326"/>
      <c r="N230" s="466">
        <f>F230*'Social, YP &amp; kinship care'!$K$21</f>
        <v>0</v>
      </c>
      <c r="O230" s="326"/>
      <c r="P230" s="323"/>
    </row>
    <row r="231" spans="1:16" s="321" customFormat="1" x14ac:dyDescent="0.55000000000000004">
      <c r="A231" s="313"/>
      <c r="B231" s="271"/>
      <c r="C231" s="626"/>
      <c r="D231" s="469" t="s">
        <v>126</v>
      </c>
      <c r="E231" s="324">
        <v>2</v>
      </c>
      <c r="F231" s="325" t="s">
        <v>119</v>
      </c>
      <c r="G231" s="360" t="s">
        <v>127</v>
      </c>
      <c r="H231" s="466">
        <f>$E231*(Education!$L$10)</f>
        <v>4800</v>
      </c>
      <c r="I231" s="466">
        <f>$E231*(Education!$L$7)</f>
        <v>20400</v>
      </c>
      <c r="J231" s="326"/>
      <c r="K231" s="326"/>
      <c r="L231" s="466">
        <f>E231*Education!$L$11</f>
        <v>200</v>
      </c>
      <c r="M231" s="326"/>
      <c r="N231" s="326"/>
      <c r="O231" s="326"/>
      <c r="P231" s="323"/>
    </row>
    <row r="232" spans="1:16" s="321" customFormat="1" hidden="1" x14ac:dyDescent="0.55000000000000004">
      <c r="A232" s="313"/>
      <c r="B232" s="271"/>
      <c r="C232" s="626"/>
      <c r="D232" s="469" t="s">
        <v>128</v>
      </c>
      <c r="E232" s="324">
        <v>0</v>
      </c>
      <c r="F232" s="325" t="s">
        <v>119</v>
      </c>
      <c r="G232" s="360" t="s">
        <v>127</v>
      </c>
      <c r="H232" s="466">
        <f>E232*(Education!$L$16)</f>
        <v>0</v>
      </c>
      <c r="I232" s="466">
        <f>E232*(Education!$L$13)</f>
        <v>0</v>
      </c>
      <c r="J232" s="326"/>
      <c r="K232" s="326"/>
      <c r="L232" s="466">
        <f>E232*(Education!$L$17)</f>
        <v>0</v>
      </c>
      <c r="M232" s="326"/>
      <c r="N232" s="326"/>
      <c r="O232" s="326"/>
      <c r="P232" s="323"/>
    </row>
    <row r="233" spans="1:16" s="321" customFormat="1" hidden="1" x14ac:dyDescent="0.55000000000000004">
      <c r="A233" s="313"/>
      <c r="B233" s="271"/>
      <c r="C233" s="626"/>
      <c r="D233" s="469" t="s">
        <v>129</v>
      </c>
      <c r="E233" s="324">
        <v>0</v>
      </c>
      <c r="F233" s="325" t="s">
        <v>119</v>
      </c>
      <c r="G233" s="361" t="s">
        <v>24</v>
      </c>
      <c r="H233" s="326"/>
      <c r="I233" s="326"/>
      <c r="J233" s="326"/>
      <c r="K233" s="326"/>
      <c r="L233" s="466">
        <f>E233*(Disorders!$L$8+Disorders!$L$10+Disorders!$L$11)</f>
        <v>0</v>
      </c>
      <c r="M233" s="326"/>
      <c r="N233" s="326"/>
      <c r="O233" s="466">
        <f>E233*(Disorders!$N$8+Disorders!$N$9)</f>
        <v>0</v>
      </c>
      <c r="P233" s="323"/>
    </row>
    <row r="234" spans="1:16" s="321" customFormat="1" hidden="1" x14ac:dyDescent="0.55000000000000004">
      <c r="A234" s="313"/>
      <c r="B234" s="271"/>
      <c r="C234" s="626"/>
      <c r="D234" s="469" t="s">
        <v>130</v>
      </c>
      <c r="E234" s="324">
        <v>0</v>
      </c>
      <c r="F234" s="325" t="s">
        <v>119</v>
      </c>
      <c r="G234" s="361" t="s">
        <v>24</v>
      </c>
      <c r="H234" s="326"/>
      <c r="I234" s="326"/>
      <c r="J234" s="326"/>
      <c r="K234" s="326"/>
      <c r="L234" s="466">
        <f>E234*(Disorders!$L$16+Disorders!$L$17+Disorders!$L$18+Disorders!$L$19)</f>
        <v>0</v>
      </c>
      <c r="M234" s="326"/>
      <c r="N234" s="466">
        <f>E234*(Disorders!$M$19)</f>
        <v>0</v>
      </c>
      <c r="O234" s="466">
        <f>E234*Disorders!$N$16</f>
        <v>0</v>
      </c>
      <c r="P234" s="323"/>
    </row>
    <row r="235" spans="1:16" s="321" customFormat="1" hidden="1" x14ac:dyDescent="0.55000000000000004">
      <c r="A235" s="313"/>
      <c r="B235" s="271"/>
      <c r="C235" s="626"/>
      <c r="D235" s="469" t="s">
        <v>131</v>
      </c>
      <c r="E235" s="324">
        <v>0</v>
      </c>
      <c r="F235" s="325" t="s">
        <v>119</v>
      </c>
      <c r="G235" s="361" t="s">
        <v>24</v>
      </c>
      <c r="H235" s="466">
        <f>$E235*(Disorders!$L$23)</f>
        <v>0</v>
      </c>
      <c r="I235" s="466">
        <f>$E235*(Disorders!$L$21)</f>
        <v>0</v>
      </c>
      <c r="J235" s="326"/>
      <c r="K235" s="326"/>
      <c r="L235" s="466">
        <f>$E235*Disorders!$L$22</f>
        <v>0</v>
      </c>
      <c r="M235" s="326"/>
      <c r="N235" s="326"/>
      <c r="O235" s="326"/>
      <c r="P235" s="323"/>
    </row>
    <row r="236" spans="1:16" s="321" customFormat="1" hidden="1" x14ac:dyDescent="0.55000000000000004">
      <c r="A236" s="313"/>
      <c r="B236" s="271"/>
      <c r="C236" s="626"/>
      <c r="D236" s="469" t="s">
        <v>132</v>
      </c>
      <c r="E236" s="324">
        <v>0</v>
      </c>
      <c r="F236" s="325" t="s">
        <v>119</v>
      </c>
      <c r="G236" s="361" t="s">
        <v>24</v>
      </c>
      <c r="H236" s="466">
        <f>$E236*Disorders!$L$26</f>
        <v>0</v>
      </c>
      <c r="I236" s="466">
        <f>$E236*Disorders!$L$28</f>
        <v>0</v>
      </c>
      <c r="J236" s="326"/>
      <c r="K236" s="326"/>
      <c r="L236" s="466">
        <f>$E236*Disorders!$L$25</f>
        <v>0</v>
      </c>
      <c r="M236" s="326"/>
      <c r="N236" s="326"/>
      <c r="O236" s="326"/>
      <c r="P236" s="323"/>
    </row>
    <row r="237" spans="1:16" s="321" customFormat="1" hidden="1" x14ac:dyDescent="0.55000000000000004">
      <c r="A237" s="313"/>
      <c r="B237" s="271"/>
      <c r="C237" s="626"/>
      <c r="D237" s="469" t="s">
        <v>82</v>
      </c>
      <c r="E237" s="324">
        <v>0</v>
      </c>
      <c r="F237" s="324">
        <v>0</v>
      </c>
      <c r="G237" s="362" t="s">
        <v>165</v>
      </c>
      <c r="H237" s="326"/>
      <c r="I237" s="326"/>
      <c r="J237" s="466">
        <f>IF(E237&gt;0,1*Homelessness!$L$6,0)</f>
        <v>0</v>
      </c>
      <c r="K237" s="326"/>
      <c r="L237" s="466">
        <f>E237*(Homelessness!$L$13+Homelessness!$L$14)+F237*Homelessness!$L$8</f>
        <v>0</v>
      </c>
      <c r="M237" s="466" t="e">
        <f>F237*Homelessness!#REF!</f>
        <v>#REF!</v>
      </c>
      <c r="N237" s="326"/>
      <c r="O237" s="466">
        <f>E237*Homelessness!$N$15+F237*Homelessness!$N$10</f>
        <v>0</v>
      </c>
      <c r="P237" s="323"/>
    </row>
    <row r="238" spans="1:16" s="321" customFormat="1" hidden="1" x14ac:dyDescent="0.55000000000000004">
      <c r="A238" s="313"/>
      <c r="B238" s="271"/>
      <c r="C238" s="626"/>
      <c r="D238" s="627" t="s">
        <v>133</v>
      </c>
      <c r="E238" s="627"/>
      <c r="F238" s="627"/>
      <c r="G238" s="344" t="s">
        <v>134</v>
      </c>
      <c r="H238" s="614"/>
      <c r="I238" s="614"/>
      <c r="J238" s="614"/>
      <c r="K238" s="614"/>
      <c r="L238" s="614"/>
      <c r="M238" s="614"/>
      <c r="N238" s="614"/>
      <c r="O238" s="614"/>
      <c r="P238" s="323"/>
    </row>
    <row r="239" spans="1:16" s="321" customFormat="1" hidden="1" x14ac:dyDescent="0.55000000000000004">
      <c r="A239" s="313"/>
      <c r="B239" s="271"/>
      <c r="C239" s="626"/>
      <c r="D239" s="372" t="s">
        <v>166</v>
      </c>
      <c r="E239" s="324">
        <v>0</v>
      </c>
      <c r="F239" s="325" t="s">
        <v>119</v>
      </c>
      <c r="G239" s="344" t="s">
        <v>134</v>
      </c>
      <c r="H239" s="326"/>
      <c r="I239" s="326"/>
      <c r="J239" s="326"/>
      <c r="K239" s="326"/>
      <c r="L239" s="466">
        <f>E239*'NHS &amp; LA treatment'!$L$18</f>
        <v>0</v>
      </c>
      <c r="M239" s="326"/>
      <c r="N239" s="326"/>
      <c r="O239" s="326"/>
      <c r="P239" s="323"/>
    </row>
    <row r="240" spans="1:16" s="321" customFormat="1" hidden="1" x14ac:dyDescent="0.55000000000000004">
      <c r="A240" s="313"/>
      <c r="B240" s="271"/>
      <c r="C240" s="626"/>
      <c r="D240" s="372" t="s">
        <v>167</v>
      </c>
      <c r="E240" s="324">
        <v>0</v>
      </c>
      <c r="F240" s="325" t="s">
        <v>119</v>
      </c>
      <c r="G240" s="344" t="s">
        <v>134</v>
      </c>
      <c r="H240" s="326"/>
      <c r="I240" s="326"/>
      <c r="J240" s="326"/>
      <c r="K240" s="326"/>
      <c r="L240" s="466">
        <f>E240*'NHS &amp; LA treatment'!$L$19</f>
        <v>0</v>
      </c>
      <c r="M240" s="326"/>
      <c r="N240" s="326"/>
      <c r="O240" s="326"/>
      <c r="P240" s="323"/>
    </row>
    <row r="241" spans="1:16" s="321" customFormat="1" hidden="1" x14ac:dyDescent="0.55000000000000004">
      <c r="A241" s="313"/>
      <c r="B241" s="271"/>
      <c r="C241" s="626"/>
      <c r="D241" s="469" t="s">
        <v>135</v>
      </c>
      <c r="E241" s="325" t="s">
        <v>119</v>
      </c>
      <c r="F241" s="324">
        <v>0</v>
      </c>
      <c r="G241" s="363" t="s">
        <v>136</v>
      </c>
      <c r="H241" s="326"/>
      <c r="I241" s="326"/>
      <c r="J241" s="326"/>
      <c r="K241" s="326"/>
      <c r="L241" s="466">
        <f>F241*'DA &amp; crime'!$L$7</f>
        <v>0</v>
      </c>
      <c r="M241" s="466">
        <f>F241*'DA &amp; crime'!$L$10</f>
        <v>0</v>
      </c>
      <c r="N241" s="466">
        <f>F241*('DA &amp; crime'!$M$11+'DA &amp; crime'!$M$8)</f>
        <v>0</v>
      </c>
      <c r="O241" s="466">
        <f>F241*'DA &amp; crime'!$N$9</f>
        <v>0</v>
      </c>
      <c r="P241" s="323"/>
    </row>
    <row r="242" spans="1:16" s="321" customFormat="1" hidden="1" x14ac:dyDescent="0.55000000000000004">
      <c r="A242" s="313"/>
      <c r="B242" s="271"/>
      <c r="C242" s="626"/>
      <c r="D242" s="627" t="s">
        <v>35</v>
      </c>
      <c r="E242" s="627" t="s">
        <v>137</v>
      </c>
      <c r="F242" s="627" t="s">
        <v>137</v>
      </c>
      <c r="G242" s="363" t="s">
        <v>136</v>
      </c>
      <c r="H242" s="326"/>
      <c r="I242" s="326"/>
      <c r="J242" s="326"/>
      <c r="K242" s="326"/>
      <c r="L242" s="326"/>
      <c r="M242" s="326"/>
      <c r="N242" s="326"/>
      <c r="O242" s="326"/>
      <c r="P242" s="323"/>
    </row>
    <row r="243" spans="1:16" s="255" customFormat="1" hidden="1" x14ac:dyDescent="0.55000000000000004">
      <c r="A243" s="313"/>
      <c r="C243" s="626"/>
      <c r="D243" s="372" t="s">
        <v>138</v>
      </c>
      <c r="E243" s="325" t="s">
        <v>119</v>
      </c>
      <c r="F243" s="320">
        <v>0</v>
      </c>
      <c r="G243" s="317"/>
      <c r="H243" s="317"/>
      <c r="I243" s="317"/>
      <c r="J243" s="317"/>
      <c r="K243" s="326"/>
      <c r="L243" s="466">
        <f>F243*AVERAGE('DA &amp; crime'!$L$13,'DA &amp; crime'!$L$19)*6</f>
        <v>0</v>
      </c>
      <c r="M243" s="466">
        <f>F243*AVERAGE('DA &amp; crime'!$L$16,'DA &amp; crime'!$L$22)*6</f>
        <v>0</v>
      </c>
      <c r="N243" s="466">
        <f>F243*AVERAGE('DA &amp; crime'!$M$14,'DA &amp; crime'!$M$17,'DA &amp; crime'!$M$20,'DA &amp; crime'!$M$23)*6</f>
        <v>0</v>
      </c>
      <c r="O243" s="466">
        <f>F243*AVERAGE('DA &amp; crime'!$N$15,'DA &amp; crime'!$N$21)*6</f>
        <v>0</v>
      </c>
      <c r="P243" s="323"/>
    </row>
    <row r="244" spans="1:16" s="321" customFormat="1" hidden="1" x14ac:dyDescent="0.55000000000000004">
      <c r="A244" s="313"/>
      <c r="B244" s="271"/>
      <c r="C244" s="626"/>
      <c r="D244" s="372" t="s">
        <v>139</v>
      </c>
      <c r="E244" s="325" t="s">
        <v>119</v>
      </c>
      <c r="F244" s="324">
        <v>0</v>
      </c>
      <c r="G244" s="363" t="s">
        <v>136</v>
      </c>
      <c r="H244" s="326"/>
      <c r="I244" s="326"/>
      <c r="J244" s="326"/>
      <c r="K244" s="326"/>
      <c r="L244" s="326"/>
      <c r="M244" s="466">
        <f>$F244*'DA &amp; crime'!$L$24*100</f>
        <v>0</v>
      </c>
      <c r="N244" s="326"/>
      <c r="O244" s="326"/>
      <c r="P244" s="323"/>
    </row>
    <row r="245" spans="1:16" s="321" customFormat="1" hidden="1" x14ac:dyDescent="0.55000000000000004">
      <c r="A245" s="313"/>
      <c r="B245" s="271"/>
      <c r="C245" s="626"/>
      <c r="D245" s="372" t="s">
        <v>140</v>
      </c>
      <c r="E245" s="325" t="s">
        <v>119</v>
      </c>
      <c r="F245" s="324">
        <v>0</v>
      </c>
      <c r="G245" s="363" t="s">
        <v>136</v>
      </c>
      <c r="H245" s="326"/>
      <c r="I245" s="326"/>
      <c r="J245" s="326"/>
      <c r="K245" s="326"/>
      <c r="L245" s="466">
        <f>F245*'DA &amp; crime'!$L$26*15</f>
        <v>0</v>
      </c>
      <c r="M245" s="466">
        <f>F245*'DA &amp; crime'!$L$29*15</f>
        <v>0</v>
      </c>
      <c r="N245" s="466">
        <f>F245*('DA &amp; crime'!$M$27+'DA &amp; crime'!$M$30)*15</f>
        <v>0</v>
      </c>
      <c r="O245" s="466">
        <f>F245*'DA &amp; crime'!$N$28*15</f>
        <v>0</v>
      </c>
      <c r="P245" s="323"/>
    </row>
    <row r="246" spans="1:16" s="321" customFormat="1" hidden="1" x14ac:dyDescent="0.55000000000000004">
      <c r="A246" s="313"/>
      <c r="B246" s="271"/>
      <c r="C246" s="626"/>
      <c r="D246" s="372" t="s">
        <v>141</v>
      </c>
      <c r="E246" s="325" t="s">
        <v>119</v>
      </c>
      <c r="F246" s="324">
        <v>0</v>
      </c>
      <c r="G246" s="363" t="s">
        <v>136</v>
      </c>
      <c r="H246" s="326"/>
      <c r="I246" s="326"/>
      <c r="J246" s="326"/>
      <c r="K246" s="326"/>
      <c r="L246" s="466">
        <f>F246*'DA &amp; crime'!$L$32*25</f>
        <v>0</v>
      </c>
      <c r="M246" s="466">
        <f>F246*'DA &amp; crime'!$L$35*25</f>
        <v>0</v>
      </c>
      <c r="N246" s="466">
        <f>F246*('DA &amp; crime'!$M$33+'DA &amp; crime'!$M$36)*25</f>
        <v>0</v>
      </c>
      <c r="O246" s="466">
        <f>F246*'DA &amp; crime'!$N$34*25</f>
        <v>0</v>
      </c>
      <c r="P246" s="323"/>
    </row>
    <row r="247" spans="1:16" s="321" customFormat="1" ht="15.3" hidden="1" x14ac:dyDescent="0.55000000000000004">
      <c r="A247" s="313"/>
      <c r="B247" s="271"/>
      <c r="C247" s="626"/>
      <c r="D247" s="372" t="s">
        <v>142</v>
      </c>
      <c r="E247" s="316" t="s">
        <v>119</v>
      </c>
      <c r="F247" s="320">
        <v>0</v>
      </c>
      <c r="G247" s="261"/>
      <c r="H247" s="317"/>
      <c r="I247" s="317"/>
      <c r="J247" s="317"/>
      <c r="K247" s="317"/>
      <c r="L247" s="317"/>
      <c r="M247" s="276">
        <f>$F247*'DA &amp; crime'!$L$44*6</f>
        <v>0</v>
      </c>
      <c r="N247" s="317"/>
      <c r="O247" s="317"/>
      <c r="P247" s="275"/>
    </row>
    <row r="248" spans="1:16" s="321" customFormat="1" x14ac:dyDescent="0.55000000000000004">
      <c r="A248" s="313"/>
      <c r="B248" s="271"/>
      <c r="C248" s="626"/>
      <c r="D248" s="628" t="s">
        <v>143</v>
      </c>
      <c r="E248" s="628"/>
      <c r="F248" s="628"/>
      <c r="G248" s="628"/>
      <c r="H248" s="338" t="s">
        <v>186</v>
      </c>
      <c r="I248" s="338" t="s">
        <v>186</v>
      </c>
      <c r="J248" s="338" t="s">
        <v>186</v>
      </c>
      <c r="K248" s="326"/>
      <c r="L248" s="338" t="s">
        <v>186</v>
      </c>
      <c r="M248" s="338" t="s">
        <v>144</v>
      </c>
      <c r="N248" s="338" t="s">
        <v>186</v>
      </c>
      <c r="O248" s="338" t="s">
        <v>187</v>
      </c>
      <c r="P248" s="323"/>
    </row>
    <row r="249" spans="1:16" s="321" customFormat="1" x14ac:dyDescent="0.55000000000000004">
      <c r="A249" s="313"/>
      <c r="B249" s="271"/>
      <c r="C249" s="626"/>
      <c r="D249" s="628" t="s">
        <v>188</v>
      </c>
      <c r="E249" s="628"/>
      <c r="F249" s="628"/>
      <c r="G249" s="628"/>
      <c r="H249" s="337">
        <f>IF(H248="No","(£"&amp;(ROUND(SMALL(H224:H247,COUNTIF(H224:H247,0)+1),0))&amp;" - £"&amp;(ROUND(MAX(H224:H247),0))&amp;")",SUM(H224:H247))</f>
        <v>56800</v>
      </c>
      <c r="I249" s="337">
        <f t="shared" ref="I249" si="11">IF(I248="No","(£"&amp;(ROUND(SMALL(I224:I247,COUNTIF(I224:I247,0)+1),0))&amp;" - £"&amp;(ROUND(MAX(I224:I247),0))&amp;")",SUM(I224:I247))</f>
        <v>20400</v>
      </c>
      <c r="J249" s="337">
        <f t="shared" ref="J249" si="12">IF(J248="No","(£"&amp;(ROUND(SMALL(J224:J247,COUNTIF(J224:J247,0)+1),0))&amp;" - £"&amp;(ROUND(MAX(J224:J247),0))&amp;")",SUM(J224:J247))</f>
        <v>0</v>
      </c>
      <c r="K249" s="326"/>
      <c r="L249" s="337">
        <f t="shared" ref="L249" si="13">IF(L248="No","(£"&amp;(ROUND(SMALL(L224:L247,COUNTIF(L224:L247,0)+1),0))&amp;" - £"&amp;(ROUND(MAX(L224:L247),0))&amp;")",SUM(L224:L247))</f>
        <v>200</v>
      </c>
      <c r="M249" s="337">
        <v>0</v>
      </c>
      <c r="N249" s="337">
        <f t="shared" ref="N249" si="14">IF(N248="No","(£"&amp;(ROUND(SMALL(N224:N247,COUNTIF(N224:N247,0)+1),0))&amp;" - £"&amp;(ROUND(MAX(N224:N247),0))&amp;")",SUM(N224:N247))</f>
        <v>5900</v>
      </c>
      <c r="O249" s="337">
        <f t="shared" ref="O249" si="15">IF(O248="No","(£"&amp;(ROUND(SMALL(O224:O247,COUNTIF(O224:O247,0)+1),0))&amp;" - £"&amp;(ROUND(MAX(O224:O247),0))&amp;")",SUM(O224:O247))</f>
        <v>0</v>
      </c>
      <c r="P249" s="323"/>
    </row>
    <row r="250" spans="1:16" s="321" customFormat="1" hidden="1" x14ac:dyDescent="0.55000000000000004">
      <c r="A250" s="313"/>
      <c r="B250" s="357"/>
      <c r="C250" s="341"/>
      <c r="D250" s="468"/>
      <c r="E250" s="468"/>
      <c r="F250" s="468"/>
      <c r="G250" s="468"/>
      <c r="H250" s="426">
        <f>IF(H248="No",SMALL((H224:H247),COUNTIF(H224:H247,0)+1),SUM(H224:H247))</f>
        <v>56800</v>
      </c>
      <c r="I250" s="426">
        <f t="shared" ref="I250:J250" si="16">IF(I248="No",SMALL((I224:I247),COUNTIF(I224:I247,0)+1),SUM(I224:I247))</f>
        <v>20400</v>
      </c>
      <c r="J250" s="426">
        <f t="shared" si="16"/>
        <v>0</v>
      </c>
      <c r="K250" s="326"/>
      <c r="L250" s="426">
        <f t="shared" ref="L250:O250" si="17">IF(L248="No",SMALL((L224:L247),COUNTIF(L224:L247,0)+1),SUM(L224:L247))</f>
        <v>200</v>
      </c>
      <c r="M250" s="426">
        <v>0</v>
      </c>
      <c r="N250" s="426">
        <f t="shared" si="17"/>
        <v>5900</v>
      </c>
      <c r="O250" s="426">
        <f t="shared" si="17"/>
        <v>0</v>
      </c>
      <c r="P250" s="358"/>
    </row>
    <row r="251" spans="1:16" s="321" customFormat="1" hidden="1" x14ac:dyDescent="0.55000000000000004">
      <c r="A251" s="313"/>
      <c r="B251" s="357"/>
      <c r="C251" s="341"/>
      <c r="D251" s="468"/>
      <c r="E251" s="468"/>
      <c r="F251" s="468"/>
      <c r="G251" s="468"/>
      <c r="H251" s="426">
        <f>IF(H248="No",MAX(H224:H247),SUM(H224:H247))</f>
        <v>56800</v>
      </c>
      <c r="I251" s="426">
        <f t="shared" ref="I251:J251" si="18">IF(I248="No",MAX(I224:I247),SUM(I224:I247))</f>
        <v>20400</v>
      </c>
      <c r="J251" s="426">
        <f t="shared" si="18"/>
        <v>0</v>
      </c>
      <c r="K251" s="326"/>
      <c r="L251" s="426">
        <f t="shared" ref="L251:O251" si="19">IF(L248="No",MAX(L224:L247),SUM(L224:L247))</f>
        <v>200</v>
      </c>
      <c r="M251" s="426">
        <v>0</v>
      </c>
      <c r="N251" s="426">
        <f t="shared" si="19"/>
        <v>5900</v>
      </c>
      <c r="O251" s="426">
        <f t="shared" si="19"/>
        <v>0</v>
      </c>
      <c r="P251" s="358"/>
    </row>
    <row r="252" spans="1:16" s="321" customFormat="1" x14ac:dyDescent="0.55000000000000004">
      <c r="A252" s="313"/>
      <c r="B252" s="271"/>
      <c r="C252" s="626" t="s">
        <v>145</v>
      </c>
      <c r="D252" s="627" t="s">
        <v>146</v>
      </c>
      <c r="E252" s="627">
        <v>0</v>
      </c>
      <c r="F252" s="627">
        <v>0</v>
      </c>
      <c r="G252" s="344" t="s">
        <v>134</v>
      </c>
      <c r="H252" s="614"/>
      <c r="I252" s="614"/>
      <c r="J252" s="614"/>
      <c r="K252" s="614"/>
      <c r="L252" s="614"/>
      <c r="M252" s="614"/>
      <c r="N252" s="614"/>
      <c r="O252" s="614"/>
      <c r="P252" s="323"/>
    </row>
    <row r="253" spans="1:16" s="321" customFormat="1" hidden="1" x14ac:dyDescent="0.55000000000000004">
      <c r="A253" s="313"/>
      <c r="B253" s="372" t="s">
        <v>170</v>
      </c>
      <c r="C253" s="626"/>
      <c r="D253" s="325" t="s">
        <v>119</v>
      </c>
      <c r="E253" s="324">
        <v>0</v>
      </c>
      <c r="F253" s="344" t="s">
        <v>134</v>
      </c>
      <c r="G253" s="326"/>
      <c r="H253" s="326"/>
      <c r="I253" s="326"/>
      <c r="J253" s="332" t="e">
        <f>F253*'NHS &amp; LA treatment'!$L$20</f>
        <v>#VALUE!</v>
      </c>
      <c r="K253" s="326"/>
      <c r="L253" s="326"/>
      <c r="M253" s="326"/>
      <c r="N253" s="326"/>
      <c r="O253" s="323"/>
    </row>
    <row r="254" spans="1:16" s="321" customFormat="1" hidden="1" x14ac:dyDescent="0.55000000000000004">
      <c r="A254" s="313"/>
      <c r="B254" s="271"/>
      <c r="C254" s="626"/>
      <c r="D254" s="372" t="s">
        <v>171</v>
      </c>
      <c r="E254" s="325" t="s">
        <v>119</v>
      </c>
      <c r="F254" s="324">
        <v>0</v>
      </c>
      <c r="G254" s="344" t="s">
        <v>134</v>
      </c>
      <c r="H254" s="326"/>
      <c r="I254" s="326"/>
      <c r="J254" s="326"/>
      <c r="K254" s="332">
        <f>F254*'NHS &amp; LA treatment'!$L$21</f>
        <v>0</v>
      </c>
      <c r="L254" s="326"/>
      <c r="M254" s="326"/>
      <c r="N254" s="326"/>
      <c r="O254" s="326"/>
      <c r="P254" s="323"/>
    </row>
    <row r="255" spans="1:16" s="321" customFormat="1" x14ac:dyDescent="0.55000000000000004">
      <c r="A255" s="313"/>
      <c r="B255" s="271"/>
      <c r="C255" s="626"/>
      <c r="D255" s="372" t="s">
        <v>172</v>
      </c>
      <c r="E255" s="325" t="s">
        <v>119</v>
      </c>
      <c r="F255" s="324">
        <f>1+(0.5*1)</f>
        <v>1.5</v>
      </c>
      <c r="G255" s="344" t="s">
        <v>134</v>
      </c>
      <c r="H255" s="326"/>
      <c r="I255" s="326"/>
      <c r="J255" s="326"/>
      <c r="K255" s="371">
        <f>F255*'NHS &amp; LA treatment'!$L$22</f>
        <v>1950</v>
      </c>
      <c r="L255" s="326"/>
      <c r="M255" s="326"/>
      <c r="N255" s="326"/>
      <c r="O255" s="326"/>
      <c r="P255" s="323" t="s">
        <v>199</v>
      </c>
    </row>
    <row r="256" spans="1:16" s="321" customFormat="1" hidden="1" x14ac:dyDescent="0.55000000000000004">
      <c r="A256" s="313"/>
      <c r="B256" s="271"/>
      <c r="C256" s="626"/>
      <c r="D256" s="372" t="s">
        <v>173</v>
      </c>
      <c r="E256" s="324">
        <v>0</v>
      </c>
      <c r="F256" s="325" t="s">
        <v>119</v>
      </c>
      <c r="G256" s="344" t="s">
        <v>134</v>
      </c>
      <c r="H256" s="326"/>
      <c r="I256" s="326"/>
      <c r="J256" s="326"/>
      <c r="K256" s="371">
        <f>E256*'NHS &amp; LA treatment'!$L$23</f>
        <v>0</v>
      </c>
      <c r="L256" s="326"/>
      <c r="M256" s="326"/>
      <c r="N256" s="326"/>
      <c r="O256" s="326"/>
      <c r="P256" s="323"/>
    </row>
    <row r="257" spans="1:19" s="321" customFormat="1" hidden="1" x14ac:dyDescent="0.55000000000000004">
      <c r="A257" s="313"/>
      <c r="B257" s="271"/>
      <c r="C257" s="626"/>
      <c r="D257" s="372" t="s">
        <v>174</v>
      </c>
      <c r="E257" s="325" t="s">
        <v>119</v>
      </c>
      <c r="F257" s="324">
        <v>0</v>
      </c>
      <c r="G257" s="344" t="s">
        <v>134</v>
      </c>
      <c r="H257" s="326"/>
      <c r="I257" s="326"/>
      <c r="J257" s="326"/>
      <c r="K257" s="371">
        <f>F257*'NHS &amp; LA treatment'!$L$24</f>
        <v>0</v>
      </c>
      <c r="L257" s="326"/>
      <c r="M257" s="326"/>
      <c r="N257" s="326"/>
      <c r="O257" s="326"/>
      <c r="P257" s="323"/>
    </row>
    <row r="258" spans="1:19" s="321" customFormat="1" hidden="1" x14ac:dyDescent="0.55000000000000004">
      <c r="A258" s="313"/>
      <c r="B258" s="271"/>
      <c r="C258" s="626"/>
      <c r="D258" s="372" t="s">
        <v>175</v>
      </c>
      <c r="E258" s="325" t="s">
        <v>119</v>
      </c>
      <c r="F258" s="324">
        <v>0</v>
      </c>
      <c r="G258" s="344" t="s">
        <v>134</v>
      </c>
      <c r="H258" s="326"/>
      <c r="I258" s="326"/>
      <c r="J258" s="326"/>
      <c r="K258" s="371">
        <f>F258*'NHS &amp; LA treatment'!$L$25</f>
        <v>0</v>
      </c>
      <c r="L258" s="326"/>
      <c r="M258" s="326"/>
      <c r="N258" s="326"/>
      <c r="O258" s="326"/>
      <c r="P258" s="323"/>
    </row>
    <row r="259" spans="1:19" s="321" customFormat="1" x14ac:dyDescent="0.55000000000000004">
      <c r="A259" s="313"/>
      <c r="B259" s="271"/>
      <c r="C259" s="626"/>
      <c r="D259" s="615" t="s">
        <v>147</v>
      </c>
      <c r="E259" s="616"/>
      <c r="F259" s="616"/>
      <c r="G259" s="617"/>
      <c r="H259" s="326"/>
      <c r="I259" s="326"/>
      <c r="J259" s="326"/>
      <c r="K259" s="371">
        <f>0</f>
        <v>0</v>
      </c>
      <c r="L259" s="326"/>
      <c r="M259" s="326"/>
      <c r="N259" s="326"/>
      <c r="O259" s="326"/>
      <c r="P259" s="323"/>
    </row>
    <row r="260" spans="1:19" s="321" customFormat="1" x14ac:dyDescent="0.55000000000000004">
      <c r="A260" s="313"/>
      <c r="B260" s="271"/>
      <c r="C260" s="626"/>
      <c r="D260" s="615" t="s">
        <v>791</v>
      </c>
      <c r="E260" s="616"/>
      <c r="F260" s="616"/>
      <c r="G260" s="617"/>
      <c r="H260" s="371">
        <f>5*'Social, YP &amp; kinship care'!$L$10</f>
        <v>46500</v>
      </c>
      <c r="I260" s="326"/>
      <c r="J260" s="326"/>
      <c r="K260" s="371">
        <f>0</f>
        <v>0</v>
      </c>
      <c r="L260" s="326"/>
      <c r="M260" s="326"/>
      <c r="N260" s="326"/>
      <c r="O260" s="326"/>
      <c r="P260" s="323" t="s">
        <v>200</v>
      </c>
    </row>
    <row r="261" spans="1:19" s="321" customFormat="1" x14ac:dyDescent="0.55000000000000004">
      <c r="A261" s="313"/>
      <c r="B261" s="271"/>
      <c r="C261" s="626"/>
      <c r="D261" s="618" t="s">
        <v>148</v>
      </c>
      <c r="E261" s="619"/>
      <c r="F261" s="619"/>
      <c r="G261" s="620"/>
      <c r="H261" s="337">
        <f>SUM(H253:H260)</f>
        <v>46500</v>
      </c>
      <c r="I261" s="326"/>
      <c r="J261" s="326"/>
      <c r="K261" s="337">
        <f>SUM(K253:K260)</f>
        <v>1950</v>
      </c>
      <c r="L261" s="326"/>
      <c r="M261" s="326"/>
      <c r="N261" s="326"/>
      <c r="O261" s="326"/>
      <c r="P261" s="323"/>
    </row>
    <row r="262" spans="1:19" s="321" customFormat="1" x14ac:dyDescent="0.55000000000000004">
      <c r="A262" s="313"/>
      <c r="B262" s="271"/>
      <c r="C262" s="427"/>
      <c r="D262" s="428"/>
      <c r="E262" s="428"/>
      <c r="F262" s="428"/>
      <c r="G262" s="428"/>
      <c r="H262" s="429"/>
      <c r="I262" s="430"/>
      <c r="J262" s="430"/>
      <c r="K262" s="429"/>
      <c r="L262" s="430"/>
      <c r="M262" s="430"/>
      <c r="N262" s="430"/>
      <c r="O262" s="430"/>
      <c r="P262" s="431"/>
      <c r="Q262" s="435"/>
      <c r="R262" s="435"/>
      <c r="S262" s="435"/>
    </row>
    <row r="263" spans="1:19" s="321" customFormat="1" ht="15.3" x14ac:dyDescent="0.55000000000000004">
      <c r="A263" s="313"/>
      <c r="B263" s="271"/>
      <c r="C263" s="427"/>
      <c r="D263" s="432"/>
      <c r="E263" s="610" t="s">
        <v>149</v>
      </c>
      <c r="F263" s="611"/>
      <c r="G263" s="428"/>
      <c r="H263" s="429"/>
      <c r="I263" s="430"/>
      <c r="J263" s="430"/>
      <c r="K263" s="429"/>
      <c r="L263" s="430"/>
      <c r="M263" s="430"/>
      <c r="N263" s="430"/>
      <c r="O263" s="430"/>
      <c r="P263" s="431"/>
      <c r="Q263" s="435"/>
      <c r="R263" s="435"/>
      <c r="S263" s="435"/>
    </row>
    <row r="264" spans="1:19" ht="15.3" x14ac:dyDescent="0.55000000000000004">
      <c r="C264" s="433"/>
      <c r="D264" s="434" t="s">
        <v>148</v>
      </c>
      <c r="E264" s="612">
        <f>SUM(H261:O261)</f>
        <v>48450</v>
      </c>
      <c r="F264" s="613"/>
      <c r="G264" s="433"/>
      <c r="H264" s="433"/>
      <c r="I264" s="433"/>
      <c r="J264" s="433"/>
      <c r="K264" s="433"/>
      <c r="L264" s="433"/>
      <c r="M264" s="433"/>
      <c r="N264" s="433"/>
      <c r="O264" s="433"/>
      <c r="P264" s="433"/>
      <c r="Q264" s="433"/>
      <c r="R264" s="433"/>
      <c r="S264" s="433"/>
    </row>
    <row r="265" spans="1:19" ht="15.3" x14ac:dyDescent="0.55000000000000004">
      <c r="C265" s="433"/>
      <c r="D265" s="434" t="s">
        <v>150</v>
      </c>
      <c r="E265" s="621" t="str">
        <f>IF(SUM(H250:K250)=SUM(H251:K251),TEXT(ROUND(SUM(H250:K250),-1),"#,#"),TEXT(ROUND(SUM(H250:K250),-1)," #,# - ")&amp;TEXT(ROUND(SUM(H251:K251),-1),"#,#"))</f>
        <v>77,200</v>
      </c>
      <c r="F265" s="622"/>
      <c r="G265" s="433"/>
      <c r="H265" s="436"/>
      <c r="I265" s="433"/>
      <c r="J265" s="433"/>
      <c r="K265" s="433"/>
      <c r="L265" s="433"/>
      <c r="M265" s="433"/>
      <c r="N265" s="433"/>
      <c r="O265" s="433"/>
      <c r="P265" s="433"/>
      <c r="Q265" s="433"/>
      <c r="R265" s="433"/>
      <c r="S265" s="433"/>
    </row>
    <row r="266" spans="1:19" ht="15.3" x14ac:dyDescent="0.55000000000000004">
      <c r="C266" s="433"/>
      <c r="D266" s="434" t="s">
        <v>151</v>
      </c>
      <c r="E266" s="621" t="str">
        <f>IF(SUM(H250:K250)=SUM(H251:K251),TEXT(ROUND(SUM(H250:K250)-E264,-1),"#,#"),TEXT(ROUND(SUM(H250:K250)-E264,-1),"#,# - ")&amp;TEXT(ROUND(SUM(H251:K251)-E264,-1),"#,#"))</f>
        <v>28,750</v>
      </c>
      <c r="F266" s="622"/>
      <c r="G266" s="433"/>
      <c r="H266" s="433"/>
      <c r="I266" s="433"/>
      <c r="J266" s="433"/>
      <c r="K266" s="436"/>
      <c r="L266" s="436"/>
      <c r="M266" s="433"/>
      <c r="N266" s="433"/>
      <c r="O266" s="433"/>
      <c r="P266" s="433"/>
      <c r="Q266" s="433"/>
      <c r="R266" s="433"/>
      <c r="S266" s="433"/>
    </row>
    <row r="267" spans="1:19" ht="15.3" x14ac:dyDescent="0.55000000000000004">
      <c r="C267" s="433"/>
      <c r="D267" s="434" t="s">
        <v>152</v>
      </c>
      <c r="E267" s="621" t="str">
        <f>IFERROR(IF(SUM(H250:K250)=SUM(H251:K251),TEXT(ROUND(SUM(H250:K250)/E264,2),"#.#0"),TEXT(ROUND(SUM(H250:K250)/E264,2),"#.#0 - ")&amp;TEXT(ROUND(SUM(H251:K251)/E264,2),"#.#0")),0)</f>
        <v>1.59</v>
      </c>
      <c r="F267" s="622"/>
      <c r="G267" s="433"/>
      <c r="H267" s="433"/>
      <c r="I267" s="433"/>
      <c r="J267" s="433"/>
      <c r="K267" s="436"/>
      <c r="L267" s="436"/>
      <c r="M267" s="433"/>
      <c r="N267" s="433"/>
      <c r="O267" s="433"/>
      <c r="P267" s="433"/>
      <c r="Q267" s="433"/>
      <c r="R267" s="433"/>
      <c r="S267" s="433"/>
    </row>
    <row r="268" spans="1:19" ht="15.3" x14ac:dyDescent="0.55000000000000004">
      <c r="C268" s="433"/>
      <c r="D268" s="437" t="s">
        <v>153</v>
      </c>
      <c r="E268" s="621" t="str">
        <f>IF(SUM(H250:O250)=SUM(H251:O251),TEXT(ROUND(SUM(H250:O250),-1),"#,#"),TEXT(ROUND(SUM(H250:O250),-1)," #,# - ")&amp;TEXT(ROUND(SUM(H251:O251),-1),"#,#"))</f>
        <v>83,300</v>
      </c>
      <c r="F268" s="622"/>
      <c r="G268" s="433"/>
      <c r="H268" s="433"/>
      <c r="I268" s="433"/>
      <c r="J268" s="433"/>
      <c r="K268" s="436"/>
      <c r="L268" s="433"/>
      <c r="M268" s="433"/>
      <c r="N268" s="433"/>
      <c r="O268" s="433"/>
      <c r="P268" s="433"/>
      <c r="Q268" s="433"/>
      <c r="R268" s="433"/>
      <c r="S268" s="433"/>
    </row>
    <row r="269" spans="1:19" ht="15.3" x14ac:dyDescent="0.55000000000000004">
      <c r="D269" s="339" t="s">
        <v>154</v>
      </c>
      <c r="E269" s="577" t="str">
        <f>IF(SUM(H250:O250)=SUM(H251:O251),TEXT(ROUND(SUM(H250:O250)-E264,-1)," #,#"),TEXT(ROUND(SUM(H250:O250)-E264,-1),"#,# - ")&amp;TEXT(ROUND(SUM(H251:O251)-E264,-1),"#,#"))</f>
        <v xml:space="preserve"> 34,850</v>
      </c>
      <c r="F269" s="578"/>
      <c r="K269" s="273"/>
    </row>
    <row r="270" spans="1:19" ht="15.3" x14ac:dyDescent="0.55000000000000004">
      <c r="C270" s="319"/>
      <c r="D270" s="343" t="s">
        <v>155</v>
      </c>
      <c r="E270" s="577" t="str">
        <f>IFERROR(IF(SUM(H250:O250)=SUM(H251:O251),TEXT(ROUND(SUM(H250:O250)/E264,2),"#.#0"),TEXT(ROUND(SUM(H250:O250)/E264,2),"#.#0 - ")&amp;TEXT(ROUND(SUM(H251:O251)/E264,2),"#.#0")),0)</f>
        <v>1.72</v>
      </c>
      <c r="F270" s="578"/>
      <c r="G270" s="319"/>
      <c r="H270" s="319"/>
      <c r="I270" s="319"/>
      <c r="J270" s="319"/>
    </row>
    <row r="271" spans="1:19" x14ac:dyDescent="0.55000000000000004">
      <c r="C271" s="319"/>
      <c r="D271" s="319"/>
      <c r="E271" s="319"/>
      <c r="F271" s="319"/>
      <c r="G271" s="319"/>
      <c r="H271" s="319"/>
      <c r="I271" s="319"/>
      <c r="J271" s="319"/>
    </row>
    <row r="272" spans="1:19" x14ac:dyDescent="0.55000000000000004">
      <c r="C272" s="319"/>
      <c r="D272" s="319"/>
      <c r="E272" s="319"/>
      <c r="F272" s="319"/>
      <c r="G272" s="319"/>
      <c r="H272" s="319"/>
      <c r="I272" s="319"/>
      <c r="J272" s="319"/>
    </row>
    <row r="273" spans="3:10" ht="22.2" x14ac:dyDescent="0.7">
      <c r="C273" s="353" t="s">
        <v>201</v>
      </c>
    </row>
    <row r="274" spans="3:10" ht="22.2" x14ac:dyDescent="0.7">
      <c r="C274" s="353"/>
    </row>
    <row r="275" spans="3:10" x14ac:dyDescent="0.55000000000000004">
      <c r="C275" s="319"/>
      <c r="D275" s="319"/>
      <c r="E275" s="319"/>
      <c r="F275" s="319"/>
      <c r="G275" s="319"/>
      <c r="H275" s="319"/>
      <c r="I275" s="319"/>
      <c r="J275" s="319"/>
    </row>
    <row r="276" spans="3:10" x14ac:dyDescent="0.55000000000000004">
      <c r="C276" s="319"/>
      <c r="D276" s="319"/>
      <c r="E276" s="319"/>
      <c r="F276" s="319"/>
      <c r="G276" s="319"/>
      <c r="H276" s="319"/>
      <c r="I276" s="319"/>
      <c r="J276" s="319"/>
    </row>
    <row r="277" spans="3:10" x14ac:dyDescent="0.55000000000000004">
      <c r="C277" s="319"/>
      <c r="D277" s="319"/>
      <c r="E277" s="319"/>
      <c r="F277" s="319"/>
      <c r="G277" s="319"/>
      <c r="H277" s="319"/>
      <c r="I277" s="319"/>
      <c r="J277" s="319"/>
    </row>
    <row r="278" spans="3:10" x14ac:dyDescent="0.55000000000000004">
      <c r="C278" s="319"/>
      <c r="D278" s="319"/>
      <c r="E278" s="319"/>
      <c r="F278" s="319"/>
      <c r="G278" s="319"/>
      <c r="H278" s="319"/>
      <c r="I278" s="319"/>
      <c r="J278" s="319"/>
    </row>
    <row r="279" spans="3:10" x14ac:dyDescent="0.55000000000000004">
      <c r="C279" s="319"/>
      <c r="D279" s="319"/>
      <c r="E279" s="319"/>
      <c r="F279" s="319"/>
      <c r="G279" s="319"/>
      <c r="H279" s="319"/>
      <c r="I279" s="319"/>
      <c r="J279" s="319"/>
    </row>
    <row r="280" spans="3:10" x14ac:dyDescent="0.55000000000000004">
      <c r="C280" s="319"/>
      <c r="D280" s="319"/>
      <c r="E280" s="319"/>
      <c r="F280" s="319"/>
      <c r="G280" s="319"/>
      <c r="H280" s="319"/>
      <c r="I280" s="319"/>
      <c r="J280" s="319"/>
    </row>
    <row r="281" spans="3:10" x14ac:dyDescent="0.55000000000000004">
      <c r="C281" s="319"/>
      <c r="D281" s="319"/>
      <c r="E281" s="319"/>
      <c r="F281" s="319"/>
      <c r="G281" s="319"/>
      <c r="H281" s="319"/>
      <c r="I281" s="319"/>
      <c r="J281" s="319"/>
    </row>
    <row r="282" spans="3:10" x14ac:dyDescent="0.55000000000000004">
      <c r="C282" s="319"/>
      <c r="D282" s="319"/>
      <c r="E282" s="319"/>
      <c r="F282" s="319"/>
      <c r="G282" s="319"/>
      <c r="H282" s="319"/>
      <c r="I282" s="319"/>
      <c r="J282" s="319"/>
    </row>
    <row r="283" spans="3:10" x14ac:dyDescent="0.55000000000000004">
      <c r="C283" s="319"/>
      <c r="D283" s="319"/>
      <c r="E283" s="319"/>
      <c r="F283" s="319"/>
      <c r="G283" s="319"/>
      <c r="H283" s="319"/>
      <c r="I283" s="319"/>
      <c r="J283" s="319"/>
    </row>
    <row r="284" spans="3:10" x14ac:dyDescent="0.55000000000000004">
      <c r="C284" s="319"/>
      <c r="D284" s="319"/>
      <c r="E284" s="319"/>
      <c r="F284" s="319"/>
      <c r="G284" s="319"/>
      <c r="H284" s="319"/>
      <c r="I284" s="319"/>
      <c r="J284" s="319"/>
    </row>
    <row r="285" spans="3:10" x14ac:dyDescent="0.55000000000000004">
      <c r="C285" s="319"/>
      <c r="D285" s="319"/>
      <c r="E285" s="319"/>
      <c r="F285" s="319"/>
      <c r="G285" s="319"/>
      <c r="H285" s="319"/>
      <c r="I285" s="319"/>
      <c r="J285" s="319"/>
    </row>
    <row r="286" spans="3:10" x14ac:dyDescent="0.55000000000000004">
      <c r="C286" s="319"/>
      <c r="D286" s="319"/>
      <c r="E286" s="319"/>
      <c r="F286" s="319"/>
      <c r="G286" s="319"/>
      <c r="H286" s="319"/>
      <c r="I286" s="319"/>
      <c r="J286" s="319"/>
    </row>
    <row r="287" spans="3:10" x14ac:dyDescent="0.55000000000000004">
      <c r="C287" s="319"/>
      <c r="D287" s="319"/>
      <c r="E287" s="319"/>
      <c r="F287" s="319"/>
      <c r="G287" s="319"/>
      <c r="H287" s="319"/>
      <c r="I287" s="319"/>
      <c r="J287" s="319"/>
    </row>
    <row r="288" spans="3:10" x14ac:dyDescent="0.55000000000000004">
      <c r="C288" s="319"/>
      <c r="D288" s="319"/>
      <c r="E288" s="319"/>
      <c r="F288" s="319"/>
      <c r="G288" s="319"/>
      <c r="H288" s="319"/>
      <c r="I288" s="319"/>
      <c r="J288" s="319"/>
    </row>
    <row r="289" spans="1:16" x14ac:dyDescent="0.55000000000000004">
      <c r="C289" s="319"/>
      <c r="D289" s="319"/>
      <c r="E289" s="319"/>
      <c r="F289" s="319"/>
      <c r="G289" s="319"/>
      <c r="H289" s="319"/>
      <c r="I289" s="319"/>
      <c r="J289" s="319"/>
    </row>
    <row r="290" spans="1:16" x14ac:dyDescent="0.55000000000000004">
      <c r="C290" s="319"/>
      <c r="D290" s="319"/>
      <c r="E290" s="319"/>
      <c r="F290" s="319"/>
      <c r="G290" s="319"/>
      <c r="H290" s="319"/>
      <c r="I290" s="319"/>
      <c r="J290" s="319"/>
    </row>
    <row r="291" spans="1:16" x14ac:dyDescent="0.55000000000000004">
      <c r="C291" s="319"/>
      <c r="D291" s="319"/>
      <c r="E291" s="319"/>
      <c r="F291" s="319"/>
      <c r="G291" s="319"/>
      <c r="H291" s="319"/>
      <c r="I291" s="319"/>
      <c r="J291" s="319"/>
    </row>
    <row r="292" spans="1:16" x14ac:dyDescent="0.55000000000000004">
      <c r="C292" s="319"/>
      <c r="D292" s="319"/>
      <c r="E292" s="319"/>
      <c r="F292" s="319"/>
      <c r="G292" s="319"/>
      <c r="H292" s="319"/>
      <c r="I292" s="319"/>
      <c r="J292" s="319"/>
    </row>
    <row r="293" spans="1:16" x14ac:dyDescent="0.55000000000000004">
      <c r="C293" s="319"/>
      <c r="D293" s="319"/>
      <c r="E293" s="319"/>
      <c r="F293" s="319"/>
      <c r="G293" s="319"/>
      <c r="H293" s="319"/>
      <c r="I293" s="319"/>
      <c r="J293" s="319"/>
    </row>
    <row r="294" spans="1:16" x14ac:dyDescent="0.55000000000000004">
      <c r="C294" s="319"/>
      <c r="D294" s="319"/>
      <c r="E294" s="319"/>
      <c r="F294" s="319"/>
      <c r="G294" s="319"/>
      <c r="H294" s="319"/>
      <c r="I294" s="319"/>
      <c r="J294" s="319"/>
    </row>
    <row r="295" spans="1:16" x14ac:dyDescent="0.55000000000000004">
      <c r="C295" s="319"/>
      <c r="D295" s="319"/>
      <c r="E295" s="319"/>
      <c r="F295" s="319"/>
      <c r="G295" s="319"/>
      <c r="H295" s="319"/>
      <c r="I295" s="319"/>
      <c r="J295" s="319"/>
    </row>
    <row r="296" spans="1:16" ht="15" x14ac:dyDescent="0.55000000000000004">
      <c r="C296" s="354" t="s">
        <v>202</v>
      </c>
      <c r="D296" s="354"/>
      <c r="E296" s="355"/>
      <c r="F296" s="319"/>
      <c r="G296" s="319"/>
      <c r="H296" s="319"/>
      <c r="I296" s="319"/>
      <c r="J296" s="319"/>
    </row>
    <row r="297" spans="1:16" ht="20.25" customHeight="1" x14ac:dyDescent="0.55000000000000004">
      <c r="C297" s="319"/>
      <c r="D297" s="570" t="s">
        <v>203</v>
      </c>
      <c r="E297" s="570"/>
      <c r="F297" s="570"/>
      <c r="G297" s="570"/>
      <c r="H297" s="570"/>
      <c r="I297" s="570"/>
      <c r="J297" s="570"/>
      <c r="K297" s="570"/>
      <c r="L297" s="570"/>
      <c r="M297" s="570"/>
      <c r="N297" s="570"/>
      <c r="O297" s="570"/>
    </row>
    <row r="298" spans="1:16" ht="20.25" customHeight="1" x14ac:dyDescent="0.55000000000000004">
      <c r="C298" s="319"/>
      <c r="D298" s="570" t="s">
        <v>794</v>
      </c>
      <c r="E298" s="570"/>
      <c r="F298" s="570"/>
      <c r="G298" s="570"/>
      <c r="H298" s="570"/>
      <c r="I298" s="570"/>
      <c r="J298" s="570"/>
      <c r="K298" s="570"/>
      <c r="L298" s="570"/>
      <c r="M298" s="570"/>
      <c r="N298" s="570"/>
      <c r="O298" s="570"/>
    </row>
    <row r="299" spans="1:16" ht="20.25" customHeight="1" x14ac:dyDescent="0.55000000000000004">
      <c r="C299" s="319"/>
      <c r="D299" s="570" t="s">
        <v>204</v>
      </c>
      <c r="E299" s="570"/>
      <c r="F299" s="570"/>
      <c r="G299" s="570"/>
      <c r="H299" s="570"/>
      <c r="I299" s="570"/>
      <c r="J299" s="570"/>
      <c r="K299" s="570"/>
      <c r="L299" s="570"/>
      <c r="M299" s="570"/>
      <c r="N299" s="570"/>
      <c r="O299" s="570"/>
    </row>
    <row r="300" spans="1:16" x14ac:dyDescent="0.55000000000000004">
      <c r="C300" s="319"/>
      <c r="D300" s="319"/>
      <c r="E300" s="319"/>
      <c r="F300" s="319"/>
      <c r="G300" s="319"/>
      <c r="H300" s="319"/>
      <c r="I300" s="319"/>
      <c r="J300" s="319"/>
    </row>
    <row r="301" spans="1:16" x14ac:dyDescent="0.55000000000000004">
      <c r="C301" s="319"/>
      <c r="D301" s="319"/>
      <c r="E301" s="319"/>
      <c r="F301" s="319"/>
      <c r="G301" s="319"/>
      <c r="H301" s="319"/>
      <c r="I301" s="319"/>
      <c r="J301" s="319"/>
    </row>
    <row r="302" spans="1:16" s="321" customFormat="1" ht="15.75" customHeight="1" x14ac:dyDescent="0.55000000000000004">
      <c r="A302" s="313"/>
      <c r="B302" s="271"/>
      <c r="C302" s="626" t="s">
        <v>115</v>
      </c>
      <c r="D302" s="623" t="s">
        <v>101</v>
      </c>
      <c r="E302" s="625" t="s">
        <v>102</v>
      </c>
      <c r="F302" s="625" t="s">
        <v>103</v>
      </c>
      <c r="G302" s="625" t="s">
        <v>98</v>
      </c>
      <c r="H302" s="625" t="s">
        <v>104</v>
      </c>
      <c r="I302" s="625"/>
      <c r="J302" s="625"/>
      <c r="K302" s="625"/>
      <c r="L302" s="625"/>
      <c r="M302" s="625"/>
      <c r="N302" s="625"/>
      <c r="O302" s="625"/>
      <c r="P302" s="623" t="s">
        <v>105</v>
      </c>
    </row>
    <row r="303" spans="1:16" s="321" customFormat="1" ht="15.75" customHeight="1" x14ac:dyDescent="0.55000000000000004">
      <c r="A303" s="313"/>
      <c r="B303" s="271"/>
      <c r="C303" s="626"/>
      <c r="D303" s="623"/>
      <c r="E303" s="625"/>
      <c r="F303" s="625"/>
      <c r="G303" s="625"/>
      <c r="H303" s="624" t="s">
        <v>106</v>
      </c>
      <c r="I303" s="624"/>
      <c r="J303" s="624"/>
      <c r="K303" s="624"/>
      <c r="L303" s="624"/>
      <c r="M303" s="624"/>
      <c r="N303" s="623" t="s">
        <v>107</v>
      </c>
      <c r="O303" s="623" t="s">
        <v>108</v>
      </c>
      <c r="P303" s="623"/>
    </row>
    <row r="304" spans="1:16" s="321" customFormat="1" ht="15.75" customHeight="1" x14ac:dyDescent="0.55000000000000004">
      <c r="A304" s="313"/>
      <c r="B304" s="271"/>
      <c r="C304" s="626"/>
      <c r="D304" s="623"/>
      <c r="E304" s="625"/>
      <c r="F304" s="625"/>
      <c r="G304" s="625"/>
      <c r="H304" s="624" t="s">
        <v>109</v>
      </c>
      <c r="I304" s="624"/>
      <c r="J304" s="624"/>
      <c r="K304" s="624"/>
      <c r="L304" s="624" t="s">
        <v>110</v>
      </c>
      <c r="M304" s="624" t="s">
        <v>111</v>
      </c>
      <c r="N304" s="623"/>
      <c r="O304" s="623"/>
      <c r="P304" s="623"/>
    </row>
    <row r="305" spans="1:16" s="321" customFormat="1" x14ac:dyDescent="0.55000000000000004">
      <c r="A305" s="313"/>
      <c r="B305" s="271"/>
      <c r="C305" s="626"/>
      <c r="D305" s="623"/>
      <c r="E305" s="625"/>
      <c r="F305" s="625"/>
      <c r="G305" s="625"/>
      <c r="H305" s="465" t="s">
        <v>112</v>
      </c>
      <c r="I305" s="465" t="s">
        <v>63</v>
      </c>
      <c r="J305" s="465" t="s">
        <v>113</v>
      </c>
      <c r="K305" s="465" t="s">
        <v>114</v>
      </c>
      <c r="L305" s="624"/>
      <c r="M305" s="624"/>
      <c r="N305" s="623"/>
      <c r="O305" s="623"/>
      <c r="P305" s="623"/>
    </row>
    <row r="306" spans="1:16" s="321" customFormat="1" x14ac:dyDescent="0.55000000000000004">
      <c r="A306" s="313"/>
      <c r="B306" s="271"/>
      <c r="C306" s="626"/>
      <c r="D306" s="627" t="s">
        <v>116</v>
      </c>
      <c r="E306" s="627"/>
      <c r="F306" s="627"/>
      <c r="G306" s="359" t="s">
        <v>117</v>
      </c>
      <c r="H306" s="614"/>
      <c r="I306" s="614"/>
      <c r="J306" s="614"/>
      <c r="K306" s="614"/>
      <c r="L306" s="614"/>
      <c r="M306" s="614"/>
      <c r="N306" s="614"/>
      <c r="O306" s="614"/>
      <c r="P306" s="323"/>
    </row>
    <row r="307" spans="1:16" s="321" customFormat="1" ht="18.75" hidden="1" customHeight="1" x14ac:dyDescent="0.55000000000000004">
      <c r="A307" s="313"/>
      <c r="B307" s="271"/>
      <c r="C307" s="626"/>
      <c r="D307" s="372" t="s">
        <v>118</v>
      </c>
      <c r="E307" s="324">
        <v>0</v>
      </c>
      <c r="F307" s="325" t="s">
        <v>119</v>
      </c>
      <c r="G307" s="359" t="s">
        <v>117</v>
      </c>
      <c r="H307" s="466">
        <f>$E307*'Social, YP &amp; kinship care'!$L$7</f>
        <v>0</v>
      </c>
      <c r="I307" s="326"/>
      <c r="J307" s="326"/>
      <c r="K307" s="326"/>
      <c r="L307" s="326"/>
      <c r="M307" s="326"/>
      <c r="N307" s="326"/>
      <c r="O307" s="326"/>
      <c r="P307" s="323"/>
    </row>
    <row r="308" spans="1:16" s="321" customFormat="1" hidden="1" x14ac:dyDescent="0.55000000000000004">
      <c r="A308" s="313"/>
      <c r="B308" s="271"/>
      <c r="C308" s="626"/>
      <c r="D308" s="372" t="s">
        <v>120</v>
      </c>
      <c r="E308" s="324">
        <v>0</v>
      </c>
      <c r="F308" s="325" t="s">
        <v>119</v>
      </c>
      <c r="G308" s="359" t="s">
        <v>117</v>
      </c>
      <c r="H308" s="466">
        <f>$E308*'Social, YP &amp; kinship care'!$L$9</f>
        <v>0</v>
      </c>
      <c r="I308" s="326"/>
      <c r="J308" s="326"/>
      <c r="K308" s="326"/>
      <c r="L308" s="326"/>
      <c r="M308" s="326"/>
      <c r="N308" s="326"/>
      <c r="O308" s="326"/>
      <c r="P308" s="323" t="s">
        <v>198</v>
      </c>
    </row>
    <row r="309" spans="1:16" s="321" customFormat="1" x14ac:dyDescent="0.55000000000000004">
      <c r="A309" s="313"/>
      <c r="B309" s="271"/>
      <c r="C309" s="626"/>
      <c r="D309" s="372" t="s">
        <v>121</v>
      </c>
      <c r="E309" s="324">
        <v>2</v>
      </c>
      <c r="F309" s="325" t="s">
        <v>119</v>
      </c>
      <c r="G309" s="359" t="s">
        <v>117</v>
      </c>
      <c r="H309" s="466">
        <f>$E309*'Social, YP &amp; kinship care'!$L$10</f>
        <v>18600</v>
      </c>
      <c r="I309" s="326"/>
      <c r="J309" s="326"/>
      <c r="K309" s="326"/>
      <c r="L309" s="326"/>
      <c r="M309" s="326"/>
      <c r="N309" s="326"/>
      <c r="O309" s="326"/>
      <c r="P309" s="323"/>
    </row>
    <row r="310" spans="1:16" s="321" customFormat="1" hidden="1" x14ac:dyDescent="0.55000000000000004">
      <c r="A310" s="313"/>
      <c r="B310" s="271"/>
      <c r="C310" s="626"/>
      <c r="D310" s="372" t="s">
        <v>122</v>
      </c>
      <c r="E310" s="324">
        <v>0</v>
      </c>
      <c r="F310" s="325" t="s">
        <v>119</v>
      </c>
      <c r="G310" s="359" t="s">
        <v>117</v>
      </c>
      <c r="H310" s="466">
        <f>$E310*'Social, YP &amp; kinship care'!$L$11</f>
        <v>0</v>
      </c>
      <c r="I310" s="326"/>
      <c r="J310" s="326"/>
      <c r="K310" s="326"/>
      <c r="L310" s="326"/>
      <c r="M310" s="326"/>
      <c r="N310" s="326"/>
      <c r="O310" s="326"/>
      <c r="P310" s="323"/>
    </row>
    <row r="311" spans="1:16" s="321" customFormat="1" hidden="1" x14ac:dyDescent="0.55000000000000004">
      <c r="A311" s="313"/>
      <c r="B311" s="271"/>
      <c r="C311" s="626"/>
      <c r="D311" s="372" t="s">
        <v>123</v>
      </c>
      <c r="E311" s="324">
        <v>0</v>
      </c>
      <c r="F311" s="325" t="s">
        <v>119</v>
      </c>
      <c r="G311" s="359" t="s">
        <v>117</v>
      </c>
      <c r="H311" s="466">
        <f>$E311*'Social, YP &amp; kinship care'!$L$12</f>
        <v>0</v>
      </c>
      <c r="I311" s="326"/>
      <c r="J311" s="326"/>
      <c r="K311" s="326"/>
      <c r="L311" s="326"/>
      <c r="M311" s="326"/>
      <c r="N311" s="326"/>
      <c r="O311" s="326"/>
      <c r="P311" s="323"/>
    </row>
    <row r="312" spans="1:16" s="321" customFormat="1" hidden="1" x14ac:dyDescent="0.55000000000000004">
      <c r="A312" s="313"/>
      <c r="B312" s="271"/>
      <c r="C312" s="626"/>
      <c r="D312" s="469" t="s">
        <v>124</v>
      </c>
      <c r="E312" s="324">
        <v>0</v>
      </c>
      <c r="F312" s="325" t="s">
        <v>119</v>
      </c>
      <c r="G312" s="359" t="s">
        <v>117</v>
      </c>
      <c r="H312" s="326"/>
      <c r="I312" s="326"/>
      <c r="J312" s="326"/>
      <c r="K312" s="326"/>
      <c r="L312" s="326"/>
      <c r="M312" s="326"/>
      <c r="N312" s="466">
        <f>E312*'Social, YP &amp; kinship care'!$K$20</f>
        <v>0</v>
      </c>
      <c r="O312" s="326"/>
      <c r="P312" s="323"/>
    </row>
    <row r="313" spans="1:16" s="321" customFormat="1" hidden="1" x14ac:dyDescent="0.55000000000000004">
      <c r="A313" s="313"/>
      <c r="B313" s="271"/>
      <c r="C313" s="626"/>
      <c r="D313" s="469" t="s">
        <v>125</v>
      </c>
      <c r="E313" s="325" t="s">
        <v>119</v>
      </c>
      <c r="F313" s="324">
        <v>0</v>
      </c>
      <c r="G313" s="359" t="s">
        <v>117</v>
      </c>
      <c r="H313" s="326"/>
      <c r="I313" s="326"/>
      <c r="J313" s="326"/>
      <c r="K313" s="326"/>
      <c r="L313" s="326"/>
      <c r="M313" s="326"/>
      <c r="N313" s="466">
        <f>F313*'Social, YP &amp; kinship care'!$K$21</f>
        <v>0</v>
      </c>
      <c r="O313" s="326"/>
      <c r="P313" s="323"/>
    </row>
    <row r="314" spans="1:16" s="321" customFormat="1" hidden="1" x14ac:dyDescent="0.55000000000000004">
      <c r="A314" s="313"/>
      <c r="B314" s="271"/>
      <c r="C314" s="626"/>
      <c r="D314" s="469" t="s">
        <v>126</v>
      </c>
      <c r="E314" s="324">
        <v>0</v>
      </c>
      <c r="F314" s="325" t="s">
        <v>119</v>
      </c>
      <c r="G314" s="360" t="s">
        <v>127</v>
      </c>
      <c r="H314" s="466">
        <f>$E314*(Education!$L$10)</f>
        <v>0</v>
      </c>
      <c r="I314" s="466">
        <f>$E314*(Education!$L$7)</f>
        <v>0</v>
      </c>
      <c r="J314" s="326"/>
      <c r="K314" s="326"/>
      <c r="L314" s="466">
        <f>E314*Education!$L$11</f>
        <v>0</v>
      </c>
      <c r="M314" s="326"/>
      <c r="N314" s="326"/>
      <c r="O314" s="326"/>
      <c r="P314" s="323"/>
    </row>
    <row r="315" spans="1:16" s="321" customFormat="1" hidden="1" x14ac:dyDescent="0.55000000000000004">
      <c r="A315" s="313"/>
      <c r="B315" s="271"/>
      <c r="C315" s="626"/>
      <c r="D315" s="469" t="s">
        <v>128</v>
      </c>
      <c r="E315" s="324">
        <v>0</v>
      </c>
      <c r="F315" s="325" t="s">
        <v>119</v>
      </c>
      <c r="G315" s="360" t="s">
        <v>127</v>
      </c>
      <c r="H315" s="466">
        <f>E315*(Education!$L$16)</f>
        <v>0</v>
      </c>
      <c r="I315" s="466">
        <f>E315*(Education!$L$13)</f>
        <v>0</v>
      </c>
      <c r="J315" s="326"/>
      <c r="K315" s="326"/>
      <c r="L315" s="466">
        <f>E315*(Education!$L$17)</f>
        <v>0</v>
      </c>
      <c r="M315" s="326"/>
      <c r="N315" s="326"/>
      <c r="O315" s="326"/>
      <c r="P315" s="323"/>
    </row>
    <row r="316" spans="1:16" s="321" customFormat="1" hidden="1" x14ac:dyDescent="0.55000000000000004">
      <c r="A316" s="313"/>
      <c r="B316" s="271"/>
      <c r="C316" s="626"/>
      <c r="D316" s="469" t="s">
        <v>129</v>
      </c>
      <c r="E316" s="324">
        <v>0</v>
      </c>
      <c r="F316" s="325" t="s">
        <v>119</v>
      </c>
      <c r="G316" s="361" t="s">
        <v>24</v>
      </c>
      <c r="H316" s="326"/>
      <c r="I316" s="326"/>
      <c r="J316" s="326"/>
      <c r="K316" s="326"/>
      <c r="L316" s="466">
        <f>E316*(Disorders!$L$8+Disorders!$L$10+Disorders!$L$11)</f>
        <v>0</v>
      </c>
      <c r="M316" s="326"/>
      <c r="N316" s="326"/>
      <c r="O316" s="466">
        <f>E316*(Disorders!$N$8+Disorders!$N$9)</f>
        <v>0</v>
      </c>
      <c r="P316" s="323"/>
    </row>
    <row r="317" spans="1:16" s="321" customFormat="1" hidden="1" x14ac:dyDescent="0.55000000000000004">
      <c r="A317" s="313"/>
      <c r="B317" s="271"/>
      <c r="C317" s="626"/>
      <c r="D317" s="469" t="s">
        <v>130</v>
      </c>
      <c r="E317" s="324">
        <v>0</v>
      </c>
      <c r="F317" s="325" t="s">
        <v>119</v>
      </c>
      <c r="G317" s="361" t="s">
        <v>24</v>
      </c>
      <c r="H317" s="326"/>
      <c r="I317" s="326"/>
      <c r="J317" s="326"/>
      <c r="K317" s="326"/>
      <c r="L317" s="466">
        <f>E317*(Disorders!$L$16+Disorders!$L$17+Disorders!$L$18+Disorders!$L$19)</f>
        <v>0</v>
      </c>
      <c r="M317" s="326"/>
      <c r="N317" s="466">
        <f>E317*(Disorders!$M$19)</f>
        <v>0</v>
      </c>
      <c r="O317" s="466">
        <f>E317*Disorders!$N$16</f>
        <v>0</v>
      </c>
      <c r="P317" s="323"/>
    </row>
    <row r="318" spans="1:16" s="321" customFormat="1" hidden="1" x14ac:dyDescent="0.55000000000000004">
      <c r="A318" s="313"/>
      <c r="B318" s="271"/>
      <c r="C318" s="626"/>
      <c r="D318" s="469" t="s">
        <v>131</v>
      </c>
      <c r="E318" s="324">
        <v>0</v>
      </c>
      <c r="F318" s="325" t="s">
        <v>119</v>
      </c>
      <c r="G318" s="361" t="s">
        <v>24</v>
      </c>
      <c r="H318" s="466">
        <f>$E318*(Disorders!$L$23)</f>
        <v>0</v>
      </c>
      <c r="I318" s="466">
        <f>$E318*(Disorders!$L$21)</f>
        <v>0</v>
      </c>
      <c r="J318" s="326"/>
      <c r="K318" s="326"/>
      <c r="L318" s="466">
        <f>$E318*Disorders!$L$22</f>
        <v>0</v>
      </c>
      <c r="M318" s="326"/>
      <c r="N318" s="326"/>
      <c r="O318" s="326"/>
      <c r="P318" s="323"/>
    </row>
    <row r="319" spans="1:16" s="321" customFormat="1" hidden="1" x14ac:dyDescent="0.55000000000000004">
      <c r="A319" s="313"/>
      <c r="B319" s="271"/>
      <c r="C319" s="626"/>
      <c r="D319" s="469" t="s">
        <v>132</v>
      </c>
      <c r="E319" s="324">
        <v>0</v>
      </c>
      <c r="F319" s="325" t="s">
        <v>119</v>
      </c>
      <c r="G319" s="361" t="s">
        <v>24</v>
      </c>
      <c r="H319" s="466">
        <f>$E319*Disorders!$L$26</f>
        <v>0</v>
      </c>
      <c r="I319" s="466">
        <f>$E319*Disorders!$L$28</f>
        <v>0</v>
      </c>
      <c r="J319" s="326"/>
      <c r="K319" s="326"/>
      <c r="L319" s="466">
        <f>$E319*Disorders!$L$25</f>
        <v>0</v>
      </c>
      <c r="M319" s="326"/>
      <c r="N319" s="326"/>
      <c r="O319" s="326"/>
      <c r="P319" s="323"/>
    </row>
    <row r="320" spans="1:16" s="321" customFormat="1" hidden="1" x14ac:dyDescent="0.55000000000000004">
      <c r="A320" s="313"/>
      <c r="B320" s="271"/>
      <c r="C320" s="626"/>
      <c r="D320" s="469" t="s">
        <v>82</v>
      </c>
      <c r="E320" s="324">
        <v>0</v>
      </c>
      <c r="F320" s="324">
        <v>0</v>
      </c>
      <c r="G320" s="362" t="s">
        <v>165</v>
      </c>
      <c r="H320" s="326"/>
      <c r="I320" s="326"/>
      <c r="J320" s="466">
        <f>IF(E320&gt;0,1*Homelessness!$L$6,0)</f>
        <v>0</v>
      </c>
      <c r="K320" s="326"/>
      <c r="L320" s="466">
        <f>E320*(Homelessness!$L$13+Homelessness!$L$14)+F320*Homelessness!$L$8</f>
        <v>0</v>
      </c>
      <c r="M320" s="466" t="e">
        <f>F320*Homelessness!#REF!</f>
        <v>#REF!</v>
      </c>
      <c r="N320" s="326"/>
      <c r="O320" s="466">
        <f>E320*Homelessness!$N$15+F320*Homelessness!$N$10</f>
        <v>0</v>
      </c>
      <c r="P320" s="323"/>
    </row>
    <row r="321" spans="1:16" s="321" customFormat="1" hidden="1" x14ac:dyDescent="0.55000000000000004">
      <c r="A321" s="313"/>
      <c r="B321" s="271"/>
      <c r="C321" s="626"/>
      <c r="D321" s="627" t="s">
        <v>133</v>
      </c>
      <c r="E321" s="627"/>
      <c r="F321" s="627"/>
      <c r="G321" s="344" t="s">
        <v>134</v>
      </c>
      <c r="H321" s="614"/>
      <c r="I321" s="614"/>
      <c r="J321" s="614"/>
      <c r="K321" s="614"/>
      <c r="L321" s="614"/>
      <c r="M321" s="614"/>
      <c r="N321" s="614"/>
      <c r="O321" s="614"/>
      <c r="P321" s="323"/>
    </row>
    <row r="322" spans="1:16" s="321" customFormat="1" hidden="1" x14ac:dyDescent="0.55000000000000004">
      <c r="A322" s="313"/>
      <c r="B322" s="271"/>
      <c r="C322" s="626"/>
      <c r="D322" s="372" t="s">
        <v>166</v>
      </c>
      <c r="E322" s="324">
        <v>0</v>
      </c>
      <c r="F322" s="325" t="s">
        <v>119</v>
      </c>
      <c r="G322" s="344" t="s">
        <v>134</v>
      </c>
      <c r="H322" s="326"/>
      <c r="I322" s="326"/>
      <c r="J322" s="326"/>
      <c r="K322" s="326"/>
      <c r="L322" s="466">
        <f>E322*'NHS &amp; LA treatment'!$L$18</f>
        <v>0</v>
      </c>
      <c r="M322" s="326"/>
      <c r="N322" s="326"/>
      <c r="O322" s="326"/>
      <c r="P322" s="323"/>
    </row>
    <row r="323" spans="1:16" s="321" customFormat="1" hidden="1" x14ac:dyDescent="0.55000000000000004">
      <c r="A323" s="313"/>
      <c r="B323" s="271"/>
      <c r="C323" s="626"/>
      <c r="D323" s="372" t="s">
        <v>167</v>
      </c>
      <c r="E323" s="324">
        <v>0</v>
      </c>
      <c r="F323" s="325" t="s">
        <v>119</v>
      </c>
      <c r="G323" s="344" t="s">
        <v>134</v>
      </c>
      <c r="H323" s="326"/>
      <c r="I323" s="326"/>
      <c r="J323" s="326"/>
      <c r="K323" s="326"/>
      <c r="L323" s="466">
        <f>E323*'NHS &amp; LA treatment'!$L$19</f>
        <v>0</v>
      </c>
      <c r="M323" s="326"/>
      <c r="N323" s="326"/>
      <c r="O323" s="326"/>
      <c r="P323" s="323"/>
    </row>
    <row r="324" spans="1:16" s="321" customFormat="1" hidden="1" x14ac:dyDescent="0.55000000000000004">
      <c r="A324" s="313"/>
      <c r="B324" s="271"/>
      <c r="C324" s="626"/>
      <c r="D324" s="469" t="s">
        <v>135</v>
      </c>
      <c r="E324" s="325" t="s">
        <v>119</v>
      </c>
      <c r="F324" s="324">
        <v>0</v>
      </c>
      <c r="G324" s="363" t="s">
        <v>136</v>
      </c>
      <c r="H324" s="326"/>
      <c r="I324" s="326"/>
      <c r="J324" s="326"/>
      <c r="K324" s="326"/>
      <c r="L324" s="466">
        <f>F324*'DA &amp; crime'!$L$7</f>
        <v>0</v>
      </c>
      <c r="M324" s="466">
        <f>F324*'DA &amp; crime'!$L$10</f>
        <v>0</v>
      </c>
      <c r="N324" s="466">
        <f>F324*('DA &amp; crime'!$M$11+'DA &amp; crime'!$M$8)</f>
        <v>0</v>
      </c>
      <c r="O324" s="466">
        <f>F324*'DA &amp; crime'!$N$9</f>
        <v>0</v>
      </c>
      <c r="P324" s="323"/>
    </row>
    <row r="325" spans="1:16" s="321" customFormat="1" hidden="1" x14ac:dyDescent="0.55000000000000004">
      <c r="A325" s="313"/>
      <c r="B325" s="271"/>
      <c r="C325" s="626"/>
      <c r="D325" s="627" t="s">
        <v>35</v>
      </c>
      <c r="E325" s="627" t="s">
        <v>137</v>
      </c>
      <c r="F325" s="627" t="s">
        <v>137</v>
      </c>
      <c r="G325" s="363" t="s">
        <v>136</v>
      </c>
      <c r="H325" s="326"/>
      <c r="I325" s="326"/>
      <c r="J325" s="326"/>
      <c r="K325" s="326"/>
      <c r="L325" s="326"/>
      <c r="M325" s="326"/>
      <c r="N325" s="326"/>
      <c r="O325" s="326"/>
      <c r="P325" s="323"/>
    </row>
    <row r="326" spans="1:16" s="255" customFormat="1" hidden="1" x14ac:dyDescent="0.55000000000000004">
      <c r="A326" s="313"/>
      <c r="C326" s="626"/>
      <c r="D326" s="372" t="s">
        <v>138</v>
      </c>
      <c r="E326" s="325" t="s">
        <v>119</v>
      </c>
      <c r="F326" s="320">
        <v>0</v>
      </c>
      <c r="G326" s="317"/>
      <c r="H326" s="317"/>
      <c r="I326" s="317"/>
      <c r="J326" s="317"/>
      <c r="K326" s="326"/>
      <c r="L326" s="466">
        <f>F326*AVERAGE('DA &amp; crime'!$L$13,'DA &amp; crime'!$L$19)*6</f>
        <v>0</v>
      </c>
      <c r="M326" s="466">
        <f>F326*AVERAGE('DA &amp; crime'!$L$16,'DA &amp; crime'!$L$22)*6</f>
        <v>0</v>
      </c>
      <c r="N326" s="466">
        <f>F326*AVERAGE('DA &amp; crime'!$M$14,'DA &amp; crime'!$M$17,'DA &amp; crime'!$M$20,'DA &amp; crime'!$M$23)*6</f>
        <v>0</v>
      </c>
      <c r="O326" s="466">
        <f>F326*AVERAGE('DA &amp; crime'!$N$15,'DA &amp; crime'!$N$21)*6</f>
        <v>0</v>
      </c>
      <c r="P326" s="323"/>
    </row>
    <row r="327" spans="1:16" s="321" customFormat="1" hidden="1" x14ac:dyDescent="0.55000000000000004">
      <c r="A327" s="313"/>
      <c r="B327" s="271"/>
      <c r="C327" s="626"/>
      <c r="D327" s="372" t="s">
        <v>139</v>
      </c>
      <c r="E327" s="325" t="s">
        <v>119</v>
      </c>
      <c r="F327" s="324">
        <v>0</v>
      </c>
      <c r="G327" s="363" t="s">
        <v>136</v>
      </c>
      <c r="H327" s="326"/>
      <c r="I327" s="326"/>
      <c r="J327" s="326"/>
      <c r="K327" s="326"/>
      <c r="L327" s="326"/>
      <c r="M327" s="466">
        <f>$F327*'DA &amp; crime'!$L$24*100</f>
        <v>0</v>
      </c>
      <c r="N327" s="326"/>
      <c r="O327" s="326"/>
      <c r="P327" s="323"/>
    </row>
    <row r="328" spans="1:16" s="321" customFormat="1" hidden="1" x14ac:dyDescent="0.55000000000000004">
      <c r="A328" s="313"/>
      <c r="B328" s="271"/>
      <c r="C328" s="626"/>
      <c r="D328" s="372" t="s">
        <v>140</v>
      </c>
      <c r="E328" s="325" t="s">
        <v>119</v>
      </c>
      <c r="F328" s="324">
        <v>0</v>
      </c>
      <c r="G328" s="363" t="s">
        <v>136</v>
      </c>
      <c r="H328" s="326"/>
      <c r="I328" s="326"/>
      <c r="J328" s="326"/>
      <c r="K328" s="326"/>
      <c r="L328" s="466">
        <f>F328*'DA &amp; crime'!$L$26*15</f>
        <v>0</v>
      </c>
      <c r="M328" s="466">
        <f>F328*'DA &amp; crime'!$L$29*15</f>
        <v>0</v>
      </c>
      <c r="N328" s="466">
        <f>F328*('DA &amp; crime'!$M$27+'DA &amp; crime'!$M$30)*15</f>
        <v>0</v>
      </c>
      <c r="O328" s="466">
        <f>F328*'DA &amp; crime'!$N$28*15</f>
        <v>0</v>
      </c>
      <c r="P328" s="323"/>
    </row>
    <row r="329" spans="1:16" s="321" customFormat="1" hidden="1" x14ac:dyDescent="0.55000000000000004">
      <c r="A329" s="313"/>
      <c r="B329" s="271"/>
      <c r="C329" s="626"/>
      <c r="D329" s="372" t="s">
        <v>141</v>
      </c>
      <c r="E329" s="325" t="s">
        <v>119</v>
      </c>
      <c r="F329" s="324">
        <v>0</v>
      </c>
      <c r="G329" s="363" t="s">
        <v>136</v>
      </c>
      <c r="H329" s="326"/>
      <c r="I329" s="326"/>
      <c r="J329" s="326"/>
      <c r="K329" s="326"/>
      <c r="L329" s="466">
        <f>F329*'DA &amp; crime'!$L$32*25</f>
        <v>0</v>
      </c>
      <c r="M329" s="466">
        <f>F329*'DA &amp; crime'!$L$35*25</f>
        <v>0</v>
      </c>
      <c r="N329" s="466">
        <f>F329*('DA &amp; crime'!$M$33+'DA &amp; crime'!$M$36)*25</f>
        <v>0</v>
      </c>
      <c r="O329" s="466">
        <f>F329*'DA &amp; crime'!$N$34*25</f>
        <v>0</v>
      </c>
      <c r="P329" s="323"/>
    </row>
    <row r="330" spans="1:16" s="321" customFormat="1" ht="15.3" x14ac:dyDescent="0.55000000000000004">
      <c r="A330" s="313"/>
      <c r="B330" s="271"/>
      <c r="C330" s="626"/>
      <c r="D330" s="372" t="s">
        <v>142</v>
      </c>
      <c r="E330" s="316" t="s">
        <v>119</v>
      </c>
      <c r="F330" s="320">
        <v>1</v>
      </c>
      <c r="G330" s="261"/>
      <c r="H330" s="317"/>
      <c r="I330" s="317"/>
      <c r="J330" s="317"/>
      <c r="K330" s="317"/>
      <c r="L330" s="317"/>
      <c r="M330" s="466">
        <f>$F330*'DA &amp; crime'!$L$44*6</f>
        <v>3000</v>
      </c>
      <c r="N330" s="317"/>
      <c r="O330" s="317"/>
      <c r="P330" s="275"/>
    </row>
    <row r="331" spans="1:16" s="321" customFormat="1" x14ac:dyDescent="0.55000000000000004">
      <c r="A331" s="313"/>
      <c r="B331" s="271"/>
      <c r="C331" s="626"/>
      <c r="D331" s="628" t="s">
        <v>143</v>
      </c>
      <c r="E331" s="628"/>
      <c r="F331" s="628"/>
      <c r="G331" s="628"/>
      <c r="H331" s="338" t="s">
        <v>186</v>
      </c>
      <c r="I331" s="338" t="s">
        <v>187</v>
      </c>
      <c r="J331" s="338" t="s">
        <v>187</v>
      </c>
      <c r="K331" s="317"/>
      <c r="L331" s="338" t="s">
        <v>187</v>
      </c>
      <c r="M331" s="338" t="s">
        <v>186</v>
      </c>
      <c r="N331" s="338" t="s">
        <v>187</v>
      </c>
      <c r="O331" s="338" t="s">
        <v>187</v>
      </c>
      <c r="P331" s="323"/>
    </row>
    <row r="332" spans="1:16" s="321" customFormat="1" x14ac:dyDescent="0.55000000000000004">
      <c r="A332" s="313"/>
      <c r="B332" s="271"/>
      <c r="C332" s="626"/>
      <c r="D332" s="628" t="s">
        <v>188</v>
      </c>
      <c r="E332" s="628"/>
      <c r="F332" s="628"/>
      <c r="G332" s="628"/>
      <c r="H332" s="337">
        <f>IF(H331="No","(£"&amp;(ROUND(SMALL(H307:H330,COUNTIF(H307:H330,0)+1),0))&amp;" - £"&amp;(ROUND(MAX(H307:H330),0))&amp;")",SUM(H307:H330))</f>
        <v>18600</v>
      </c>
      <c r="I332" s="337">
        <f t="shared" ref="I332:O332" si="20">IF(I331="No","(£"&amp;(ROUND(SMALL(I307:I330,COUNTIF(I307:I330,0)+1),0))&amp;" - £"&amp;(ROUND(MAX(I307:I330),0))&amp;")",SUM(I307:I330))</f>
        <v>0</v>
      </c>
      <c r="J332" s="337">
        <f t="shared" si="20"/>
        <v>0</v>
      </c>
      <c r="K332" s="317"/>
      <c r="L332" s="337">
        <f t="shared" si="20"/>
        <v>0</v>
      </c>
      <c r="M332" s="337">
        <v>3000</v>
      </c>
      <c r="N332" s="337">
        <f t="shared" si="20"/>
        <v>0</v>
      </c>
      <c r="O332" s="337">
        <f t="shared" si="20"/>
        <v>0</v>
      </c>
      <c r="P332" s="323"/>
    </row>
    <row r="333" spans="1:16" s="321" customFormat="1" hidden="1" x14ac:dyDescent="0.55000000000000004">
      <c r="A333" s="313"/>
      <c r="B333" s="357"/>
      <c r="C333" s="341"/>
      <c r="D333" s="468"/>
      <c r="E333" s="468"/>
      <c r="F333" s="468"/>
      <c r="G333" s="468"/>
      <c r="H333" s="342">
        <f>IF(H331="No",SMALL((H307:H330),COUNTIF(H307:H330,0)+1),SUM(H307:H330))</f>
        <v>18600</v>
      </c>
      <c r="I333" s="342">
        <f t="shared" ref="I333:O333" si="21">IF(I331="No",SMALL((I307:I330),COUNTIF(I307:I330,0)+1),SUM(I307:I330))</f>
        <v>0</v>
      </c>
      <c r="J333" s="342">
        <f t="shared" si="21"/>
        <v>0</v>
      </c>
      <c r="K333" s="317"/>
      <c r="L333" s="342">
        <f t="shared" si="21"/>
        <v>0</v>
      </c>
      <c r="M333" s="342">
        <v>3000</v>
      </c>
      <c r="N333" s="342">
        <f t="shared" si="21"/>
        <v>0</v>
      </c>
      <c r="O333" s="342">
        <f t="shared" si="21"/>
        <v>0</v>
      </c>
      <c r="P333" s="358"/>
    </row>
    <row r="334" spans="1:16" s="321" customFormat="1" hidden="1" x14ac:dyDescent="0.55000000000000004">
      <c r="A334" s="313"/>
      <c r="B334" s="357"/>
      <c r="C334" s="341"/>
      <c r="D334" s="468"/>
      <c r="E334" s="468"/>
      <c r="F334" s="468"/>
      <c r="G334" s="468"/>
      <c r="H334" s="342">
        <f>IF(H331="No",MAX(H307:H330),SUM(H307:H330))</f>
        <v>18600</v>
      </c>
      <c r="I334" s="342">
        <f t="shared" ref="I334:O334" si="22">IF(I331="No",MAX(I307:I330),SUM(I307:I330))</f>
        <v>0</v>
      </c>
      <c r="J334" s="342">
        <f t="shared" si="22"/>
        <v>0</v>
      </c>
      <c r="K334" s="317"/>
      <c r="L334" s="342">
        <f t="shared" si="22"/>
        <v>0</v>
      </c>
      <c r="M334" s="342">
        <v>3000</v>
      </c>
      <c r="N334" s="342">
        <f t="shared" si="22"/>
        <v>0</v>
      </c>
      <c r="O334" s="342">
        <f t="shared" si="22"/>
        <v>0</v>
      </c>
      <c r="P334" s="358"/>
    </row>
    <row r="335" spans="1:16" s="321" customFormat="1" x14ac:dyDescent="0.55000000000000004">
      <c r="A335" s="313"/>
      <c r="B335" s="271"/>
      <c r="C335" s="626" t="s">
        <v>145</v>
      </c>
      <c r="D335" s="627" t="s">
        <v>146</v>
      </c>
      <c r="E335" s="627">
        <v>0</v>
      </c>
      <c r="F335" s="627">
        <v>0</v>
      </c>
      <c r="G335" s="344" t="s">
        <v>134</v>
      </c>
      <c r="H335" s="614"/>
      <c r="I335" s="614"/>
      <c r="J335" s="614"/>
      <c r="K335" s="614"/>
      <c r="L335" s="614"/>
      <c r="M335" s="614"/>
      <c r="N335" s="614"/>
      <c r="O335" s="614"/>
      <c r="P335" s="323"/>
    </row>
    <row r="336" spans="1:16" s="321" customFormat="1" hidden="1" x14ac:dyDescent="0.55000000000000004">
      <c r="A336" s="313"/>
      <c r="C336" s="626"/>
      <c r="D336" s="372" t="s">
        <v>170</v>
      </c>
      <c r="E336" s="325" t="s">
        <v>119</v>
      </c>
      <c r="F336" s="324">
        <v>0</v>
      </c>
      <c r="G336" s="344" t="s">
        <v>134</v>
      </c>
      <c r="H336" s="326"/>
      <c r="I336" s="326"/>
      <c r="J336" s="332">
        <f>F336*'NHS &amp; LA treatment'!$L$20</f>
        <v>0</v>
      </c>
      <c r="K336" s="326"/>
      <c r="L336" s="326"/>
      <c r="M336" s="326"/>
      <c r="N336" s="326"/>
      <c r="O336" s="323"/>
    </row>
    <row r="337" spans="1:16" s="321" customFormat="1" hidden="1" x14ac:dyDescent="0.55000000000000004">
      <c r="A337" s="313"/>
      <c r="B337" s="271"/>
      <c r="C337" s="626"/>
      <c r="D337" s="372" t="s">
        <v>171</v>
      </c>
      <c r="E337" s="325" t="s">
        <v>119</v>
      </c>
      <c r="F337" s="324">
        <v>0</v>
      </c>
      <c r="G337" s="344" t="s">
        <v>134</v>
      </c>
      <c r="H337" s="326"/>
      <c r="I337" s="326"/>
      <c r="J337" s="326"/>
      <c r="K337" s="332">
        <f>F337*'NHS &amp; LA treatment'!$L$21</f>
        <v>0</v>
      </c>
      <c r="L337" s="326"/>
      <c r="M337" s="326"/>
      <c r="N337" s="326"/>
      <c r="O337" s="326"/>
      <c r="P337" s="323"/>
    </row>
    <row r="338" spans="1:16" s="321" customFormat="1" x14ac:dyDescent="0.55000000000000004">
      <c r="A338" s="313"/>
      <c r="B338" s="271"/>
      <c r="C338" s="626"/>
      <c r="D338" s="372" t="s">
        <v>172</v>
      </c>
      <c r="E338" s="325" t="s">
        <v>119</v>
      </c>
      <c r="F338" s="324">
        <f>1+(1*0.5)</f>
        <v>1.5</v>
      </c>
      <c r="G338" s="344" t="s">
        <v>134</v>
      </c>
      <c r="H338" s="326"/>
      <c r="I338" s="326"/>
      <c r="J338" s="326"/>
      <c r="K338" s="371">
        <f>F338*'NHS &amp; LA treatment'!$L$22</f>
        <v>1950</v>
      </c>
      <c r="L338" s="326"/>
      <c r="M338" s="326"/>
      <c r="N338" s="326"/>
      <c r="O338" s="326"/>
      <c r="P338" s="323" t="s">
        <v>205</v>
      </c>
    </row>
    <row r="339" spans="1:16" s="321" customFormat="1" hidden="1" x14ac:dyDescent="0.55000000000000004">
      <c r="A339" s="313"/>
      <c r="B339" s="271"/>
      <c r="C339" s="626"/>
      <c r="D339" s="372" t="s">
        <v>173</v>
      </c>
      <c r="E339" s="324">
        <v>0</v>
      </c>
      <c r="F339" s="325" t="s">
        <v>119</v>
      </c>
      <c r="G339" s="344" t="s">
        <v>134</v>
      </c>
      <c r="H339" s="326"/>
      <c r="I339" s="326"/>
      <c r="J339" s="326"/>
      <c r="K339" s="371">
        <f>E339*'NHS &amp; LA treatment'!$L$23</f>
        <v>0</v>
      </c>
      <c r="L339" s="326"/>
      <c r="M339" s="326"/>
      <c r="N339" s="326"/>
      <c r="O339" s="326"/>
      <c r="P339" s="323"/>
    </row>
    <row r="340" spans="1:16" s="321" customFormat="1" x14ac:dyDescent="0.55000000000000004">
      <c r="A340" s="313"/>
      <c r="B340" s="271"/>
      <c r="C340" s="626"/>
      <c r="D340" s="372" t="s">
        <v>174</v>
      </c>
      <c r="E340" s="325" t="s">
        <v>119</v>
      </c>
      <c r="F340" s="324">
        <v>1</v>
      </c>
      <c r="G340" s="344" t="s">
        <v>134</v>
      </c>
      <c r="H340" s="326"/>
      <c r="I340" s="326"/>
      <c r="J340" s="326"/>
      <c r="K340" s="371">
        <f>F340*'NHS &amp; LA treatment'!$L$24</f>
        <v>2400</v>
      </c>
      <c r="L340" s="326"/>
      <c r="M340" s="326"/>
      <c r="N340" s="326"/>
      <c r="O340" s="326"/>
      <c r="P340" s="323"/>
    </row>
    <row r="341" spans="1:16" s="321" customFormat="1" hidden="1" x14ac:dyDescent="0.55000000000000004">
      <c r="A341" s="313"/>
      <c r="B341" s="271"/>
      <c r="C341" s="626"/>
      <c r="D341" s="372" t="s">
        <v>175</v>
      </c>
      <c r="E341" s="325" t="s">
        <v>119</v>
      </c>
      <c r="F341" s="324">
        <v>0</v>
      </c>
      <c r="G341" s="344" t="s">
        <v>134</v>
      </c>
      <c r="H341" s="326"/>
      <c r="I341" s="326"/>
      <c r="J341" s="326"/>
      <c r="K341" s="371">
        <f>F341*'NHS &amp; LA treatment'!$L$25</f>
        <v>0</v>
      </c>
      <c r="L341" s="326"/>
      <c r="M341" s="326"/>
      <c r="N341" s="326"/>
      <c r="O341" s="326"/>
      <c r="P341" s="323"/>
    </row>
    <row r="342" spans="1:16" s="321" customFormat="1" x14ac:dyDescent="0.55000000000000004">
      <c r="A342" s="313"/>
      <c r="B342" s="271"/>
      <c r="C342" s="626"/>
      <c r="D342" s="615" t="s">
        <v>147</v>
      </c>
      <c r="E342" s="616"/>
      <c r="F342" s="616"/>
      <c r="G342" s="617"/>
      <c r="H342" s="326"/>
      <c r="I342" s="326"/>
      <c r="J342" s="326"/>
      <c r="K342" s="371">
        <f>0</f>
        <v>0</v>
      </c>
      <c r="L342" s="326"/>
      <c r="M342" s="326"/>
      <c r="N342" s="326"/>
      <c r="O342" s="326"/>
      <c r="P342" s="323"/>
    </row>
    <row r="343" spans="1:16" s="321" customFormat="1" x14ac:dyDescent="0.55000000000000004">
      <c r="A343" s="313"/>
      <c r="B343" s="271"/>
      <c r="C343" s="626"/>
      <c r="D343" s="615" t="s">
        <v>791</v>
      </c>
      <c r="E343" s="616"/>
      <c r="F343" s="616"/>
      <c r="G343" s="617"/>
      <c r="H343" s="371">
        <v>0</v>
      </c>
      <c r="I343" s="326"/>
      <c r="J343" s="326"/>
      <c r="K343" s="371">
        <f>0</f>
        <v>0</v>
      </c>
      <c r="L343" s="326"/>
      <c r="M343" s="326"/>
      <c r="N343" s="326"/>
      <c r="O343" s="326"/>
      <c r="P343" s="323"/>
    </row>
    <row r="344" spans="1:16" s="321" customFormat="1" x14ac:dyDescent="0.55000000000000004">
      <c r="A344" s="313"/>
      <c r="B344" s="271"/>
      <c r="C344" s="626"/>
      <c r="D344" s="618" t="s">
        <v>148</v>
      </c>
      <c r="E344" s="619"/>
      <c r="F344" s="619"/>
      <c r="G344" s="620"/>
      <c r="H344" s="337">
        <f>SUM(H336:H343)</f>
        <v>0</v>
      </c>
      <c r="I344" s="326"/>
      <c r="J344" s="326"/>
      <c r="K344" s="337">
        <f>SUM(K336:K343)</f>
        <v>4350</v>
      </c>
      <c r="L344" s="326"/>
      <c r="M344" s="326"/>
      <c r="N344" s="326"/>
      <c r="O344" s="326"/>
      <c r="P344" s="323"/>
    </row>
    <row r="346" spans="1:16" ht="15.3" x14ac:dyDescent="0.55000000000000004">
      <c r="D346" s="432"/>
      <c r="E346" s="610" t="s">
        <v>149</v>
      </c>
      <c r="F346" s="611"/>
    </row>
    <row r="347" spans="1:16" ht="15.3" x14ac:dyDescent="0.55000000000000004">
      <c r="D347" s="434" t="s">
        <v>148</v>
      </c>
      <c r="E347" s="612">
        <f>SUM(H344:O344)</f>
        <v>4350</v>
      </c>
      <c r="F347" s="613"/>
    </row>
    <row r="348" spans="1:16" ht="15.3" x14ac:dyDescent="0.55000000000000004">
      <c r="D348" s="343" t="s">
        <v>150</v>
      </c>
      <c r="E348" s="577" t="str">
        <f>IF(SUM(H333:K333)=SUM(H334:K334),TEXT(ROUND(SUM(H333:K333),-1),"#,#"),TEXT(ROUND(SUM(H333:K333),-1)," #,# - ")&amp;TEXT(ROUND(SUM(H334:K334),-1),"#,#"))</f>
        <v>18,600</v>
      </c>
      <c r="F348" s="578"/>
      <c r="H348" s="273"/>
    </row>
    <row r="349" spans="1:16" ht="15.3" x14ac:dyDescent="0.55000000000000004">
      <c r="D349" s="343" t="s">
        <v>151</v>
      </c>
      <c r="E349" s="577" t="str">
        <f>IF(SUM(H333:K333)=SUM(H334:K334),TEXT(ROUND(SUM(H333:K333)-E347,-1),"#,#"),TEXT(ROUND(SUM(H333:K333)-E347,-1),"#,# - ")&amp;TEXT(ROUND(SUM(H334:K334)-E347,-1),"#,#"))</f>
        <v>14,250</v>
      </c>
      <c r="F349" s="578"/>
      <c r="K349" s="273"/>
      <c r="L349" s="273"/>
    </row>
    <row r="350" spans="1:16" ht="15.3" x14ac:dyDescent="0.55000000000000004">
      <c r="D350" s="343" t="s">
        <v>152</v>
      </c>
      <c r="E350" s="577" t="str">
        <f>IFERROR(IF(SUM(H333:K333)=SUM(H334:K334),TEXT(ROUND(SUM(H333:K333)/E347,2),"#.#0"),TEXT(ROUND(SUM(H333:K333)/E347,2),"#.#0 - ")&amp;TEXT(ROUND(SUM(H334:K334)/E347,2),"#.#0")),0)</f>
        <v>4.28</v>
      </c>
      <c r="F350" s="578"/>
      <c r="K350" s="273"/>
      <c r="L350" s="273"/>
    </row>
    <row r="351" spans="1:16" ht="15.3" x14ac:dyDescent="0.55000000000000004">
      <c r="D351" s="339" t="s">
        <v>153</v>
      </c>
      <c r="E351" s="577" t="str">
        <f>IF(SUM(H333:O333)=SUM(H334:O334),TEXT(ROUND(SUM(H333:O333),-1),"#,#"),TEXT(ROUND(SUM(H333:O333),-1)," #,# - ")&amp;TEXT(ROUND(SUM(H334:O334),-1),"#,#"))</f>
        <v>21,600</v>
      </c>
      <c r="F351" s="578"/>
      <c r="K351" s="273"/>
    </row>
    <row r="352" spans="1:16" ht="15.3" x14ac:dyDescent="0.55000000000000004">
      <c r="D352" s="339" t="s">
        <v>154</v>
      </c>
      <c r="E352" s="577" t="str">
        <f>IF(SUM(H333:O333)=SUM(H334:O334),TEXT(ROUND(SUM(H333:O333)-E347,-1)," #,#"),TEXT(ROUND(SUM(H333:O333)-E347,-1),"#,# - ")&amp;TEXT(ROUND(SUM(H334:O334)-E347,-1),"#,#"))</f>
        <v xml:space="preserve"> 17,250</v>
      </c>
      <c r="F352" s="578"/>
      <c r="K352" s="273"/>
    </row>
    <row r="353" spans="3:10" ht="15.3" x14ac:dyDescent="0.55000000000000004">
      <c r="C353" s="319"/>
      <c r="D353" s="343" t="s">
        <v>155</v>
      </c>
      <c r="E353" s="577" t="str">
        <f>IFERROR(IF(SUM(H333:O333)=SUM(H334:O334),TEXT(ROUND(SUM(H333:O333)/E347,2),"#.#0"),TEXT(ROUND(SUM(H333:O333)/E347,2),"#.#0 - ")&amp;TEXT(ROUND(SUM(H334:O334)/E347,2),"#.#0")),0)</f>
        <v>4.97</v>
      </c>
      <c r="F353" s="578"/>
      <c r="G353" s="319"/>
      <c r="H353" s="319"/>
      <c r="I353" s="319"/>
      <c r="J353" s="319"/>
    </row>
    <row r="354" spans="3:10" x14ac:dyDescent="0.55000000000000004">
      <c r="C354" s="319"/>
      <c r="D354" s="319"/>
      <c r="E354" s="319"/>
      <c r="F354" s="319"/>
      <c r="G354" s="319"/>
      <c r="H354" s="319"/>
      <c r="I354" s="319"/>
      <c r="J354" s="319"/>
    </row>
    <row r="355" spans="3:10" x14ac:dyDescent="0.55000000000000004">
      <c r="C355" s="319"/>
      <c r="D355" s="319"/>
      <c r="E355" s="319"/>
      <c r="F355" s="319"/>
      <c r="G355" s="319"/>
      <c r="H355" s="319"/>
      <c r="I355" s="319"/>
      <c r="J355" s="319"/>
    </row>
    <row r="356" spans="3:10" x14ac:dyDescent="0.55000000000000004">
      <c r="C356" s="319"/>
      <c r="D356" s="319"/>
      <c r="E356" s="319"/>
      <c r="F356" s="319"/>
      <c r="G356" s="319"/>
      <c r="H356" s="319"/>
      <c r="I356" s="319"/>
      <c r="J356" s="319"/>
    </row>
    <row r="357" spans="3:10" x14ac:dyDescent="0.55000000000000004">
      <c r="C357" s="319"/>
      <c r="D357" s="319"/>
      <c r="E357" s="319"/>
      <c r="F357" s="319"/>
      <c r="G357" s="319"/>
      <c r="H357" s="319"/>
      <c r="I357" s="319"/>
      <c r="J357" s="319"/>
    </row>
    <row r="358" spans="3:10" x14ac:dyDescent="0.55000000000000004">
      <c r="C358" s="319"/>
      <c r="D358" s="319"/>
      <c r="E358" s="319"/>
      <c r="F358" s="319"/>
      <c r="G358" s="319"/>
      <c r="H358" s="319"/>
      <c r="I358" s="319"/>
      <c r="J358" s="319"/>
    </row>
    <row r="359" spans="3:10" x14ac:dyDescent="0.55000000000000004">
      <c r="C359" s="319"/>
      <c r="D359" s="319"/>
      <c r="E359" s="319"/>
      <c r="F359" s="319"/>
      <c r="G359" s="319"/>
      <c r="H359" s="319"/>
      <c r="I359" s="319"/>
      <c r="J359" s="319"/>
    </row>
    <row r="360" spans="3:10" x14ac:dyDescent="0.55000000000000004">
      <c r="C360" s="319"/>
      <c r="D360" s="319"/>
      <c r="E360" s="319"/>
      <c r="F360" s="319"/>
      <c r="G360" s="319"/>
      <c r="H360" s="319"/>
      <c r="I360" s="319"/>
      <c r="J360" s="319"/>
    </row>
    <row r="361" spans="3:10" x14ac:dyDescent="0.55000000000000004">
      <c r="C361" s="319"/>
      <c r="D361" s="319"/>
      <c r="E361" s="319"/>
      <c r="F361" s="319"/>
      <c r="G361" s="319"/>
      <c r="H361" s="319"/>
      <c r="I361" s="319"/>
      <c r="J361" s="319"/>
    </row>
    <row r="362" spans="3:10" x14ac:dyDescent="0.55000000000000004">
      <c r="C362" s="319"/>
      <c r="D362" s="319"/>
      <c r="E362" s="319"/>
      <c r="F362" s="319"/>
      <c r="G362" s="319"/>
      <c r="H362" s="319"/>
      <c r="I362" s="319"/>
      <c r="J362" s="319"/>
    </row>
    <row r="363" spans="3:10" x14ac:dyDescent="0.55000000000000004">
      <c r="C363" s="319"/>
      <c r="D363" s="319"/>
      <c r="E363" s="319"/>
      <c r="F363" s="319"/>
      <c r="G363" s="319"/>
      <c r="H363" s="319"/>
      <c r="I363" s="319"/>
      <c r="J363" s="319"/>
    </row>
    <row r="364" spans="3:10" x14ac:dyDescent="0.55000000000000004">
      <c r="C364" s="319"/>
      <c r="D364" s="319"/>
      <c r="E364" s="319"/>
      <c r="F364" s="319"/>
      <c r="G364" s="319"/>
      <c r="H364" s="319"/>
      <c r="I364" s="319"/>
      <c r="J364" s="319"/>
    </row>
    <row r="365" spans="3:10" x14ac:dyDescent="0.55000000000000004">
      <c r="C365" s="319"/>
      <c r="D365" s="319"/>
      <c r="E365" s="319"/>
      <c r="F365" s="319"/>
      <c r="G365" s="319"/>
      <c r="H365" s="319"/>
      <c r="I365" s="319"/>
      <c r="J365" s="319"/>
    </row>
    <row r="366" spans="3:10" x14ac:dyDescent="0.55000000000000004">
      <c r="C366" s="319"/>
      <c r="D366" s="319"/>
      <c r="E366" s="319"/>
      <c r="F366" s="319"/>
      <c r="G366" s="319"/>
      <c r="H366" s="319"/>
      <c r="I366" s="319"/>
      <c r="J366" s="319"/>
    </row>
    <row r="367" spans="3:10" x14ac:dyDescent="0.55000000000000004">
      <c r="C367" s="319"/>
      <c r="D367" s="319"/>
      <c r="E367" s="319"/>
      <c r="F367" s="319"/>
      <c r="G367" s="319"/>
      <c r="H367" s="319"/>
      <c r="I367" s="319"/>
      <c r="J367" s="319"/>
    </row>
    <row r="368" spans="3:10" x14ac:dyDescent="0.55000000000000004">
      <c r="C368" s="319"/>
      <c r="D368" s="319"/>
      <c r="E368" s="319"/>
      <c r="F368" s="319"/>
      <c r="G368" s="319"/>
      <c r="H368" s="319"/>
      <c r="I368" s="319"/>
      <c r="J368" s="319"/>
    </row>
    <row r="369" spans="3:10" x14ac:dyDescent="0.55000000000000004">
      <c r="C369" s="319"/>
      <c r="D369" s="319"/>
      <c r="E369" s="319"/>
      <c r="F369" s="319"/>
      <c r="G369" s="319"/>
      <c r="H369" s="319"/>
      <c r="I369" s="319"/>
      <c r="J369" s="319"/>
    </row>
    <row r="370" spans="3:10" x14ac:dyDescent="0.55000000000000004">
      <c r="C370" s="319"/>
      <c r="D370" s="319"/>
      <c r="E370" s="319"/>
      <c r="F370" s="319"/>
      <c r="G370" s="319"/>
      <c r="H370" s="319"/>
      <c r="I370" s="319"/>
      <c r="J370" s="319"/>
    </row>
    <row r="371" spans="3:10" x14ac:dyDescent="0.55000000000000004">
      <c r="C371" s="319"/>
      <c r="D371" s="319"/>
      <c r="E371" s="319"/>
      <c r="F371" s="319"/>
      <c r="G371" s="319"/>
      <c r="H371" s="319"/>
      <c r="I371" s="319"/>
      <c r="J371" s="319"/>
    </row>
    <row r="372" spans="3:10" x14ac:dyDescent="0.55000000000000004">
      <c r="C372" s="319"/>
      <c r="D372" s="319"/>
      <c r="E372" s="319"/>
      <c r="F372" s="319"/>
      <c r="G372" s="319"/>
      <c r="H372" s="319"/>
      <c r="I372" s="319"/>
      <c r="J372" s="319"/>
    </row>
    <row r="373" spans="3:10" x14ac:dyDescent="0.55000000000000004">
      <c r="C373" s="319"/>
      <c r="D373" s="319"/>
      <c r="E373" s="319"/>
      <c r="F373" s="319"/>
      <c r="G373" s="319"/>
      <c r="H373" s="319"/>
      <c r="I373" s="319"/>
      <c r="J373" s="319"/>
    </row>
    <row r="374" spans="3:10" x14ac:dyDescent="0.55000000000000004">
      <c r="C374" s="319"/>
      <c r="D374" s="319"/>
      <c r="E374" s="319"/>
      <c r="F374" s="319"/>
      <c r="G374" s="319"/>
      <c r="H374" s="319"/>
      <c r="I374" s="319"/>
      <c r="J374" s="319"/>
    </row>
    <row r="375" spans="3:10" x14ac:dyDescent="0.55000000000000004">
      <c r="C375" s="319"/>
      <c r="D375" s="319"/>
      <c r="E375" s="319"/>
      <c r="F375" s="319"/>
      <c r="G375" s="319"/>
      <c r="H375" s="319"/>
      <c r="I375" s="319"/>
      <c r="J375" s="319"/>
    </row>
    <row r="376" spans="3:10" x14ac:dyDescent="0.55000000000000004">
      <c r="C376" s="319"/>
      <c r="D376" s="319"/>
      <c r="E376" s="319"/>
      <c r="F376" s="319"/>
      <c r="G376" s="319"/>
      <c r="H376" s="319"/>
      <c r="I376" s="319"/>
      <c r="J376" s="319"/>
    </row>
    <row r="377" spans="3:10" x14ac:dyDescent="0.55000000000000004">
      <c r="C377" s="319"/>
      <c r="D377" s="319"/>
      <c r="E377" s="319"/>
      <c r="F377" s="319"/>
      <c r="G377" s="319"/>
      <c r="H377" s="319"/>
      <c r="I377" s="319"/>
      <c r="J377" s="319"/>
    </row>
    <row r="378" spans="3:10" x14ac:dyDescent="0.55000000000000004">
      <c r="C378" s="319"/>
      <c r="D378" s="319"/>
      <c r="E378" s="319"/>
      <c r="F378" s="319"/>
      <c r="G378" s="319"/>
      <c r="H378" s="319"/>
      <c r="I378" s="319"/>
      <c r="J378" s="319"/>
    </row>
    <row r="379" spans="3:10" x14ac:dyDescent="0.55000000000000004">
      <c r="C379" s="319"/>
      <c r="D379" s="319"/>
      <c r="E379" s="319"/>
      <c r="F379" s="319"/>
      <c r="G379" s="319"/>
      <c r="H379" s="319"/>
      <c r="I379" s="319"/>
      <c r="J379" s="319"/>
    </row>
    <row r="380" spans="3:10" x14ac:dyDescent="0.55000000000000004">
      <c r="C380" s="319"/>
      <c r="D380" s="319"/>
      <c r="E380" s="319"/>
      <c r="F380" s="319"/>
      <c r="G380" s="319"/>
      <c r="H380" s="319"/>
      <c r="I380" s="319"/>
      <c r="J380" s="319"/>
    </row>
    <row r="381" spans="3:10" x14ac:dyDescent="0.55000000000000004">
      <c r="C381" s="319"/>
      <c r="D381" s="319"/>
      <c r="E381" s="319"/>
      <c r="F381" s="319"/>
      <c r="G381" s="319"/>
      <c r="H381" s="319"/>
      <c r="I381" s="319"/>
      <c r="J381" s="319"/>
    </row>
    <row r="382" spans="3:10" x14ac:dyDescent="0.55000000000000004">
      <c r="C382" s="319"/>
      <c r="D382" s="319"/>
      <c r="E382" s="319"/>
      <c r="F382" s="319"/>
      <c r="G382" s="319"/>
      <c r="H382" s="319"/>
      <c r="I382" s="319"/>
      <c r="J382" s="319"/>
    </row>
    <row r="383" spans="3:10" x14ac:dyDescent="0.55000000000000004">
      <c r="C383" s="319"/>
      <c r="D383" s="319"/>
      <c r="E383" s="319"/>
      <c r="F383" s="319"/>
      <c r="G383" s="319"/>
      <c r="H383" s="319"/>
      <c r="I383" s="319"/>
      <c r="J383" s="319"/>
    </row>
    <row r="384" spans="3:10" x14ac:dyDescent="0.55000000000000004">
      <c r="C384" s="319"/>
      <c r="D384" s="319"/>
      <c r="E384" s="319"/>
      <c r="F384" s="319"/>
      <c r="G384" s="319"/>
      <c r="H384" s="319"/>
      <c r="I384" s="319"/>
      <c r="J384" s="319"/>
    </row>
    <row r="385" spans="3:10" x14ac:dyDescent="0.55000000000000004">
      <c r="C385" s="319"/>
      <c r="D385" s="319"/>
      <c r="E385" s="319"/>
      <c r="F385" s="319"/>
      <c r="G385" s="319"/>
      <c r="H385" s="319"/>
      <c r="I385" s="319"/>
      <c r="J385" s="319"/>
    </row>
    <row r="386" spans="3:10" x14ac:dyDescent="0.55000000000000004">
      <c r="C386" s="319"/>
      <c r="D386" s="319"/>
      <c r="E386" s="319"/>
      <c r="F386" s="319"/>
      <c r="G386" s="319"/>
      <c r="H386" s="319"/>
      <c r="I386" s="319"/>
      <c r="J386" s="319"/>
    </row>
    <row r="387" spans="3:10" x14ac:dyDescent="0.55000000000000004">
      <c r="C387" s="319"/>
      <c r="D387" s="319"/>
      <c r="E387" s="319"/>
      <c r="F387" s="319"/>
      <c r="G387" s="319"/>
      <c r="H387" s="319"/>
      <c r="I387" s="319"/>
      <c r="J387" s="319"/>
    </row>
    <row r="388" spans="3:10" x14ac:dyDescent="0.55000000000000004">
      <c r="C388" s="319"/>
      <c r="D388" s="319"/>
      <c r="E388" s="319"/>
      <c r="F388" s="319"/>
      <c r="G388" s="319"/>
      <c r="H388" s="319"/>
      <c r="I388" s="319"/>
      <c r="J388" s="319"/>
    </row>
    <row r="389" spans="3:10" x14ac:dyDescent="0.55000000000000004">
      <c r="C389" s="319"/>
      <c r="D389" s="319"/>
      <c r="E389" s="319"/>
      <c r="F389" s="319"/>
      <c r="G389" s="319"/>
      <c r="H389" s="319"/>
      <c r="I389" s="319"/>
      <c r="J389" s="319"/>
    </row>
    <row r="390" spans="3:10" x14ac:dyDescent="0.55000000000000004">
      <c r="C390" s="319"/>
      <c r="D390" s="319"/>
      <c r="E390" s="319"/>
      <c r="F390" s="319"/>
      <c r="G390" s="319"/>
      <c r="H390" s="319"/>
      <c r="I390" s="319"/>
      <c r="J390" s="319"/>
    </row>
    <row r="391" spans="3:10" x14ac:dyDescent="0.55000000000000004">
      <c r="C391" s="319"/>
      <c r="D391" s="319"/>
      <c r="E391" s="319"/>
      <c r="F391" s="319"/>
      <c r="G391" s="319"/>
      <c r="H391" s="319"/>
      <c r="I391" s="319"/>
      <c r="J391" s="319"/>
    </row>
    <row r="392" spans="3:10" x14ac:dyDescent="0.55000000000000004">
      <c r="C392" s="319"/>
      <c r="D392" s="319"/>
      <c r="E392" s="319"/>
      <c r="F392" s="319"/>
      <c r="G392" s="319"/>
      <c r="H392" s="319"/>
      <c r="I392" s="319"/>
      <c r="J392" s="319"/>
    </row>
    <row r="393" spans="3:10" x14ac:dyDescent="0.55000000000000004">
      <c r="C393" s="319"/>
      <c r="D393" s="319"/>
      <c r="E393" s="319"/>
      <c r="F393" s="319"/>
      <c r="G393" s="319"/>
      <c r="H393" s="319"/>
      <c r="I393" s="319"/>
      <c r="J393" s="319"/>
    </row>
    <row r="394" spans="3:10" x14ac:dyDescent="0.55000000000000004">
      <c r="C394" s="319"/>
      <c r="D394" s="319"/>
      <c r="E394" s="319"/>
      <c r="F394" s="319"/>
      <c r="G394" s="319"/>
      <c r="H394" s="319"/>
      <c r="I394" s="319"/>
      <c r="J394" s="319"/>
    </row>
    <row r="395" spans="3:10" x14ac:dyDescent="0.55000000000000004">
      <c r="C395" s="319"/>
      <c r="D395" s="319"/>
      <c r="E395" s="319"/>
      <c r="F395" s="319"/>
      <c r="G395" s="319"/>
      <c r="H395" s="319"/>
      <c r="I395" s="319"/>
      <c r="J395" s="319"/>
    </row>
    <row r="396" spans="3:10" x14ac:dyDescent="0.55000000000000004">
      <c r="C396" s="319"/>
      <c r="D396" s="319"/>
      <c r="E396" s="319"/>
      <c r="F396" s="319"/>
      <c r="G396" s="319"/>
      <c r="H396" s="319"/>
      <c r="I396" s="319"/>
      <c r="J396" s="319"/>
    </row>
    <row r="397" spans="3:10" x14ac:dyDescent="0.55000000000000004">
      <c r="C397" s="319"/>
      <c r="D397" s="319"/>
      <c r="E397" s="319"/>
      <c r="F397" s="319"/>
      <c r="G397" s="319"/>
      <c r="H397" s="319"/>
      <c r="I397" s="319"/>
      <c r="J397" s="319"/>
    </row>
    <row r="398" spans="3:10" x14ac:dyDescent="0.55000000000000004">
      <c r="C398" s="319"/>
      <c r="D398" s="319"/>
      <c r="E398" s="319"/>
      <c r="F398" s="319"/>
      <c r="G398" s="319"/>
      <c r="H398" s="319"/>
      <c r="I398" s="319"/>
      <c r="J398" s="319"/>
    </row>
    <row r="399" spans="3:10" x14ac:dyDescent="0.55000000000000004">
      <c r="C399" s="319"/>
      <c r="D399" s="319"/>
      <c r="E399" s="319"/>
      <c r="F399" s="319"/>
      <c r="G399" s="319"/>
      <c r="H399" s="319"/>
      <c r="I399" s="319"/>
      <c r="J399" s="319"/>
    </row>
    <row r="400" spans="3:10" x14ac:dyDescent="0.55000000000000004">
      <c r="C400" s="319"/>
      <c r="D400" s="319"/>
      <c r="E400" s="319"/>
      <c r="F400" s="319"/>
      <c r="G400" s="319"/>
      <c r="H400" s="319"/>
      <c r="I400" s="319"/>
      <c r="J400" s="319"/>
    </row>
    <row r="401" spans="3:10" x14ac:dyDescent="0.55000000000000004">
      <c r="C401" s="319"/>
      <c r="D401" s="319"/>
      <c r="E401" s="319"/>
      <c r="F401" s="319"/>
      <c r="G401" s="319"/>
      <c r="H401" s="319"/>
      <c r="I401" s="319"/>
      <c r="J401" s="319"/>
    </row>
    <row r="402" spans="3:10" x14ac:dyDescent="0.55000000000000004">
      <c r="C402" s="319"/>
      <c r="D402" s="319"/>
      <c r="E402" s="319"/>
      <c r="F402" s="319"/>
      <c r="G402" s="319"/>
      <c r="H402" s="319"/>
      <c r="I402" s="319"/>
      <c r="J402" s="319"/>
    </row>
    <row r="403" spans="3:10" x14ac:dyDescent="0.55000000000000004">
      <c r="C403" s="319"/>
      <c r="D403" s="319"/>
      <c r="E403" s="319"/>
      <c r="F403" s="319"/>
      <c r="G403" s="319"/>
      <c r="H403" s="319"/>
      <c r="I403" s="319"/>
      <c r="J403" s="319"/>
    </row>
    <row r="404" spans="3:10" x14ac:dyDescent="0.55000000000000004">
      <c r="C404" s="319"/>
      <c r="D404" s="319"/>
      <c r="E404" s="319"/>
      <c r="F404" s="319"/>
      <c r="G404" s="319"/>
      <c r="H404" s="319"/>
      <c r="I404" s="319"/>
      <c r="J404" s="319"/>
    </row>
    <row r="405" spans="3:10" x14ac:dyDescent="0.55000000000000004">
      <c r="C405" s="319"/>
      <c r="D405" s="319"/>
      <c r="E405" s="319"/>
      <c r="F405" s="319"/>
      <c r="G405" s="319"/>
      <c r="H405" s="319"/>
      <c r="I405" s="319"/>
      <c r="J405" s="319"/>
    </row>
    <row r="406" spans="3:10" x14ac:dyDescent="0.55000000000000004">
      <c r="C406" s="319"/>
      <c r="D406" s="319"/>
      <c r="E406" s="319"/>
      <c r="F406" s="319"/>
      <c r="G406" s="319"/>
      <c r="H406" s="319"/>
      <c r="I406" s="319"/>
      <c r="J406" s="319"/>
    </row>
    <row r="407" spans="3:10" x14ac:dyDescent="0.55000000000000004">
      <c r="C407" s="319"/>
      <c r="D407" s="319"/>
      <c r="E407" s="319"/>
      <c r="F407" s="319"/>
      <c r="G407" s="319"/>
      <c r="H407" s="319"/>
      <c r="I407" s="319"/>
      <c r="J407" s="319"/>
    </row>
    <row r="408" spans="3:10" x14ac:dyDescent="0.55000000000000004">
      <c r="C408" s="319"/>
      <c r="D408" s="319"/>
      <c r="E408" s="319"/>
      <c r="F408" s="319"/>
      <c r="G408" s="319"/>
      <c r="H408" s="319"/>
      <c r="I408" s="319"/>
      <c r="J408" s="319"/>
    </row>
    <row r="409" spans="3:10" x14ac:dyDescent="0.55000000000000004">
      <c r="C409" s="319"/>
      <c r="D409" s="319"/>
      <c r="E409" s="319"/>
      <c r="F409" s="319"/>
      <c r="G409" s="319"/>
      <c r="H409" s="319"/>
      <c r="I409" s="319"/>
      <c r="J409" s="319"/>
    </row>
    <row r="410" spans="3:10" x14ac:dyDescent="0.55000000000000004">
      <c r="C410" s="319"/>
      <c r="D410" s="319"/>
      <c r="E410" s="319"/>
      <c r="F410" s="319"/>
      <c r="G410" s="319"/>
      <c r="H410" s="319"/>
      <c r="I410" s="319"/>
      <c r="J410" s="319"/>
    </row>
    <row r="411" spans="3:10" x14ac:dyDescent="0.55000000000000004">
      <c r="C411" s="319"/>
      <c r="D411" s="319"/>
      <c r="E411" s="319"/>
      <c r="F411" s="319"/>
      <c r="G411" s="319"/>
      <c r="H411" s="319"/>
      <c r="I411" s="319"/>
      <c r="J411" s="319"/>
    </row>
    <row r="412" spans="3:10" x14ac:dyDescent="0.55000000000000004">
      <c r="C412" s="319"/>
      <c r="D412" s="319"/>
      <c r="E412" s="319"/>
      <c r="F412" s="319"/>
      <c r="G412" s="319"/>
      <c r="H412" s="319"/>
      <c r="I412" s="319"/>
      <c r="J412" s="319"/>
    </row>
    <row r="413" spans="3:10" x14ac:dyDescent="0.55000000000000004">
      <c r="C413" s="319"/>
      <c r="D413" s="319"/>
      <c r="E413" s="319"/>
      <c r="F413" s="319"/>
      <c r="G413" s="319"/>
      <c r="H413" s="319"/>
      <c r="I413" s="319"/>
      <c r="J413" s="319"/>
    </row>
    <row r="414" spans="3:10" x14ac:dyDescent="0.55000000000000004">
      <c r="C414" s="319"/>
      <c r="D414" s="319"/>
      <c r="E414" s="319"/>
      <c r="F414" s="319"/>
      <c r="G414" s="319"/>
      <c r="H414" s="319"/>
      <c r="I414" s="319"/>
      <c r="J414" s="319"/>
    </row>
    <row r="415" spans="3:10" x14ac:dyDescent="0.55000000000000004">
      <c r="C415" s="319"/>
      <c r="D415" s="319"/>
      <c r="E415" s="319"/>
      <c r="F415" s="319"/>
      <c r="G415" s="319"/>
      <c r="H415" s="319"/>
      <c r="I415" s="319"/>
      <c r="J415" s="319"/>
    </row>
    <row r="416" spans="3:10" x14ac:dyDescent="0.55000000000000004">
      <c r="C416" s="319"/>
      <c r="D416" s="319"/>
      <c r="E416" s="319"/>
      <c r="F416" s="319"/>
      <c r="G416" s="319"/>
      <c r="H416" s="319"/>
      <c r="I416" s="319"/>
      <c r="J416" s="319"/>
    </row>
    <row r="417" spans="3:10" x14ac:dyDescent="0.55000000000000004">
      <c r="C417" s="319"/>
      <c r="D417" s="319"/>
      <c r="E417" s="319"/>
      <c r="F417" s="319"/>
      <c r="G417" s="319"/>
      <c r="H417" s="319"/>
      <c r="I417" s="319"/>
      <c r="J417" s="319"/>
    </row>
    <row r="418" spans="3:10" x14ac:dyDescent="0.55000000000000004">
      <c r="C418" s="319"/>
      <c r="D418" s="319"/>
      <c r="E418" s="319"/>
      <c r="F418" s="319"/>
      <c r="G418" s="319"/>
      <c r="H418" s="319"/>
      <c r="I418" s="319"/>
      <c r="J418" s="319"/>
    </row>
    <row r="419" spans="3:10" x14ac:dyDescent="0.55000000000000004">
      <c r="C419" s="319"/>
      <c r="D419" s="319"/>
      <c r="E419" s="319"/>
      <c r="F419" s="319"/>
      <c r="G419" s="319"/>
      <c r="H419" s="319"/>
      <c r="I419" s="319"/>
      <c r="J419" s="319"/>
    </row>
    <row r="420" spans="3:10" x14ac:dyDescent="0.55000000000000004">
      <c r="C420" s="319"/>
      <c r="D420" s="319"/>
      <c r="E420" s="319"/>
      <c r="F420" s="319"/>
      <c r="G420" s="319"/>
      <c r="H420" s="319"/>
      <c r="I420" s="319"/>
      <c r="J420" s="319"/>
    </row>
    <row r="421" spans="3:10" x14ac:dyDescent="0.55000000000000004">
      <c r="C421" s="319"/>
      <c r="D421" s="319"/>
      <c r="E421" s="319"/>
      <c r="F421" s="319"/>
      <c r="G421" s="319"/>
      <c r="H421" s="319"/>
      <c r="I421" s="319"/>
      <c r="J421" s="319"/>
    </row>
    <row r="422" spans="3:10" x14ac:dyDescent="0.55000000000000004">
      <c r="C422" s="319"/>
      <c r="D422" s="319"/>
      <c r="E422" s="319"/>
      <c r="F422" s="319"/>
      <c r="G422" s="319"/>
      <c r="H422" s="319"/>
      <c r="I422" s="319"/>
      <c r="J422" s="319"/>
    </row>
  </sheetData>
  <mergeCells count="163">
    <mergeCell ref="D87:G87"/>
    <mergeCell ref="D89:G89"/>
    <mergeCell ref="D136:D139"/>
    <mergeCell ref="C80:C89"/>
    <mergeCell ref="E97:F97"/>
    <mergeCell ref="E93:F93"/>
    <mergeCell ref="E94:F94"/>
    <mergeCell ref="E98:F98"/>
    <mergeCell ref="P47:P50"/>
    <mergeCell ref="P136:P139"/>
    <mergeCell ref="H137:M137"/>
    <mergeCell ref="N137:N139"/>
    <mergeCell ref="O137:O139"/>
    <mergeCell ref="H138:K138"/>
    <mergeCell ref="L138:L139"/>
    <mergeCell ref="M138:M139"/>
    <mergeCell ref="E136:E139"/>
    <mergeCell ref="F136:F139"/>
    <mergeCell ref="G136:G139"/>
    <mergeCell ref="H136:O136"/>
    <mergeCell ref="H80:O80"/>
    <mergeCell ref="H51:O51"/>
    <mergeCell ref="H66:O66"/>
    <mergeCell ref="H48:M48"/>
    <mergeCell ref="E184:F184"/>
    <mergeCell ref="D140:F140"/>
    <mergeCell ref="E91:F91"/>
    <mergeCell ref="E92:F92"/>
    <mergeCell ref="E181:F181"/>
    <mergeCell ref="H140:O140"/>
    <mergeCell ref="D155:F155"/>
    <mergeCell ref="E180:F180"/>
    <mergeCell ref="H155:O155"/>
    <mergeCell ref="D176:G176"/>
    <mergeCell ref="D177:G177"/>
    <mergeCell ref="D178:G178"/>
    <mergeCell ref="E182:F182"/>
    <mergeCell ref="E183:F183"/>
    <mergeCell ref="D159:F159"/>
    <mergeCell ref="D165:G165"/>
    <mergeCell ref="C18:J18"/>
    <mergeCell ref="C19:J19"/>
    <mergeCell ref="C20:J20"/>
    <mergeCell ref="I24:I25"/>
    <mergeCell ref="D76:G76"/>
    <mergeCell ref="D77:G77"/>
    <mergeCell ref="D51:F51"/>
    <mergeCell ref="D66:F66"/>
    <mergeCell ref="D70:F70"/>
    <mergeCell ref="E47:E50"/>
    <mergeCell ref="F47:F50"/>
    <mergeCell ref="G47:G50"/>
    <mergeCell ref="C47:D50"/>
    <mergeCell ref="C51:C77"/>
    <mergeCell ref="C44:O44"/>
    <mergeCell ref="H47:O47"/>
    <mergeCell ref="L49:L50"/>
    <mergeCell ref="M49:M50"/>
    <mergeCell ref="O48:O50"/>
    <mergeCell ref="H49:K49"/>
    <mergeCell ref="N48:N50"/>
    <mergeCell ref="I9:I10"/>
    <mergeCell ref="H9:H10"/>
    <mergeCell ref="G9:G10"/>
    <mergeCell ref="D9:F9"/>
    <mergeCell ref="C9:C10"/>
    <mergeCell ref="D166:G166"/>
    <mergeCell ref="C169:C178"/>
    <mergeCell ref="D169:F169"/>
    <mergeCell ref="H169:O169"/>
    <mergeCell ref="D128:O128"/>
    <mergeCell ref="D129:O129"/>
    <mergeCell ref="D132:O132"/>
    <mergeCell ref="D133:O133"/>
    <mergeCell ref="D130:O130"/>
    <mergeCell ref="D131:O131"/>
    <mergeCell ref="E95:F95"/>
    <mergeCell ref="E96:F96"/>
    <mergeCell ref="D80:F80"/>
    <mergeCell ref="D88:G88"/>
    <mergeCell ref="C136:C166"/>
    <mergeCell ref="C24:C25"/>
    <mergeCell ref="D24:F24"/>
    <mergeCell ref="G24:G25"/>
    <mergeCell ref="H24:H25"/>
    <mergeCell ref="P219:P222"/>
    <mergeCell ref="H220:M220"/>
    <mergeCell ref="N220:N222"/>
    <mergeCell ref="O220:O222"/>
    <mergeCell ref="H221:K221"/>
    <mergeCell ref="L221:L222"/>
    <mergeCell ref="M221:M222"/>
    <mergeCell ref="D219:D222"/>
    <mergeCell ref="E219:E222"/>
    <mergeCell ref="F219:F222"/>
    <mergeCell ref="G219:G222"/>
    <mergeCell ref="H219:O219"/>
    <mergeCell ref="C252:C261"/>
    <mergeCell ref="D252:F252"/>
    <mergeCell ref="H252:O252"/>
    <mergeCell ref="D259:G259"/>
    <mergeCell ref="D260:G260"/>
    <mergeCell ref="D261:G261"/>
    <mergeCell ref="D223:F223"/>
    <mergeCell ref="H223:O223"/>
    <mergeCell ref="D238:F238"/>
    <mergeCell ref="H238:O238"/>
    <mergeCell ref="D242:F242"/>
    <mergeCell ref="C219:C249"/>
    <mergeCell ref="D248:G248"/>
    <mergeCell ref="D249:G249"/>
    <mergeCell ref="C302:C332"/>
    <mergeCell ref="D302:D305"/>
    <mergeCell ref="E302:E305"/>
    <mergeCell ref="F302:F305"/>
    <mergeCell ref="D306:F306"/>
    <mergeCell ref="D332:G332"/>
    <mergeCell ref="C335:C344"/>
    <mergeCell ref="D335:F335"/>
    <mergeCell ref="D297:O297"/>
    <mergeCell ref="D298:O298"/>
    <mergeCell ref="D299:O299"/>
    <mergeCell ref="H306:O306"/>
    <mergeCell ref="D321:F321"/>
    <mergeCell ref="H321:O321"/>
    <mergeCell ref="D325:F325"/>
    <mergeCell ref="D331:G331"/>
    <mergeCell ref="H302:O302"/>
    <mergeCell ref="P302:P305"/>
    <mergeCell ref="H303:M303"/>
    <mergeCell ref="N303:N305"/>
    <mergeCell ref="O303:O305"/>
    <mergeCell ref="H304:K304"/>
    <mergeCell ref="L304:L305"/>
    <mergeCell ref="M304:M305"/>
    <mergeCell ref="G302:G305"/>
    <mergeCell ref="E353:F353"/>
    <mergeCell ref="E348:F348"/>
    <mergeCell ref="E349:F349"/>
    <mergeCell ref="E350:F350"/>
    <mergeCell ref="E351:F351"/>
    <mergeCell ref="E352:F352"/>
    <mergeCell ref="D214:O214"/>
    <mergeCell ref="D215:O215"/>
    <mergeCell ref="E187:F187"/>
    <mergeCell ref="E185:F185"/>
    <mergeCell ref="D216:O216"/>
    <mergeCell ref="E263:F263"/>
    <mergeCell ref="E264:F264"/>
    <mergeCell ref="E347:F347"/>
    <mergeCell ref="E346:F346"/>
    <mergeCell ref="H335:O335"/>
    <mergeCell ref="D342:G342"/>
    <mergeCell ref="D343:G343"/>
    <mergeCell ref="D344:G344"/>
    <mergeCell ref="E270:F270"/>
    <mergeCell ref="E265:F265"/>
    <mergeCell ref="E266:F266"/>
    <mergeCell ref="E267:F267"/>
    <mergeCell ref="E268:F268"/>
    <mergeCell ref="E269:F269"/>
    <mergeCell ref="D213:O213"/>
    <mergeCell ref="E186:F186"/>
  </mergeCells>
  <conditionalFormatting sqref="G51:G70 G80:G86 G72:G74 G169:G175 G161:G163 G252:G258 G244:G246 G335:G341 G327:G329">
    <cfRule type="expression" dxfId="7" priority="9">
      <formula>$D$17:$D$50=""</formula>
    </cfRule>
  </conditionalFormatting>
  <conditionalFormatting sqref="G140:G159">
    <cfRule type="expression" dxfId="6" priority="8">
      <formula>$D$17:$D$50=""</formula>
    </cfRule>
  </conditionalFormatting>
  <conditionalFormatting sqref="G223:G242">
    <cfRule type="expression" dxfId="5" priority="6">
      <formula>$D$17:$D$50=""</formula>
    </cfRule>
  </conditionalFormatting>
  <conditionalFormatting sqref="G306:G325">
    <cfRule type="expression" dxfId="4" priority="5">
      <formula>$D$17:$D$50=""</formula>
    </cfRule>
  </conditionalFormatting>
  <conditionalFormatting sqref="G247">
    <cfRule type="expression" dxfId="3" priority="4">
      <formula>$C$16:$C$40=""</formula>
    </cfRule>
  </conditionalFormatting>
  <conditionalFormatting sqref="G164">
    <cfRule type="expression" dxfId="2" priority="3">
      <formula>$C$16:$C$40=""</formula>
    </cfRule>
  </conditionalFormatting>
  <conditionalFormatting sqref="G75">
    <cfRule type="expression" dxfId="1" priority="2">
      <formula>$C$16:$C$40=""</formula>
    </cfRule>
  </conditionalFormatting>
  <conditionalFormatting sqref="G330">
    <cfRule type="expression" dxfId="0" priority="1">
      <formula>$C$16:$C$40=""</formula>
    </cfRule>
  </conditionalFormatting>
  <dataValidations count="1">
    <dataValidation type="list" allowBlank="1" showInputMessage="1" showErrorMessage="1" sqref="L165:O165 L76:O76 L248:O248 H76:J76 H165:J165 H248:J248 H331:J331 L331:O331" xr:uid="{4CB1CBB4-A555-4289-8281-01163D6C632D}">
      <formula1>Select</formula1>
    </dataValidation>
  </dataValidations>
  <hyperlinks>
    <hyperlink ref="G57:G58" location="'Social, YP &amp; kinship care'!A1" display="Social, YP &amp; kinship care" xr:uid="{CF0CE1AF-EB50-4CFA-91D3-86D795C74891}"/>
    <hyperlink ref="G59" location="Education!A1" display="Education!A1" xr:uid="{31033758-B259-4508-972D-E9556CBD7A11}"/>
    <hyperlink ref="G64" location="Disorders!A1" display="Disorders" xr:uid="{C09E55BA-00B9-4AD7-B396-7DA4A875DCD2}"/>
    <hyperlink ref="G65" location="Homelessness!A1" display="Homelessness!A1" xr:uid="{15639FC7-A678-4093-82B4-0790250BD7AA}"/>
    <hyperlink ref="G70" location="'DA &amp; crime'!A1" display="DA &amp; crime" xr:uid="{A2F6BAF5-64E1-44C2-864B-A5EF7DE3E3B5}"/>
    <hyperlink ref="G69" location="'DA &amp; crime'!A1" display="DA &amp; crime" xr:uid="{C1CFD578-727A-4EAB-AE35-7533E1EAAC85}"/>
    <hyperlink ref="G66" location="'NHS and LA Treatment'!A1" display="NHS and LA Treatment" xr:uid="{6F43DB14-3164-488E-ADB4-3B180A9529E8}"/>
    <hyperlink ref="G80" location="'NHS and LA Treatment'!A1" display="NHS and LA Treatment" xr:uid="{CFFFEFAF-1A3B-4DB2-8E25-A2D45F8AC804}"/>
    <hyperlink ref="G60" location="Education!A1" display="Education!A1" xr:uid="{C403B0F3-691A-4A25-902B-986726CC086F}"/>
    <hyperlink ref="G54:G55" location="'Social, YP &amp; kinship care'!A1" display="Social, YP &amp; kinship care" xr:uid="{5211EFC7-29A1-4AC5-BC8B-F23B50017B4A}"/>
    <hyperlink ref="G56" location="'Social, YP &amp; kinship care'!A1" display="Social, YP &amp; kinship care" xr:uid="{D88F84E8-F047-446C-949E-51FE64377F36}"/>
    <hyperlink ref="G83" location="'NHS and LA Treatment'!A1" display="NHS and LA Treatment" xr:uid="{3D432B19-E34C-4978-9479-991B4C72E316}"/>
    <hyperlink ref="G84" location="'NHS and LA Treatment'!A1" display="NHS and LA Treatment" xr:uid="{88F83563-C1F4-42FD-B75A-D894D27F4B6F}"/>
    <hyperlink ref="G85" location="'NHS and LA Treatment'!A1" display="NHS and LA Treatment" xr:uid="{70507884-CA88-4B94-94AC-CAA5032BABE5}"/>
    <hyperlink ref="G86" location="'NHS and LA Treatment'!A1" display="NHS and LA Treatment" xr:uid="{23C8EAB2-9500-466A-B9F2-832A6C2626C1}"/>
    <hyperlink ref="G81:G82" location="'NHS and LA Treatment'!A1" display="NHS and LA Treatment" xr:uid="{8D3D2459-1402-493F-917E-FC96F6833F82}"/>
    <hyperlink ref="G67:G68" location="'NHS and LA Treatment'!A1" display="NHS and LA Treatment" xr:uid="{1C7D1F0B-A093-4711-B901-E1D9632798D0}"/>
    <hyperlink ref="G72:G74" location="'DA &amp; crime'!A1" display="DA &amp; crime" xr:uid="{FA316CC6-8CE0-4CCD-A7A1-1BF8C481D513}"/>
    <hyperlink ref="G146:G147" location="'Social, YP &amp; kinship care'!A1" display="Social, YP &amp; kinship care" xr:uid="{9E21BBF2-E763-44D9-8E2E-88091A942027}"/>
    <hyperlink ref="G148" location="Education!A1" display="Education!A1" xr:uid="{F0068DB3-8129-40F5-B971-7B97A7283FEC}"/>
    <hyperlink ref="G153" location="Disorders!A1" display="Disorders" xr:uid="{BFC51CFE-C16C-4DDF-A18B-5EBFF7ECB514}"/>
    <hyperlink ref="G154" location="Homelessness!A1" display="Homelessness!A1" xr:uid="{2864FC5A-AE08-4149-BC9C-B318DB5C3A53}"/>
    <hyperlink ref="G159" location="'DA &amp; crime'!A1" display="DA &amp; crime" xr:uid="{939881AB-3583-4593-B338-40BC426F4EF3}"/>
    <hyperlink ref="G158" location="'DA &amp; crime'!A1" display="DA &amp; crime" xr:uid="{E29E610A-6A43-4DBC-852E-D6BFF02CBAA1}"/>
    <hyperlink ref="G155" location="'NHS and LA Treatment'!A1" display="NHS and LA Treatment" xr:uid="{92441931-BC95-479B-9FA0-F599DD7489A1}"/>
    <hyperlink ref="G169" location="'NHS and LA Treatment'!A1" display="NHS and LA Treatment" xr:uid="{9C20A253-4F5F-445C-B9EA-8A253E6AC1C4}"/>
    <hyperlink ref="G149" location="Education!A1" display="Education!A1" xr:uid="{FECB4C97-9342-4BFB-B402-8012D3713E17}"/>
    <hyperlink ref="G143:G144" location="'Social, YP &amp; kinship care'!A1" display="Social, YP &amp; kinship care" xr:uid="{C578C520-C89A-44C3-8017-5038D68EF0A4}"/>
    <hyperlink ref="G145" location="'Social, YP &amp; kinship care'!A1" display="Social, YP &amp; kinship care" xr:uid="{753B90D3-02E5-4B2C-B6E1-02D77B325E30}"/>
    <hyperlink ref="G172" location="'NHS and LA Treatment'!A1" display="NHS and LA Treatment" xr:uid="{E2F05363-6079-4DF9-B916-76F704E5192C}"/>
    <hyperlink ref="G173" location="'NHS and LA Treatment'!A1" display="NHS and LA Treatment" xr:uid="{CC0A9913-E10F-4A30-85EB-04E91ABEA20C}"/>
    <hyperlink ref="G174" location="'NHS and LA Treatment'!A1" display="NHS and LA Treatment" xr:uid="{CE0E7F7E-C92C-44D5-AA8B-3088E3B447FE}"/>
    <hyperlink ref="G175" location="'NHS and LA Treatment'!A1" display="NHS and LA Treatment" xr:uid="{B922C518-7520-46BA-9221-27B9EB6D9A2D}"/>
    <hyperlink ref="G170:G171" location="'NHS and LA Treatment'!A1" display="NHS and LA Treatment" xr:uid="{5F6149F7-D74C-4221-9EB2-19264683BBCD}"/>
    <hyperlink ref="G156:G157" location="'NHS and LA Treatment'!A1" display="NHS and LA Treatment" xr:uid="{BECBB83E-902A-4ADD-B1DB-3E46FC551D46}"/>
    <hyperlink ref="G161:G163" location="'DA &amp; crime'!A1" display="DA &amp; crime" xr:uid="{5F1FE36B-20DD-488D-A668-AB391D8D0731}"/>
    <hyperlink ref="G229:G230" location="'Social, YP &amp; kinship care'!A1" display="Social, YP &amp; kinship care" xr:uid="{08E09C96-E9D3-45DB-8F74-2B0381EAB6B8}"/>
    <hyperlink ref="G231" location="Education!A1" display="Education!A1" xr:uid="{359A7EB2-C95B-4DB1-869F-A42036BD1803}"/>
    <hyperlink ref="G236" location="Disorders!A1" display="Disorders" xr:uid="{80995615-FC66-460F-AD80-F0C4DA4F0504}"/>
    <hyperlink ref="G237" location="Homelessness!A1" display="Homelessness!A1" xr:uid="{3CBA68D4-15FC-4BF8-849C-80B5E056CF31}"/>
    <hyperlink ref="G242" location="'DA &amp; crime'!A1" display="DA &amp; crime" xr:uid="{497941A1-9FCC-4BB4-985A-49C6495A1F76}"/>
    <hyperlink ref="G241" location="'DA &amp; crime'!A1" display="DA &amp; crime" xr:uid="{7BF6CBD9-C289-49B5-9AB4-0BC1D6E974BE}"/>
    <hyperlink ref="G238" location="'NHS and LA Treatment'!A1" display="NHS and LA Treatment" xr:uid="{44646931-9BFF-4BFC-916C-665B4161146D}"/>
    <hyperlink ref="G252" location="'NHS and LA Treatment'!A1" display="NHS and LA Treatment" xr:uid="{74CD2273-217F-4E3B-941C-432D17B2F83C}"/>
    <hyperlink ref="G232" location="Education!A1" display="Education!A1" xr:uid="{77B43BC7-96E9-4163-8547-2F853A6A1687}"/>
    <hyperlink ref="G226:G227" location="'Social, YP &amp; kinship care'!A1" display="Social, YP &amp; kinship care" xr:uid="{49F8F7AA-6B38-49B0-877F-0B6E0FB46079}"/>
    <hyperlink ref="G228" location="'Social, YP &amp; kinship care'!A1" display="Social, YP &amp; kinship care" xr:uid="{105EA442-8AB6-4E38-8325-C37D7EA95A0F}"/>
    <hyperlink ref="G255" location="'NHS and LA Treatment'!A1" display="NHS and LA Treatment" xr:uid="{F4AFE304-653C-44C5-83C7-1EF9C1977863}"/>
    <hyperlink ref="G256" location="'NHS and LA Treatment'!A1" display="NHS and LA Treatment" xr:uid="{35ADBD9A-15A9-4A19-A537-4618C55D21F7}"/>
    <hyperlink ref="G257" location="'NHS and LA Treatment'!A1" display="NHS and LA Treatment" xr:uid="{A61F920A-E027-4D85-A0D9-135EDBF338CF}"/>
    <hyperlink ref="G258" location="'NHS and LA Treatment'!A1" display="NHS and LA Treatment" xr:uid="{A851BF66-7627-4FDB-BE4B-AB83D5F3AF9B}"/>
    <hyperlink ref="G239:G240" location="'NHS and LA Treatment'!A1" display="NHS and LA Treatment" xr:uid="{6F9FDC91-D097-4060-9755-724FB9E57E04}"/>
    <hyperlink ref="G244:G246" location="'DA &amp; crime'!A1" display="DA &amp; crime" xr:uid="{12055750-F44F-4770-AFBE-15FD45A0B1E4}"/>
    <hyperlink ref="G253:G254" location="'NHS and LA Treatment'!A1" display="NHS and LA Treatment" xr:uid="{A9620C45-E3ED-4714-981B-8CFAC5C69EF2}"/>
    <hyperlink ref="G312:G313" location="'Social, YP &amp; kinship care'!A1" display="Social, YP &amp; kinship care" xr:uid="{3BD9236F-7292-4CFB-9484-03AF309E9C36}"/>
    <hyperlink ref="G314" location="Education!A1" display="Education!A1" xr:uid="{ED0C39FA-2158-423E-B881-4E4F45DC8CA5}"/>
    <hyperlink ref="G319" location="Disorders!A1" display="Disorders" xr:uid="{65DF12DC-BBE6-4721-839C-084993202515}"/>
    <hyperlink ref="G320" location="Homelessness!A1" display="Homelessness!A1" xr:uid="{3E988EC4-64F6-4CF8-B223-E35FF6589194}"/>
    <hyperlink ref="G325" location="'DA &amp; crime'!A1" display="DA &amp; crime" xr:uid="{71464B8D-A66F-40CE-85C6-C17D58FD3FE5}"/>
    <hyperlink ref="G324" location="'DA &amp; crime'!A1" display="DA &amp; crime" xr:uid="{404E88FD-EFD2-4F7E-8151-1D4A0D795E59}"/>
    <hyperlink ref="G321" location="'NHS and LA Treatment'!A1" display="NHS and LA Treatment" xr:uid="{E253046D-8445-48EF-A7F3-E09B2343F7E2}"/>
    <hyperlink ref="G335" location="'NHS and LA Treatment'!A1" display="NHS and LA Treatment" xr:uid="{44E0D73A-0FED-4960-A186-07301B8BF0A8}"/>
    <hyperlink ref="G315" location="Education!A1" display="Education!A1" xr:uid="{1BFEA836-B894-446D-A62F-BDCB2AC4A127}"/>
    <hyperlink ref="G309:G310" location="'Social, YP &amp; kinship care'!A1" display="Social, YP &amp; kinship care" xr:uid="{635DAB54-0765-4E9B-98AA-71E5926ED396}"/>
    <hyperlink ref="G311" location="'Social, YP &amp; kinship care'!A1" display="Social, YP &amp; kinship care" xr:uid="{5339401B-1772-43D5-8ABE-85B9F7C6E7A9}"/>
    <hyperlink ref="G338" location="'NHS and LA Treatment'!A1" display="NHS and LA Treatment" xr:uid="{5D8DBA46-5C80-4DC0-9D5A-8B4A8D5BE939}"/>
    <hyperlink ref="G339" location="'NHS and LA Treatment'!A1" display="NHS and LA Treatment" xr:uid="{6E8FB2A7-ACF2-4C1D-B823-9131B64DF023}"/>
    <hyperlink ref="G340" location="'NHS and LA Treatment'!A1" display="NHS and LA Treatment" xr:uid="{7005A394-04AC-4D06-B7F3-9300C0C46C44}"/>
    <hyperlink ref="G341" location="'NHS and LA Treatment'!A1" display="NHS and LA Treatment" xr:uid="{ABF27FB2-A1F7-4BB6-98AE-C3B9EBA0DFEC}"/>
    <hyperlink ref="G322:G323" location="'NHS and LA Treatment'!A1" display="NHS and LA Treatment" xr:uid="{7AD04C2F-5992-44F8-A6B5-43AE2A99F5CD}"/>
    <hyperlink ref="G327:G329" location="'DA &amp; crime'!A1" display="DA &amp; crime" xr:uid="{EBF1785B-DC51-45DD-9F2D-35B8648375BE}"/>
    <hyperlink ref="G336:G337" location="'NHS and LA Treatment'!A1" display="NHS and LA Treatment" xr:uid="{D6F6274A-2744-41DB-B253-87BC1E8801D1}"/>
  </hyperlink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5A9BD-4EEF-48EC-AEE9-890EFE025D41}">
  <sheetPr codeName="Sheet20"/>
  <dimension ref="D3:D5"/>
  <sheetViews>
    <sheetView workbookViewId="0">
      <selection activeCell="S22" sqref="S22"/>
    </sheetView>
  </sheetViews>
  <sheetFormatPr defaultRowHeight="14.4" x14ac:dyDescent="0.55000000000000004"/>
  <sheetData>
    <row r="3" spans="4:4" x14ac:dyDescent="0.55000000000000004">
      <c r="D3" t="s">
        <v>187</v>
      </c>
    </row>
    <row r="4" spans="4:4" x14ac:dyDescent="0.55000000000000004">
      <c r="D4" t="s">
        <v>186</v>
      </c>
    </row>
    <row r="5" spans="4:4" x14ac:dyDescent="0.55000000000000004">
      <c r="D5" t="s">
        <v>144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DD846-55B1-4720-A816-91C2ECD71B8C}">
  <sheetPr codeName="Sheet17">
    <tabColor rgb="FF98002E"/>
  </sheetPr>
  <dimension ref="A2:J44"/>
  <sheetViews>
    <sheetView showGridLines="0" showRowColHeaders="0" workbookViewId="0"/>
  </sheetViews>
  <sheetFormatPr defaultColWidth="8.7890625" defaultRowHeight="14.4" x14ac:dyDescent="0.55000000000000004"/>
  <cols>
    <col min="1" max="1" width="34" style="313" customWidth="1"/>
    <col min="2" max="3" width="2.20703125" style="39" customWidth="1"/>
    <col min="4" max="4" width="58.20703125" style="39" bestFit="1" customWidth="1"/>
    <col min="5" max="5" width="26.20703125" style="39" bestFit="1" customWidth="1"/>
    <col min="6" max="16384" width="8.7890625" style="39"/>
  </cols>
  <sheetData>
    <row r="2" spans="1:10" ht="32.700000000000003" x14ac:dyDescent="0.55000000000000004">
      <c r="A2" s="310"/>
      <c r="D2" s="309" t="s">
        <v>93</v>
      </c>
    </row>
    <row r="3" spans="1:10" ht="15.3" x14ac:dyDescent="0.55000000000000004">
      <c r="A3" s="310"/>
      <c r="D3" s="46"/>
    </row>
    <row r="4" spans="1:10" ht="29.55" customHeight="1" x14ac:dyDescent="0.55000000000000004">
      <c r="A4" s="310"/>
      <c r="D4" s="571" t="s">
        <v>206</v>
      </c>
      <c r="E4" s="571"/>
      <c r="F4" s="571"/>
      <c r="G4" s="571"/>
      <c r="H4" s="571"/>
      <c r="I4" s="571"/>
      <c r="J4" s="571"/>
    </row>
    <row r="5" spans="1:10" ht="195.75" customHeight="1" x14ac:dyDescent="0.55000000000000004">
      <c r="A5" s="310"/>
      <c r="D5" s="656" t="s">
        <v>822</v>
      </c>
      <c r="E5" s="656"/>
      <c r="F5" s="656"/>
      <c r="G5" s="656"/>
      <c r="H5" s="656"/>
      <c r="I5" s="656"/>
      <c r="J5" s="656"/>
    </row>
    <row r="6" spans="1:10" ht="15" x14ac:dyDescent="0.55000000000000004">
      <c r="A6" s="310"/>
      <c r="D6" s="227"/>
      <c r="E6" s="227"/>
      <c r="F6" s="227"/>
      <c r="G6" s="227"/>
      <c r="H6" s="227"/>
      <c r="I6" s="227"/>
      <c r="J6" s="227"/>
    </row>
    <row r="7" spans="1:10" ht="19.8" x14ac:dyDescent="0.65">
      <c r="A7" s="310"/>
      <c r="D7" s="49" t="s">
        <v>96</v>
      </c>
      <c r="E7" s="46"/>
    </row>
    <row r="8" spans="1:10" ht="15.3" x14ac:dyDescent="0.55000000000000004">
      <c r="A8" s="310"/>
      <c r="D8" s="46"/>
      <c r="E8" s="47"/>
    </row>
    <row r="9" spans="1:10" ht="15.3" x14ac:dyDescent="0.55000000000000004">
      <c r="A9" s="310"/>
      <c r="D9" s="47" t="s">
        <v>207</v>
      </c>
      <c r="E9" s="47" t="s">
        <v>98</v>
      </c>
    </row>
    <row r="10" spans="1:10" ht="15.3" x14ac:dyDescent="0.55000000000000004">
      <c r="A10" s="311"/>
      <c r="D10" s="46" t="s">
        <v>112</v>
      </c>
      <c r="E10" s="364" t="s">
        <v>117</v>
      </c>
    </row>
    <row r="11" spans="1:10" ht="15.3" x14ac:dyDescent="0.55000000000000004">
      <c r="A11" s="311"/>
      <c r="D11" s="46" t="s">
        <v>208</v>
      </c>
      <c r="E11" s="364" t="s">
        <v>117</v>
      </c>
    </row>
    <row r="12" spans="1:10" ht="15.3" x14ac:dyDescent="0.55000000000000004">
      <c r="A12" s="311"/>
      <c r="D12" s="46" t="s">
        <v>209</v>
      </c>
      <c r="E12" s="364" t="s">
        <v>117</v>
      </c>
    </row>
    <row r="13" spans="1:10" ht="15.3" x14ac:dyDescent="0.55000000000000004">
      <c r="A13" s="311"/>
      <c r="D13" s="46" t="s">
        <v>127</v>
      </c>
      <c r="E13" s="365" t="str">
        <f>D13</f>
        <v xml:space="preserve">Education </v>
      </c>
    </row>
    <row r="14" spans="1:10" ht="15.3" x14ac:dyDescent="0.55000000000000004">
      <c r="A14" s="312"/>
      <c r="D14" s="46" t="s">
        <v>129</v>
      </c>
      <c r="E14" s="366" t="s">
        <v>24</v>
      </c>
    </row>
    <row r="15" spans="1:10" ht="15.3" x14ac:dyDescent="0.55000000000000004">
      <c r="A15" s="312"/>
      <c r="D15" s="46" t="s">
        <v>130</v>
      </c>
      <c r="E15" s="366" t="s">
        <v>24</v>
      </c>
    </row>
    <row r="16" spans="1:10" ht="15.3" x14ac:dyDescent="0.55000000000000004">
      <c r="A16" s="312"/>
      <c r="D16" s="46" t="s">
        <v>131</v>
      </c>
      <c r="E16" s="366" t="s">
        <v>24</v>
      </c>
    </row>
    <row r="17" spans="1:10" ht="15.3" x14ac:dyDescent="0.55000000000000004">
      <c r="A17" s="312"/>
      <c r="D17" s="46" t="s">
        <v>132</v>
      </c>
      <c r="E17" s="366" t="s">
        <v>24</v>
      </c>
    </row>
    <row r="18" spans="1:10" ht="15.3" x14ac:dyDescent="0.55000000000000004">
      <c r="A18" s="312"/>
      <c r="D18" s="46" t="s">
        <v>82</v>
      </c>
      <c r="E18" s="367" t="str">
        <f>D18</f>
        <v>Homelessness</v>
      </c>
    </row>
    <row r="19" spans="1:10" ht="15.3" x14ac:dyDescent="0.55000000000000004">
      <c r="A19" s="312"/>
      <c r="D19" s="46" t="s">
        <v>133</v>
      </c>
      <c r="E19" s="368" t="s">
        <v>134</v>
      </c>
    </row>
    <row r="20" spans="1:10" ht="15.3" x14ac:dyDescent="0.55000000000000004">
      <c r="A20" s="312"/>
      <c r="D20" s="46" t="s">
        <v>210</v>
      </c>
      <c r="E20" s="368" t="s">
        <v>134</v>
      </c>
    </row>
    <row r="21" spans="1:10" ht="15.3" x14ac:dyDescent="0.55000000000000004">
      <c r="A21" s="312"/>
      <c r="D21" s="46" t="s">
        <v>135</v>
      </c>
      <c r="E21" s="369" t="s">
        <v>136</v>
      </c>
    </row>
    <row r="22" spans="1:10" ht="15.3" x14ac:dyDescent="0.55000000000000004">
      <c r="A22" s="312"/>
      <c r="D22" s="46" t="s">
        <v>211</v>
      </c>
      <c r="E22" s="369" t="s">
        <v>136</v>
      </c>
    </row>
    <row r="23" spans="1:10" ht="15.3" x14ac:dyDescent="0.55000000000000004">
      <c r="A23" s="312"/>
    </row>
    <row r="24" spans="1:10" ht="15.3" x14ac:dyDescent="0.55000000000000004">
      <c r="A24" s="312"/>
    </row>
    <row r="25" spans="1:10" ht="37.950000000000003" customHeight="1" x14ac:dyDescent="0.55000000000000004">
      <c r="A25" s="312"/>
      <c r="D25" s="571" t="s">
        <v>212</v>
      </c>
      <c r="E25" s="571"/>
      <c r="F25" s="571"/>
      <c r="G25" s="571"/>
      <c r="H25" s="571"/>
      <c r="I25" s="571"/>
      <c r="J25" s="571"/>
    </row>
    <row r="26" spans="1:10" ht="15.3" x14ac:dyDescent="0.55000000000000004">
      <c r="A26" s="312"/>
    </row>
    <row r="27" spans="1:10" ht="32.549999999999997" customHeight="1" x14ac:dyDescent="0.55000000000000004">
      <c r="A27" s="312"/>
    </row>
    <row r="28" spans="1:10" ht="15.3" x14ac:dyDescent="0.55000000000000004">
      <c r="A28" s="312"/>
    </row>
    <row r="29" spans="1:10" ht="15.3" x14ac:dyDescent="0.55000000000000004">
      <c r="A29" s="312"/>
    </row>
    <row r="30" spans="1:10" ht="15.3" x14ac:dyDescent="0.55000000000000004">
      <c r="A30" s="312"/>
    </row>
    <row r="31" spans="1:10" ht="15.3" x14ac:dyDescent="0.55000000000000004">
      <c r="A31" s="312"/>
    </row>
    <row r="32" spans="1:10" ht="15.3" x14ac:dyDescent="0.55000000000000004">
      <c r="A32" s="312"/>
    </row>
    <row r="33" spans="1:1" ht="15.3" x14ac:dyDescent="0.55000000000000004">
      <c r="A33" s="312"/>
    </row>
    <row r="34" spans="1:1" ht="15.3" x14ac:dyDescent="0.55000000000000004">
      <c r="A34" s="312"/>
    </row>
    <row r="35" spans="1:1" ht="15.3" x14ac:dyDescent="0.55000000000000004">
      <c r="A35" s="312"/>
    </row>
    <row r="36" spans="1:1" ht="15.3" x14ac:dyDescent="0.55000000000000004">
      <c r="A36" s="312"/>
    </row>
    <row r="37" spans="1:1" ht="15.3" x14ac:dyDescent="0.55000000000000004">
      <c r="A37" s="312"/>
    </row>
    <row r="38" spans="1:1" ht="15.3" x14ac:dyDescent="0.55000000000000004">
      <c r="A38" s="312"/>
    </row>
    <row r="39" spans="1:1" ht="15.3" x14ac:dyDescent="0.55000000000000004">
      <c r="A39" s="312"/>
    </row>
    <row r="40" spans="1:1" ht="15.3" x14ac:dyDescent="0.55000000000000004">
      <c r="A40" s="312"/>
    </row>
    <row r="41" spans="1:1" ht="15.3" x14ac:dyDescent="0.55000000000000004">
      <c r="A41" s="312"/>
    </row>
    <row r="42" spans="1:1" ht="15.3" x14ac:dyDescent="0.55000000000000004">
      <c r="A42" s="312"/>
    </row>
    <row r="43" spans="1:1" ht="15.3" x14ac:dyDescent="0.55000000000000004">
      <c r="A43" s="312"/>
    </row>
    <row r="44" spans="1:1" ht="15.3" x14ac:dyDescent="0.55000000000000004">
      <c r="A44" s="312"/>
    </row>
  </sheetData>
  <mergeCells count="3">
    <mergeCell ref="D5:J5"/>
    <mergeCell ref="D4:J4"/>
    <mergeCell ref="D25:J25"/>
  </mergeCells>
  <hyperlinks>
    <hyperlink ref="E10" location="'Social, YP &amp; kinship care'!B2" display="Social, YP &amp; kinship care" xr:uid="{4858E95D-169D-4BB9-93C1-4D595FD361F0}"/>
    <hyperlink ref="E11:E12" location="'Social, YP &amp; kinship care'!A1" display="Social, YP &amp; kinship care" xr:uid="{1A822B7F-8BF4-4B37-8A5F-5E5C595E7B21}"/>
    <hyperlink ref="E13" location="Education!A1" display="Education!A1" xr:uid="{5CCFE660-3995-42AD-9CE1-645657EA1072}"/>
    <hyperlink ref="E18" location="'Homelessness'!A1" display="Homeslessness" xr:uid="{C5E9DF23-F7E8-4A92-AD15-AEC0DDDD0BFA}"/>
    <hyperlink ref="E21" location="'DA &amp; crime'!A1" display="DA &amp; crime" xr:uid="{8C1C4439-F2CB-47FE-81C5-AA8B3ABFC83A}"/>
    <hyperlink ref="E19" location="'NHS &amp; LA treatment'!A1" display="NHS and LA Treatment" xr:uid="{D97E75D8-0A23-4672-B0DF-9F3A08905177}"/>
    <hyperlink ref="E20" location="'NHS &amp; LA treatment'!A1" display="NHS and LA Treatment" xr:uid="{38679598-C832-48E2-8DF2-2951A1230432}"/>
    <hyperlink ref="E17" location="Disorders!A1" display="Disorders" xr:uid="{5C6C5823-843A-4F71-805B-FD3CA49E4A0A}"/>
    <hyperlink ref="E22" location="'DA &amp; crime'!A1" display="DA &amp; crime" xr:uid="{6947C26D-41C6-4CED-919F-356F0958C177}"/>
    <hyperlink ref="E14:E16" location="Disorders!A1" display="Disorders" xr:uid="{061C2FA5-BF02-4396-A25C-BC64EEEC1548}"/>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D94DD-A715-4838-9085-9E77E7273535}">
  <sheetPr codeName="Sheet2">
    <tabColor theme="8" tint="0.39997558519241921"/>
  </sheetPr>
  <dimension ref="A2:Z43"/>
  <sheetViews>
    <sheetView zoomScaleNormal="100" workbookViewId="0">
      <pane xSplit="4" ySplit="5" topLeftCell="E6" activePane="bottomRight" state="frozen"/>
      <selection pane="topRight" activeCell="S15" sqref="S15"/>
      <selection pane="bottomLeft" activeCell="S15" sqref="S15"/>
      <selection pane="bottomRight" activeCell="E7" sqref="E7"/>
    </sheetView>
  </sheetViews>
  <sheetFormatPr defaultColWidth="9.20703125" defaultRowHeight="14.4" outlineLevelRow="1" outlineLevelCol="1" x14ac:dyDescent="0.55000000000000004"/>
  <cols>
    <col min="1" max="1" width="34" style="313" customWidth="1"/>
    <col min="2" max="2" width="5.89453125" style="39" customWidth="1"/>
    <col min="3" max="3" width="14" style="39" customWidth="1"/>
    <col min="4" max="4" width="56.5234375" style="39" customWidth="1"/>
    <col min="5" max="5" width="11.7890625" style="498" customWidth="1"/>
    <col min="6" max="7" width="14.20703125" style="39" hidden="1" customWidth="1" outlineLevel="1"/>
    <col min="8" max="8" width="10.7890625" style="39" hidden="1" customWidth="1" outlineLevel="1"/>
    <col min="9" max="9" width="13.41796875" style="39" hidden="1" customWidth="1" outlineLevel="1"/>
    <col min="10" max="10" width="18.41796875" style="39" hidden="1" customWidth="1" outlineLevel="1"/>
    <col min="11" max="11" width="17.20703125" style="39" customWidth="1" collapsed="1"/>
    <col min="12" max="14" width="17.20703125" style="39" customWidth="1"/>
    <col min="15" max="18" width="17.20703125" style="39" hidden="1" customWidth="1" outlineLevel="1"/>
    <col min="19" max="19" width="17.20703125" style="499" customWidth="1" collapsed="1"/>
    <col min="20" max="20" width="15.5234375" style="39" customWidth="1"/>
    <col min="21" max="21" width="18.20703125" style="39" customWidth="1"/>
    <col min="22" max="22" width="19.20703125" style="39" customWidth="1"/>
    <col min="23" max="23" width="94.7890625" style="39" customWidth="1"/>
    <col min="24" max="24" width="7" style="39" bestFit="1" customWidth="1"/>
    <col min="25" max="25" width="66" style="39" customWidth="1"/>
    <col min="26" max="26" width="172.20703125" style="500" customWidth="1"/>
    <col min="27" max="16384" width="9.20703125" style="39"/>
  </cols>
  <sheetData>
    <row r="2" spans="1:26" ht="32.700000000000003" x14ac:dyDescent="0.55000000000000004">
      <c r="A2" s="310"/>
      <c r="C2" s="309" t="s">
        <v>213</v>
      </c>
    </row>
    <row r="3" spans="1:26" ht="52.95" customHeight="1" thickBot="1" x14ac:dyDescent="0.6">
      <c r="A3" s="310"/>
      <c r="C3" s="657" t="s">
        <v>823</v>
      </c>
      <c r="D3" s="657"/>
      <c r="E3" s="657"/>
      <c r="F3" s="657"/>
      <c r="G3" s="657"/>
      <c r="H3" s="657"/>
      <c r="I3" s="657"/>
      <c r="J3" s="657"/>
      <c r="K3" s="657"/>
      <c r="L3" s="657"/>
      <c r="M3" s="657"/>
      <c r="N3" s="657"/>
    </row>
    <row r="4" spans="1:26" s="52" customFormat="1" ht="16.95" customHeight="1" x14ac:dyDescent="0.55000000000000004">
      <c r="A4" s="310"/>
      <c r="C4" s="672" t="s">
        <v>214</v>
      </c>
      <c r="D4" s="679" t="s">
        <v>215</v>
      </c>
      <c r="E4" s="681" t="s">
        <v>216</v>
      </c>
      <c r="F4" s="674" t="s">
        <v>217</v>
      </c>
      <c r="G4" s="675"/>
      <c r="H4" s="675"/>
      <c r="I4" s="676"/>
      <c r="J4" s="677" t="s">
        <v>218</v>
      </c>
      <c r="K4" s="669" t="s">
        <v>795</v>
      </c>
      <c r="L4" s="670"/>
      <c r="M4" s="670"/>
      <c r="N4" s="671"/>
      <c r="O4" s="658" t="s">
        <v>219</v>
      </c>
      <c r="P4" s="658"/>
      <c r="Q4" s="658"/>
      <c r="R4" s="659"/>
      <c r="S4" s="660" t="s">
        <v>220</v>
      </c>
      <c r="T4" s="55"/>
      <c r="U4" s="664" t="s">
        <v>221</v>
      </c>
      <c r="V4" s="666" t="s">
        <v>222</v>
      </c>
      <c r="W4" s="668" t="s">
        <v>223</v>
      </c>
      <c r="X4" s="668"/>
      <c r="Y4" s="668"/>
      <c r="Z4" s="662" t="s">
        <v>224</v>
      </c>
    </row>
    <row r="5" spans="1:26" s="53" customFormat="1" ht="33" customHeight="1" thickBot="1" x14ac:dyDescent="0.6">
      <c r="A5" s="569"/>
      <c r="C5" s="673"/>
      <c r="D5" s="680"/>
      <c r="E5" s="682"/>
      <c r="F5" s="501" t="s">
        <v>225</v>
      </c>
      <c r="G5" s="62" t="s">
        <v>226</v>
      </c>
      <c r="H5" s="62" t="s">
        <v>107</v>
      </c>
      <c r="I5" s="62" t="s">
        <v>227</v>
      </c>
      <c r="J5" s="678"/>
      <c r="K5" s="186" t="str">
        <f>F5</f>
        <v xml:space="preserve">Total </v>
      </c>
      <c r="L5" s="62" t="s">
        <v>226</v>
      </c>
      <c r="M5" s="62" t="s">
        <v>107</v>
      </c>
      <c r="N5" s="177" t="s">
        <v>227</v>
      </c>
      <c r="O5" s="182" t="str">
        <f>K5</f>
        <v xml:space="preserve">Total </v>
      </c>
      <c r="P5" s="62" t="s">
        <v>226</v>
      </c>
      <c r="Q5" s="62" t="s">
        <v>107</v>
      </c>
      <c r="R5" s="177" t="s">
        <v>227</v>
      </c>
      <c r="S5" s="661"/>
      <c r="T5" s="55"/>
      <c r="U5" s="665"/>
      <c r="V5" s="667"/>
      <c r="W5" s="567" t="s">
        <v>228</v>
      </c>
      <c r="X5" s="567" t="s">
        <v>229</v>
      </c>
      <c r="Y5" s="567" t="s">
        <v>230</v>
      </c>
      <c r="Z5" s="663"/>
    </row>
    <row r="6" spans="1:26" s="56" customFormat="1" ht="32.25" customHeight="1" thickBot="1" x14ac:dyDescent="0.6">
      <c r="A6" s="310"/>
      <c r="C6" s="124" t="s">
        <v>112</v>
      </c>
      <c r="D6" s="125" t="s">
        <v>231</v>
      </c>
      <c r="E6" s="122" t="s">
        <v>232</v>
      </c>
      <c r="F6" s="133">
        <v>260000</v>
      </c>
      <c r="G6" s="133">
        <f t="shared" ref="G6:G19" si="0">F6</f>
        <v>260000</v>
      </c>
      <c r="H6" s="502"/>
      <c r="I6" s="502"/>
      <c r="J6" s="198" t="s">
        <v>233</v>
      </c>
      <c r="K6" s="189">
        <f t="shared" ref="K6:L6" si="1">ROUND((F6*(_202021/_201718)),-4)</f>
        <v>290000</v>
      </c>
      <c r="L6" s="133">
        <f t="shared" si="1"/>
        <v>290000</v>
      </c>
      <c r="M6" s="502"/>
      <c r="N6" s="503"/>
      <c r="O6" s="504"/>
      <c r="P6" s="505"/>
      <c r="Q6" s="505"/>
      <c r="R6" s="506"/>
      <c r="S6" s="172" t="s">
        <v>109</v>
      </c>
      <c r="U6" s="277" t="s">
        <v>119</v>
      </c>
      <c r="V6" s="278" t="s">
        <v>234</v>
      </c>
      <c r="W6" s="279" t="s">
        <v>797</v>
      </c>
      <c r="X6" s="279">
        <v>2019</v>
      </c>
      <c r="Y6" s="280" t="s">
        <v>235</v>
      </c>
      <c r="Z6" s="281" t="s">
        <v>799</v>
      </c>
    </row>
    <row r="7" spans="1:26" s="56" customFormat="1" ht="32.25" customHeight="1" thickBot="1" x14ac:dyDescent="0.6">
      <c r="A7" s="310"/>
      <c r="C7" s="126" t="s">
        <v>112</v>
      </c>
      <c r="D7" s="127" t="s">
        <v>236</v>
      </c>
      <c r="E7" s="128" t="s">
        <v>232</v>
      </c>
      <c r="F7" s="133">
        <v>53000</v>
      </c>
      <c r="G7" s="133">
        <f t="shared" ref="G7:G14" si="2">F7</f>
        <v>53000</v>
      </c>
      <c r="H7" s="502"/>
      <c r="I7" s="502"/>
      <c r="J7" s="198" t="s">
        <v>233</v>
      </c>
      <c r="K7" s="189">
        <f t="shared" ref="K7" si="3">ROUND((F7*(_202021/_201718)),-4)</f>
        <v>60000</v>
      </c>
      <c r="L7" s="133">
        <f t="shared" ref="L7" si="4">ROUND((G7*(_202021/_201718)),-4)</f>
        <v>60000</v>
      </c>
      <c r="M7" s="502"/>
      <c r="N7" s="507"/>
      <c r="O7" s="508"/>
      <c r="P7" s="509"/>
      <c r="Q7" s="509"/>
      <c r="R7" s="510"/>
      <c r="S7" s="172" t="s">
        <v>109</v>
      </c>
      <c r="U7" s="71" t="s">
        <v>119</v>
      </c>
      <c r="V7" s="72" t="s">
        <v>234</v>
      </c>
      <c r="W7" s="279" t="s">
        <v>797</v>
      </c>
      <c r="X7" s="73">
        <v>2019</v>
      </c>
      <c r="Y7" s="91" t="s">
        <v>235</v>
      </c>
      <c r="Z7" s="281" t="s">
        <v>799</v>
      </c>
    </row>
    <row r="8" spans="1:26" s="56" customFormat="1" ht="32.25" customHeight="1" thickBot="1" x14ac:dyDescent="0.6">
      <c r="A8" s="310"/>
      <c r="C8" s="126" t="s">
        <v>112</v>
      </c>
      <c r="D8" s="127" t="s">
        <v>238</v>
      </c>
      <c r="E8" s="128" t="s">
        <v>232</v>
      </c>
      <c r="F8" s="133">
        <v>7000</v>
      </c>
      <c r="G8" s="133">
        <f t="shared" si="2"/>
        <v>7000</v>
      </c>
      <c r="H8" s="502"/>
      <c r="I8" s="502"/>
      <c r="J8" s="198" t="s">
        <v>233</v>
      </c>
      <c r="K8" s="189">
        <f t="shared" ref="K8:K15" si="5">ROUND((F8*(_202021/_201718)),-2)</f>
        <v>7800</v>
      </c>
      <c r="L8" s="133">
        <f>K8</f>
        <v>7800</v>
      </c>
      <c r="M8" s="502"/>
      <c r="N8" s="507"/>
      <c r="O8" s="508"/>
      <c r="P8" s="509"/>
      <c r="Q8" s="509"/>
      <c r="R8" s="510"/>
      <c r="S8" s="172" t="s">
        <v>109</v>
      </c>
      <c r="U8" s="71" t="s">
        <v>119</v>
      </c>
      <c r="V8" s="72" t="s">
        <v>234</v>
      </c>
      <c r="W8" s="279" t="s">
        <v>797</v>
      </c>
      <c r="X8" s="73">
        <v>2019</v>
      </c>
      <c r="Y8" s="91" t="s">
        <v>235</v>
      </c>
      <c r="Z8" s="281" t="s">
        <v>799</v>
      </c>
    </row>
    <row r="9" spans="1:26" s="56" customFormat="1" ht="32.25" customHeight="1" thickBot="1" x14ac:dyDescent="0.55000000000000004">
      <c r="A9" s="311"/>
      <c r="C9" s="126" t="s">
        <v>112</v>
      </c>
      <c r="D9" s="129" t="s">
        <v>120</v>
      </c>
      <c r="E9" s="128" t="s">
        <v>232</v>
      </c>
      <c r="F9" s="133">
        <v>9300</v>
      </c>
      <c r="G9" s="133">
        <f t="shared" si="2"/>
        <v>9300</v>
      </c>
      <c r="H9" s="502"/>
      <c r="I9" s="502"/>
      <c r="J9" s="198" t="s">
        <v>233</v>
      </c>
      <c r="K9" s="189">
        <f t="shared" si="5"/>
        <v>10400</v>
      </c>
      <c r="L9" s="133">
        <f t="shared" ref="L9:L15" si="6">K9</f>
        <v>10400</v>
      </c>
      <c r="M9" s="502"/>
      <c r="N9" s="507"/>
      <c r="O9" s="508"/>
      <c r="P9" s="509"/>
      <c r="Q9" s="509"/>
      <c r="R9" s="510"/>
      <c r="S9" s="172" t="s">
        <v>109</v>
      </c>
      <c r="U9" s="71" t="s">
        <v>119</v>
      </c>
      <c r="V9" s="72" t="s">
        <v>234</v>
      </c>
      <c r="W9" s="279" t="s">
        <v>797</v>
      </c>
      <c r="X9" s="73">
        <v>2019</v>
      </c>
      <c r="Y9" s="91" t="s">
        <v>235</v>
      </c>
      <c r="Z9" s="281" t="s">
        <v>799</v>
      </c>
    </row>
    <row r="10" spans="1:26" s="56" customFormat="1" ht="32.25" customHeight="1" thickBot="1" x14ac:dyDescent="0.55000000000000004">
      <c r="A10" s="311"/>
      <c r="C10" s="126" t="s">
        <v>112</v>
      </c>
      <c r="D10" s="129" t="s">
        <v>121</v>
      </c>
      <c r="E10" s="128" t="s">
        <v>232</v>
      </c>
      <c r="F10" s="133">
        <v>8300</v>
      </c>
      <c r="G10" s="133">
        <f t="shared" si="2"/>
        <v>8300</v>
      </c>
      <c r="H10" s="502"/>
      <c r="I10" s="502"/>
      <c r="J10" s="198" t="s">
        <v>233</v>
      </c>
      <c r="K10" s="189">
        <f t="shared" si="5"/>
        <v>9300</v>
      </c>
      <c r="L10" s="133">
        <f t="shared" si="6"/>
        <v>9300</v>
      </c>
      <c r="M10" s="502"/>
      <c r="N10" s="507"/>
      <c r="O10" s="508"/>
      <c r="P10" s="509"/>
      <c r="Q10" s="509"/>
      <c r="R10" s="510"/>
      <c r="S10" s="172" t="s">
        <v>109</v>
      </c>
      <c r="U10" s="71" t="s">
        <v>119</v>
      </c>
      <c r="V10" s="72" t="s">
        <v>234</v>
      </c>
      <c r="W10" s="279" t="s">
        <v>797</v>
      </c>
      <c r="X10" s="73">
        <v>2019</v>
      </c>
      <c r="Y10" s="91" t="s">
        <v>235</v>
      </c>
      <c r="Z10" s="281" t="s">
        <v>799</v>
      </c>
    </row>
    <row r="11" spans="1:26" s="56" customFormat="1" ht="32.25" customHeight="1" thickBot="1" x14ac:dyDescent="0.55000000000000004">
      <c r="A11" s="311"/>
      <c r="C11" s="126" t="s">
        <v>112</v>
      </c>
      <c r="D11" s="127" t="s">
        <v>122</v>
      </c>
      <c r="E11" s="128" t="s">
        <v>232</v>
      </c>
      <c r="F11" s="133">
        <v>3500</v>
      </c>
      <c r="G11" s="133">
        <f t="shared" si="2"/>
        <v>3500</v>
      </c>
      <c r="H11" s="502"/>
      <c r="I11" s="502"/>
      <c r="J11" s="198" t="s">
        <v>233</v>
      </c>
      <c r="K11" s="189">
        <f t="shared" si="5"/>
        <v>3900</v>
      </c>
      <c r="L11" s="133">
        <f t="shared" si="6"/>
        <v>3900</v>
      </c>
      <c r="M11" s="502"/>
      <c r="N11" s="507"/>
      <c r="O11" s="508"/>
      <c r="P11" s="509"/>
      <c r="Q11" s="509"/>
      <c r="R11" s="510"/>
      <c r="S11" s="172" t="s">
        <v>109</v>
      </c>
      <c r="U11" s="71" t="s">
        <v>119</v>
      </c>
      <c r="V11" s="72" t="s">
        <v>234</v>
      </c>
      <c r="W11" s="279" t="s">
        <v>797</v>
      </c>
      <c r="X11" s="73">
        <v>2019</v>
      </c>
      <c r="Y11" s="91" t="s">
        <v>235</v>
      </c>
      <c r="Z11" s="281" t="s">
        <v>799</v>
      </c>
    </row>
    <row r="12" spans="1:26" s="56" customFormat="1" ht="32.25" customHeight="1" thickBot="1" x14ac:dyDescent="0.55000000000000004">
      <c r="A12" s="311"/>
      <c r="C12" s="126" t="s">
        <v>112</v>
      </c>
      <c r="D12" s="129" t="s">
        <v>123</v>
      </c>
      <c r="E12" s="128" t="s">
        <v>232</v>
      </c>
      <c r="F12" s="133">
        <v>1600</v>
      </c>
      <c r="G12" s="133">
        <f t="shared" si="2"/>
        <v>1600</v>
      </c>
      <c r="H12" s="502"/>
      <c r="I12" s="502"/>
      <c r="J12" s="198" t="s">
        <v>233</v>
      </c>
      <c r="K12" s="189">
        <f t="shared" si="5"/>
        <v>1800</v>
      </c>
      <c r="L12" s="133">
        <f t="shared" si="6"/>
        <v>1800</v>
      </c>
      <c r="M12" s="502"/>
      <c r="N12" s="507"/>
      <c r="O12" s="508"/>
      <c r="P12" s="509"/>
      <c r="Q12" s="509"/>
      <c r="R12" s="510"/>
      <c r="S12" s="172" t="s">
        <v>109</v>
      </c>
      <c r="U12" s="71" t="s">
        <v>119</v>
      </c>
      <c r="V12" s="72" t="s">
        <v>234</v>
      </c>
      <c r="W12" s="279" t="s">
        <v>797</v>
      </c>
      <c r="X12" s="73">
        <v>2019</v>
      </c>
      <c r="Y12" s="91" t="s">
        <v>235</v>
      </c>
      <c r="Z12" s="281" t="s">
        <v>799</v>
      </c>
    </row>
    <row r="13" spans="1:26" s="56" customFormat="1" ht="32.25" customHeight="1" thickBot="1" x14ac:dyDescent="0.55000000000000004">
      <c r="A13" s="312"/>
      <c r="C13" s="126" t="s">
        <v>112</v>
      </c>
      <c r="D13" s="127" t="s">
        <v>239</v>
      </c>
      <c r="E13" s="128" t="s">
        <v>232</v>
      </c>
      <c r="F13" s="133">
        <v>10000</v>
      </c>
      <c r="G13" s="133">
        <f t="shared" si="2"/>
        <v>10000</v>
      </c>
      <c r="H13" s="502"/>
      <c r="I13" s="502"/>
      <c r="J13" s="198" t="s">
        <v>233</v>
      </c>
      <c r="K13" s="189">
        <f t="shared" si="5"/>
        <v>11200</v>
      </c>
      <c r="L13" s="133">
        <f t="shared" si="6"/>
        <v>11200</v>
      </c>
      <c r="M13" s="502"/>
      <c r="N13" s="507"/>
      <c r="O13" s="508"/>
      <c r="P13" s="509"/>
      <c r="Q13" s="509"/>
      <c r="R13" s="510"/>
      <c r="S13" s="172" t="s">
        <v>109</v>
      </c>
      <c r="U13" s="71" t="s">
        <v>119</v>
      </c>
      <c r="V13" s="72" t="s">
        <v>234</v>
      </c>
      <c r="W13" s="279" t="s">
        <v>797</v>
      </c>
      <c r="X13" s="73">
        <v>2019</v>
      </c>
      <c r="Y13" s="91" t="s">
        <v>235</v>
      </c>
      <c r="Z13" s="281" t="s">
        <v>799</v>
      </c>
    </row>
    <row r="14" spans="1:26" s="56" customFormat="1" ht="32.25" customHeight="1" x14ac:dyDescent="0.5">
      <c r="A14" s="312"/>
      <c r="C14" s="126" t="s">
        <v>112</v>
      </c>
      <c r="D14" s="127" t="s">
        <v>240</v>
      </c>
      <c r="E14" s="128" t="s">
        <v>232</v>
      </c>
      <c r="F14" s="133">
        <v>4900</v>
      </c>
      <c r="G14" s="133">
        <f t="shared" si="2"/>
        <v>4900</v>
      </c>
      <c r="H14" s="502"/>
      <c r="I14" s="502"/>
      <c r="J14" s="198" t="s">
        <v>233</v>
      </c>
      <c r="K14" s="189">
        <f t="shared" si="5"/>
        <v>5500</v>
      </c>
      <c r="L14" s="133">
        <f t="shared" si="6"/>
        <v>5500</v>
      </c>
      <c r="M14" s="502"/>
      <c r="N14" s="507"/>
      <c r="O14" s="508"/>
      <c r="P14" s="509"/>
      <c r="Q14" s="509"/>
      <c r="R14" s="510"/>
      <c r="S14" s="172" t="s">
        <v>109</v>
      </c>
      <c r="U14" s="71" t="s">
        <v>119</v>
      </c>
      <c r="V14" s="72" t="s">
        <v>234</v>
      </c>
      <c r="W14" s="279" t="s">
        <v>797</v>
      </c>
      <c r="X14" s="73">
        <v>2019</v>
      </c>
      <c r="Y14" s="91" t="s">
        <v>235</v>
      </c>
      <c r="Z14" s="281" t="s">
        <v>799</v>
      </c>
    </row>
    <row r="15" spans="1:26" s="56" customFormat="1" ht="32.25" customHeight="1" x14ac:dyDescent="0.5">
      <c r="A15" s="312"/>
      <c r="C15" s="126" t="s">
        <v>112</v>
      </c>
      <c r="D15" s="127" t="s">
        <v>241</v>
      </c>
      <c r="E15" s="128" t="s">
        <v>232</v>
      </c>
      <c r="F15" s="133">
        <v>25000</v>
      </c>
      <c r="G15" s="134">
        <f t="shared" si="0"/>
        <v>25000</v>
      </c>
      <c r="H15" s="505"/>
      <c r="I15" s="505"/>
      <c r="J15" s="198" t="s">
        <v>242</v>
      </c>
      <c r="K15" s="189">
        <f t="shared" si="5"/>
        <v>28000</v>
      </c>
      <c r="L15" s="133">
        <f t="shared" si="6"/>
        <v>28000</v>
      </c>
      <c r="M15" s="505"/>
      <c r="N15" s="510"/>
      <c r="O15" s="508"/>
      <c r="P15" s="509"/>
      <c r="Q15" s="509"/>
      <c r="R15" s="510"/>
      <c r="S15" s="173" t="s">
        <v>243</v>
      </c>
      <c r="U15" s="71" t="s">
        <v>119</v>
      </c>
      <c r="V15" s="72" t="s">
        <v>244</v>
      </c>
      <c r="W15" s="73" t="s">
        <v>798</v>
      </c>
      <c r="X15" s="73">
        <v>2006</v>
      </c>
      <c r="Y15" s="91" t="s">
        <v>245</v>
      </c>
      <c r="Z15" s="283" t="s">
        <v>800</v>
      </c>
    </row>
    <row r="16" spans="1:26" s="56" customFormat="1" ht="32.25" hidden="1" customHeight="1" outlineLevel="1" x14ac:dyDescent="0.5">
      <c r="A16" s="312"/>
      <c r="C16" s="54" t="s">
        <v>112</v>
      </c>
      <c r="D16" s="511" t="s">
        <v>246</v>
      </c>
      <c r="E16" s="512" t="s">
        <v>232</v>
      </c>
      <c r="F16" s="64">
        <v>15000</v>
      </c>
      <c r="G16" s="67">
        <f t="shared" si="0"/>
        <v>15000</v>
      </c>
      <c r="H16" s="505"/>
      <c r="I16" s="505"/>
      <c r="J16" s="513" t="s">
        <v>242</v>
      </c>
      <c r="K16" s="201">
        <f>ROUND((F16*(_202021/_200506)),-2)</f>
        <v>21200</v>
      </c>
      <c r="L16" s="158">
        <f t="shared" ref="L16:L19" si="7">K16</f>
        <v>21200</v>
      </c>
      <c r="M16" s="505"/>
      <c r="N16" s="510"/>
      <c r="O16" s="508"/>
      <c r="P16" s="509"/>
      <c r="Q16" s="509"/>
      <c r="R16" s="510"/>
      <c r="S16" s="174" t="s">
        <v>247</v>
      </c>
      <c r="T16" s="514"/>
      <c r="U16" s="71" t="s">
        <v>119</v>
      </c>
      <c r="V16" s="72" t="s">
        <v>244</v>
      </c>
      <c r="W16" s="73" t="s">
        <v>237</v>
      </c>
      <c r="X16" s="73">
        <v>2006</v>
      </c>
      <c r="Y16" s="91" t="s">
        <v>245</v>
      </c>
      <c r="Z16" s="283" t="s">
        <v>237</v>
      </c>
    </row>
    <row r="17" spans="1:26" s="56" customFormat="1" ht="32.25" hidden="1" customHeight="1" outlineLevel="1" x14ac:dyDescent="0.5">
      <c r="A17" s="312"/>
      <c r="C17" s="54" t="s">
        <v>112</v>
      </c>
      <c r="D17" s="511" t="s">
        <v>248</v>
      </c>
      <c r="E17" s="512" t="s">
        <v>232</v>
      </c>
      <c r="F17" s="64">
        <v>6250</v>
      </c>
      <c r="G17" s="67">
        <f t="shared" si="0"/>
        <v>6250</v>
      </c>
      <c r="H17" s="505"/>
      <c r="I17" s="505"/>
      <c r="J17" s="513" t="s">
        <v>242</v>
      </c>
      <c r="K17" s="201">
        <f>ROUND((F17*(_202021/_200506)),-2)</f>
        <v>8800</v>
      </c>
      <c r="L17" s="158">
        <f t="shared" si="7"/>
        <v>8800</v>
      </c>
      <c r="M17" s="505"/>
      <c r="N17" s="510"/>
      <c r="O17" s="508"/>
      <c r="P17" s="509"/>
      <c r="Q17" s="509"/>
      <c r="R17" s="510"/>
      <c r="S17" s="174" t="s">
        <v>249</v>
      </c>
      <c r="T17" s="514"/>
      <c r="U17" s="71" t="s">
        <v>119</v>
      </c>
      <c r="V17" s="72" t="s">
        <v>244</v>
      </c>
      <c r="W17" s="73" t="s">
        <v>237</v>
      </c>
      <c r="X17" s="73">
        <v>2006</v>
      </c>
      <c r="Y17" s="91" t="s">
        <v>245</v>
      </c>
      <c r="Z17" s="283" t="s">
        <v>237</v>
      </c>
    </row>
    <row r="18" spans="1:26" s="56" customFormat="1" ht="32.25" hidden="1" customHeight="1" outlineLevel="1" x14ac:dyDescent="0.5">
      <c r="A18" s="312"/>
      <c r="C18" s="54" t="s">
        <v>112</v>
      </c>
      <c r="D18" s="511" t="s">
        <v>250</v>
      </c>
      <c r="E18" s="512" t="s">
        <v>232</v>
      </c>
      <c r="F18" s="64">
        <v>1250</v>
      </c>
      <c r="G18" s="67">
        <f t="shared" si="0"/>
        <v>1250</v>
      </c>
      <c r="H18" s="505"/>
      <c r="I18" s="505"/>
      <c r="J18" s="513" t="s">
        <v>242</v>
      </c>
      <c r="K18" s="201">
        <f>ROUND((F18*(_202021/_200506)),-2)</f>
        <v>1800</v>
      </c>
      <c r="L18" s="158">
        <f t="shared" si="7"/>
        <v>1800</v>
      </c>
      <c r="M18" s="505"/>
      <c r="N18" s="510"/>
      <c r="O18" s="508"/>
      <c r="P18" s="509"/>
      <c r="Q18" s="509"/>
      <c r="R18" s="510"/>
      <c r="S18" s="174" t="s">
        <v>247</v>
      </c>
      <c r="T18" s="514"/>
      <c r="U18" s="71" t="s">
        <v>119</v>
      </c>
      <c r="V18" s="72" t="s">
        <v>244</v>
      </c>
      <c r="W18" s="73" t="s">
        <v>237</v>
      </c>
      <c r="X18" s="73">
        <v>2006</v>
      </c>
      <c r="Y18" s="91" t="s">
        <v>245</v>
      </c>
      <c r="Z18" s="283" t="s">
        <v>237</v>
      </c>
    </row>
    <row r="19" spans="1:26" s="56" customFormat="1" ht="32.25" hidden="1" customHeight="1" outlineLevel="1" x14ac:dyDescent="0.5">
      <c r="A19" s="312"/>
      <c r="C19" s="54" t="s">
        <v>112</v>
      </c>
      <c r="D19" s="511" t="s">
        <v>251</v>
      </c>
      <c r="E19" s="512" t="s">
        <v>232</v>
      </c>
      <c r="F19" s="64">
        <v>2500</v>
      </c>
      <c r="G19" s="67">
        <f t="shared" si="0"/>
        <v>2500</v>
      </c>
      <c r="H19" s="505"/>
      <c r="I19" s="505"/>
      <c r="J19" s="513" t="s">
        <v>242</v>
      </c>
      <c r="K19" s="201">
        <f>ROUND((F19*(_202021/_200506)),-2)</f>
        <v>3500</v>
      </c>
      <c r="L19" s="158">
        <f t="shared" si="7"/>
        <v>3500</v>
      </c>
      <c r="M19" s="505"/>
      <c r="N19" s="510"/>
      <c r="O19" s="508"/>
      <c r="P19" s="509"/>
      <c r="Q19" s="509"/>
      <c r="R19" s="510"/>
      <c r="S19" s="174" t="s">
        <v>252</v>
      </c>
      <c r="T19" s="514"/>
      <c r="U19" s="71" t="s">
        <v>119</v>
      </c>
      <c r="V19" s="72" t="s">
        <v>244</v>
      </c>
      <c r="W19" s="73" t="s">
        <v>237</v>
      </c>
      <c r="X19" s="73">
        <v>2006</v>
      </c>
      <c r="Y19" s="91" t="s">
        <v>245</v>
      </c>
      <c r="Z19" s="283" t="s">
        <v>237</v>
      </c>
    </row>
    <row r="20" spans="1:26" s="56" customFormat="1" ht="32.25" customHeight="1" collapsed="1" x14ac:dyDescent="0.5">
      <c r="A20" s="312"/>
      <c r="C20" s="126" t="s">
        <v>253</v>
      </c>
      <c r="D20" s="127" t="s">
        <v>254</v>
      </c>
      <c r="E20" s="128" t="s">
        <v>255</v>
      </c>
      <c r="F20" s="134">
        <f>4.55*52*25</f>
        <v>5915</v>
      </c>
      <c r="G20" s="59"/>
      <c r="H20" s="133">
        <f>F20</f>
        <v>5915</v>
      </c>
      <c r="I20" s="505"/>
      <c r="J20" s="198" t="s">
        <v>256</v>
      </c>
      <c r="K20" s="202">
        <f>ROUND(F20,-2)</f>
        <v>5900</v>
      </c>
      <c r="L20" s="59"/>
      <c r="M20" s="134">
        <f>K20</f>
        <v>5900</v>
      </c>
      <c r="N20" s="515"/>
      <c r="O20" s="200">
        <f>ROUND(M20*SUM('Perinatal MH QALY calcs'!C6:C17),-2)</f>
        <v>59000</v>
      </c>
      <c r="P20" s="505"/>
      <c r="Q20" s="134">
        <f>O20</f>
        <v>59000</v>
      </c>
      <c r="R20" s="510"/>
      <c r="S20" s="175" t="s">
        <v>119</v>
      </c>
      <c r="T20" s="57"/>
      <c r="U20" s="71" t="s">
        <v>257</v>
      </c>
      <c r="V20" s="72" t="s">
        <v>234</v>
      </c>
      <c r="W20" s="73" t="s">
        <v>258</v>
      </c>
      <c r="X20" s="73">
        <v>2020</v>
      </c>
      <c r="Y20" s="91" t="s">
        <v>259</v>
      </c>
      <c r="Z20" s="283" t="s">
        <v>801</v>
      </c>
    </row>
    <row r="21" spans="1:26" s="56" customFormat="1" ht="48" customHeight="1" thickBot="1" x14ac:dyDescent="0.55000000000000004">
      <c r="A21" s="312"/>
      <c r="C21" s="130" t="s">
        <v>125</v>
      </c>
      <c r="D21" s="131" t="s">
        <v>260</v>
      </c>
      <c r="E21" s="132" t="s">
        <v>255</v>
      </c>
      <c r="F21" s="135">
        <v>682.47660799999994</v>
      </c>
      <c r="G21" s="60"/>
      <c r="H21" s="135">
        <f>F21</f>
        <v>682.47660799999994</v>
      </c>
      <c r="I21" s="516"/>
      <c r="J21" s="199" t="s">
        <v>261</v>
      </c>
      <c r="K21" s="197">
        <f>ROUND((F21*(_202021/_201819)),-2)</f>
        <v>700</v>
      </c>
      <c r="L21" s="60"/>
      <c r="M21" s="135">
        <f>K21</f>
        <v>700</v>
      </c>
      <c r="N21" s="517"/>
      <c r="O21" s="518"/>
      <c r="P21" s="519"/>
      <c r="Q21" s="519"/>
      <c r="R21" s="520"/>
      <c r="S21" s="176" t="s">
        <v>119</v>
      </c>
      <c r="T21" s="57"/>
      <c r="U21" s="75" t="s">
        <v>119</v>
      </c>
      <c r="V21" s="76" t="s">
        <v>262</v>
      </c>
      <c r="W21" s="77" t="s">
        <v>796</v>
      </c>
      <c r="X21" s="77">
        <v>2019</v>
      </c>
      <c r="Y21" s="524" t="s">
        <v>263</v>
      </c>
      <c r="Z21" s="282" t="s">
        <v>802</v>
      </c>
    </row>
    <row r="22" spans="1:26" ht="15.3" x14ac:dyDescent="0.55000000000000004">
      <c r="A22" s="312"/>
    </row>
    <row r="23" spans="1:26" ht="15.3" x14ac:dyDescent="0.55000000000000004">
      <c r="A23" s="312"/>
    </row>
    <row r="24" spans="1:26" ht="15.3" x14ac:dyDescent="0.55000000000000004">
      <c r="A24" s="312"/>
    </row>
    <row r="25" spans="1:26" ht="15.3" x14ac:dyDescent="0.55000000000000004">
      <c r="A25" s="312"/>
    </row>
    <row r="26" spans="1:26" ht="15.3" x14ac:dyDescent="0.55000000000000004">
      <c r="A26" s="312"/>
      <c r="K26" s="521"/>
      <c r="L26" s="521"/>
    </row>
    <row r="27" spans="1:26" ht="15.3" x14ac:dyDescent="0.55000000000000004">
      <c r="A27" s="312"/>
    </row>
    <row r="28" spans="1:26" ht="15.3" x14ac:dyDescent="0.55000000000000004">
      <c r="A28" s="312"/>
      <c r="K28" s="521"/>
    </row>
    <row r="29" spans="1:26" ht="15.3" x14ac:dyDescent="0.55000000000000004">
      <c r="A29" s="312"/>
    </row>
    <row r="30" spans="1:26" ht="15.3" x14ac:dyDescent="0.55000000000000004">
      <c r="A30" s="312"/>
    </row>
    <row r="31" spans="1:26" ht="15.3" x14ac:dyDescent="0.55000000000000004">
      <c r="A31" s="312"/>
    </row>
    <row r="32" spans="1:26" ht="15.3" x14ac:dyDescent="0.55000000000000004">
      <c r="A32" s="312"/>
    </row>
    <row r="33" spans="1:1" ht="15.3" x14ac:dyDescent="0.55000000000000004">
      <c r="A33" s="312"/>
    </row>
    <row r="34" spans="1:1" ht="15.3" x14ac:dyDescent="0.55000000000000004">
      <c r="A34" s="312"/>
    </row>
    <row r="35" spans="1:1" ht="15.3" x14ac:dyDescent="0.55000000000000004">
      <c r="A35" s="312"/>
    </row>
    <row r="36" spans="1:1" ht="15.3" x14ac:dyDescent="0.55000000000000004">
      <c r="A36" s="312"/>
    </row>
    <row r="37" spans="1:1" ht="15.3" x14ac:dyDescent="0.55000000000000004">
      <c r="A37" s="312"/>
    </row>
    <row r="38" spans="1:1" ht="15.3" x14ac:dyDescent="0.55000000000000004">
      <c r="A38" s="312"/>
    </row>
    <row r="39" spans="1:1" ht="15.3" x14ac:dyDescent="0.55000000000000004">
      <c r="A39" s="312"/>
    </row>
    <row r="40" spans="1:1" ht="15.3" x14ac:dyDescent="0.55000000000000004">
      <c r="A40" s="312"/>
    </row>
    <row r="41" spans="1:1" ht="15.3" x14ac:dyDescent="0.55000000000000004">
      <c r="A41" s="312"/>
    </row>
    <row r="42" spans="1:1" ht="15.3" x14ac:dyDescent="0.55000000000000004">
      <c r="A42" s="312"/>
    </row>
    <row r="43" spans="1:1" ht="15.3" x14ac:dyDescent="0.55000000000000004">
      <c r="A43" s="312"/>
    </row>
  </sheetData>
  <autoFilter ref="C4:D5" xr:uid="{CF94414A-9F43-4CF2-AA0E-028AD66CEBCC}"/>
  <mergeCells count="13">
    <mergeCell ref="C3:N3"/>
    <mergeCell ref="O4:R4"/>
    <mergeCell ref="S4:S5"/>
    <mergeCell ref="Z4:Z5"/>
    <mergeCell ref="U4:U5"/>
    <mergeCell ref="V4:V5"/>
    <mergeCell ref="W4:Y4"/>
    <mergeCell ref="K4:N4"/>
    <mergeCell ref="C4:C5"/>
    <mergeCell ref="F4:I4"/>
    <mergeCell ref="J4:J5"/>
    <mergeCell ref="D4:D5"/>
    <mergeCell ref="E4:E5"/>
  </mergeCells>
  <dataValidations disablePrompts="1" count="1">
    <dataValidation type="list" allowBlank="1" showInputMessage="1" showErrorMessage="1" sqref="S16:T19 V16:Y19" xr:uid="{97421C8C-345F-4528-AD10-D53291A823A0}">
      <formula1>Level1agencysaving</formula1>
    </dataValidation>
  </dataValidations>
  <hyperlinks>
    <hyperlink ref="Y6" r:id="rId1" xr:uid="{9E41EB50-33A0-462B-A6CD-6A6D2A162C13}"/>
    <hyperlink ref="Y15" r:id="rId2" xr:uid="{599F2D5B-07AE-4688-9910-4AF050D79BA9}"/>
    <hyperlink ref="Y16:Y19" r:id="rId3" display="http://www.familieslink.co.uk/download/june07/Review%20of%20child%20care.pdf" xr:uid="{31E8AB76-6D88-4CD8-8937-9A8996A5AAEC}"/>
    <hyperlink ref="Y20" r:id="rId4" xr:uid="{CB7CF431-5B04-4E82-9189-97037C3D5FA8}"/>
    <hyperlink ref="Y7" r:id="rId5" xr:uid="{BC69B376-3E4F-4242-9B9A-6B632C6E0BB9}"/>
    <hyperlink ref="Y8" r:id="rId6" xr:uid="{6C88E662-3CAD-42F5-BF12-4CCA9233518B}"/>
    <hyperlink ref="Y9" r:id="rId7" xr:uid="{AF6197EA-B0A9-4159-A874-6C65660E5749}"/>
    <hyperlink ref="Y10:Y11" r:id="rId8" display="https://www.childrenscommissioner.gov.uk/wp-content/uploads/2019/07/cco-vulnerability-2019-spend-report.pdf" xr:uid="{01F7CB01-EDC8-46AD-99ED-F111F74FC154}"/>
    <hyperlink ref="Y12" r:id="rId9" xr:uid="{476E33C9-B714-4D35-BBD6-0AC1C4B09653}"/>
    <hyperlink ref="Y13" r:id="rId10" xr:uid="{5FCFAAC5-92CE-4BFE-B298-ACB51A4353CA}"/>
    <hyperlink ref="Y14" r:id="rId11" xr:uid="{3D223689-37D9-4DF2-89D3-4DEB9801F9AD}"/>
  </hyperlinks>
  <pageMargins left="0.7" right="0.7" top="0.75" bottom="0.75" header="0.3" footer="0.3"/>
  <pageSetup paperSize="9" orientation="portrait" r:id="rId12"/>
  <drawing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13F5C-4B30-4C5E-9E18-0A21489B324E}">
  <sheetPr codeName="Sheet3">
    <tabColor theme="5" tint="0.39997558519241921"/>
  </sheetPr>
  <dimension ref="A1:Z42"/>
  <sheetViews>
    <sheetView zoomScaleNormal="100" workbookViewId="0">
      <pane xSplit="4" ySplit="5" topLeftCell="E6" activePane="bottomRight" state="frozen"/>
      <selection pane="topRight" activeCell="S15" sqref="S15"/>
      <selection pane="bottomLeft" activeCell="S15" sqref="S15"/>
      <selection pane="bottomRight" activeCell="D12" sqref="D12"/>
    </sheetView>
  </sheetViews>
  <sheetFormatPr defaultColWidth="9.20703125" defaultRowHeight="14.4" outlineLevelRow="1" outlineLevelCol="1" x14ac:dyDescent="0.55000000000000004"/>
  <cols>
    <col min="1" max="1" width="34" style="313" customWidth="1"/>
    <col min="2" max="2" width="5.89453125" style="39" customWidth="1"/>
    <col min="3" max="3" width="17.7890625" style="39" customWidth="1"/>
    <col min="4" max="4" width="30.20703125" style="39" customWidth="1"/>
    <col min="5" max="5" width="24.20703125" style="39" customWidth="1"/>
    <col min="6" max="10" width="16.5234375" style="39" hidden="1" customWidth="1" outlineLevel="1"/>
    <col min="11" max="11" width="16.5234375" style="79" customWidth="1" collapsed="1"/>
    <col min="12" max="14" width="16.5234375" style="39" customWidth="1"/>
    <col min="15" max="18" width="16.5234375" style="39" hidden="1" customWidth="1" outlineLevel="1"/>
    <col min="19" max="19" width="16.5234375" style="39" customWidth="1" collapsed="1"/>
    <col min="20" max="20" width="13.7890625" style="39" customWidth="1"/>
    <col min="21" max="21" width="15" style="39" customWidth="1"/>
    <col min="22" max="22" width="15.5234375" style="39" customWidth="1"/>
    <col min="23" max="23" width="44.20703125" style="39" customWidth="1"/>
    <col min="24" max="24" width="7" style="39" bestFit="1" customWidth="1"/>
    <col min="25" max="25" width="28.7890625" style="39" bestFit="1" customWidth="1"/>
    <col min="26" max="26" width="185.20703125" style="39" customWidth="1"/>
    <col min="27" max="16384" width="9.20703125" style="39"/>
  </cols>
  <sheetData>
    <row r="1" spans="1:26" x14ac:dyDescent="0.55000000000000004">
      <c r="E1" s="498"/>
      <c r="K1" s="39"/>
      <c r="S1" s="499"/>
      <c r="Z1" s="500"/>
    </row>
    <row r="2" spans="1:26" ht="32.700000000000003" x14ac:dyDescent="0.55000000000000004">
      <c r="A2" s="310"/>
      <c r="C2" s="309" t="s">
        <v>264</v>
      </c>
      <c r="E2" s="498"/>
      <c r="K2" s="39"/>
      <c r="S2" s="499"/>
      <c r="Z2" s="500"/>
    </row>
    <row r="3" spans="1:26" ht="52.95" customHeight="1" thickBot="1" x14ac:dyDescent="0.6">
      <c r="A3" s="310"/>
      <c r="C3" s="657" t="s">
        <v>823</v>
      </c>
      <c r="D3" s="657"/>
      <c r="E3" s="657"/>
      <c r="F3" s="657"/>
      <c r="G3" s="657"/>
      <c r="H3" s="657"/>
      <c r="I3" s="657"/>
      <c r="J3" s="657"/>
      <c r="K3" s="657"/>
      <c r="L3" s="657"/>
      <c r="M3" s="657"/>
      <c r="N3" s="657"/>
      <c r="S3" s="499"/>
      <c r="Z3" s="500"/>
    </row>
    <row r="4" spans="1:26" s="52" customFormat="1" ht="16.95" customHeight="1" x14ac:dyDescent="0.55000000000000004">
      <c r="A4" s="310"/>
      <c r="C4" s="672" t="s">
        <v>214</v>
      </c>
      <c r="D4" s="679" t="s">
        <v>215</v>
      </c>
      <c r="E4" s="679" t="s">
        <v>216</v>
      </c>
      <c r="F4" s="690" t="s">
        <v>217</v>
      </c>
      <c r="G4" s="690"/>
      <c r="H4" s="690"/>
      <c r="I4" s="690"/>
      <c r="J4" s="670" t="s">
        <v>218</v>
      </c>
      <c r="K4" s="670" t="s">
        <v>795</v>
      </c>
      <c r="L4" s="670"/>
      <c r="M4" s="670"/>
      <c r="N4" s="670"/>
      <c r="O4" s="670" t="s">
        <v>219</v>
      </c>
      <c r="P4" s="670"/>
      <c r="Q4" s="670"/>
      <c r="R4" s="670"/>
      <c r="S4" s="683" t="s">
        <v>220</v>
      </c>
      <c r="T4" s="55"/>
      <c r="U4" s="664" t="s">
        <v>221</v>
      </c>
      <c r="V4" s="687" t="s">
        <v>222</v>
      </c>
      <c r="W4" s="689" t="s">
        <v>223</v>
      </c>
      <c r="X4" s="689"/>
      <c r="Y4" s="689"/>
      <c r="Z4" s="685" t="s">
        <v>224</v>
      </c>
    </row>
    <row r="5" spans="1:26" s="53" customFormat="1" ht="33" customHeight="1" thickBot="1" x14ac:dyDescent="0.6">
      <c r="A5" s="569"/>
      <c r="C5" s="673"/>
      <c r="D5" s="680"/>
      <c r="E5" s="680"/>
      <c r="F5" s="526" t="s">
        <v>225</v>
      </c>
      <c r="G5" s="62" t="s">
        <v>226</v>
      </c>
      <c r="H5" s="62" t="s">
        <v>107</v>
      </c>
      <c r="I5" s="62" t="s">
        <v>227</v>
      </c>
      <c r="J5" s="691"/>
      <c r="K5" s="62" t="str">
        <f>F5</f>
        <v xml:space="preserve">Total </v>
      </c>
      <c r="L5" s="62" t="s">
        <v>226</v>
      </c>
      <c r="M5" s="62" t="s">
        <v>107</v>
      </c>
      <c r="N5" s="62" t="s">
        <v>227</v>
      </c>
      <c r="O5" s="527" t="str">
        <f>K5</f>
        <v xml:space="preserve">Total </v>
      </c>
      <c r="P5" s="62" t="s">
        <v>226</v>
      </c>
      <c r="Q5" s="62" t="s">
        <v>107</v>
      </c>
      <c r="R5" s="62" t="s">
        <v>227</v>
      </c>
      <c r="S5" s="684"/>
      <c r="T5" s="55"/>
      <c r="U5" s="665"/>
      <c r="V5" s="688"/>
      <c r="W5" s="568" t="s">
        <v>228</v>
      </c>
      <c r="X5" s="568" t="s">
        <v>229</v>
      </c>
      <c r="Y5" s="568" t="s">
        <v>230</v>
      </c>
      <c r="Z5" s="686"/>
    </row>
    <row r="6" spans="1:26" s="111" customFormat="1" ht="30.75" customHeight="1" thickBot="1" x14ac:dyDescent="0.6">
      <c r="A6" s="310"/>
      <c r="C6" s="120" t="s">
        <v>265</v>
      </c>
      <c r="D6" s="121" t="s">
        <v>266</v>
      </c>
      <c r="E6" s="206" t="s">
        <v>232</v>
      </c>
      <c r="F6" s="207">
        <f>F7+F10+F11+F8+F9</f>
        <v>8907.6111111111113</v>
      </c>
      <c r="G6" s="207">
        <f>G7+G10+G11+G8+G9</f>
        <v>8907.6111111111113</v>
      </c>
      <c r="H6" s="147"/>
      <c r="I6" s="147"/>
      <c r="J6" s="159" t="s">
        <v>267</v>
      </c>
      <c r="K6" s="208">
        <f>ROUND(K7+K10+K11+K8+K9,-2)</f>
        <v>12700</v>
      </c>
      <c r="L6" s="207">
        <f>ROUND(L7+L10+L11+L8+L9,-2)</f>
        <v>12700</v>
      </c>
      <c r="M6" s="146"/>
      <c r="N6" s="146"/>
      <c r="O6" s="208">
        <f>O7+O10+O11+O8+O9</f>
        <v>84600</v>
      </c>
      <c r="P6" s="207">
        <f>P7+P10+P11+P8+P9</f>
        <v>47000</v>
      </c>
      <c r="Q6" s="207">
        <f>Q7+Q10+Q11+Q8+Q9</f>
        <v>37600</v>
      </c>
      <c r="R6" s="146"/>
      <c r="S6" s="209" t="s">
        <v>243</v>
      </c>
      <c r="T6" s="55"/>
      <c r="U6" s="115" t="s">
        <v>243</v>
      </c>
      <c r="V6" s="116" t="s">
        <v>234</v>
      </c>
      <c r="W6" s="117" t="s">
        <v>268</v>
      </c>
      <c r="X6" s="116">
        <v>2007</v>
      </c>
      <c r="Y6" s="118" t="s">
        <v>269</v>
      </c>
      <c r="Z6" s="119" t="s">
        <v>270</v>
      </c>
    </row>
    <row r="7" spans="1:26" s="52" customFormat="1" ht="33.75" hidden="1" customHeight="1" outlineLevel="1" x14ac:dyDescent="0.55000000000000004">
      <c r="A7" s="310"/>
      <c r="C7" s="109" t="s">
        <v>265</v>
      </c>
      <c r="D7" s="528" t="s">
        <v>271</v>
      </c>
      <c r="E7" s="556" t="s">
        <v>232</v>
      </c>
      <c r="F7" s="204">
        <v>7181</v>
      </c>
      <c r="G7" s="204">
        <f t="shared" ref="G7" si="0">F7</f>
        <v>7181</v>
      </c>
      <c r="H7" s="148"/>
      <c r="I7" s="148"/>
      <c r="J7" s="153" t="s">
        <v>267</v>
      </c>
      <c r="K7" s="204">
        <f>ROUND(F7*_202021/_200506,-2)</f>
        <v>10200</v>
      </c>
      <c r="L7" s="204">
        <f>K7</f>
        <v>10200</v>
      </c>
      <c r="M7" s="148"/>
      <c r="N7" s="148"/>
      <c r="O7" s="64">
        <f>ROUND(F7*('A2 Discount'!$E$10*0.5+SUM('A2 Discount'!$E$11:$E$13)),-2)</f>
        <v>23700</v>
      </c>
      <c r="P7" s="64">
        <f t="shared" ref="P7" si="1">O7</f>
        <v>23700</v>
      </c>
      <c r="Q7" s="148"/>
      <c r="R7" s="148"/>
      <c r="S7" s="68" t="s">
        <v>109</v>
      </c>
      <c r="T7" s="58"/>
      <c r="U7" s="87" t="s">
        <v>272</v>
      </c>
      <c r="V7" s="86" t="s">
        <v>234</v>
      </c>
      <c r="W7" s="84" t="s">
        <v>237</v>
      </c>
      <c r="X7" s="86">
        <v>2007</v>
      </c>
      <c r="Y7" s="85" t="s">
        <v>269</v>
      </c>
      <c r="Z7" s="113" t="s">
        <v>270</v>
      </c>
    </row>
    <row r="8" spans="1:26" s="52" customFormat="1" ht="33.75" hidden="1" customHeight="1" outlineLevel="1" collapsed="1" x14ac:dyDescent="0.5">
      <c r="A8" s="311"/>
      <c r="C8" s="109" t="s">
        <v>265</v>
      </c>
      <c r="D8" s="528" t="s">
        <v>273</v>
      </c>
      <c r="E8" s="556" t="s">
        <v>232</v>
      </c>
      <c r="F8" s="148"/>
      <c r="G8" s="148"/>
      <c r="H8" s="148"/>
      <c r="I8" s="148"/>
      <c r="J8" s="153" t="s">
        <v>267</v>
      </c>
      <c r="K8" s="148"/>
      <c r="L8" s="148"/>
      <c r="M8" s="148"/>
      <c r="N8" s="148"/>
      <c r="O8" s="64">
        <f>ROUND(21175*_202021/_200506,-2)</f>
        <v>29900</v>
      </c>
      <c r="P8" s="148"/>
      <c r="Q8" s="67">
        <f>O8</f>
        <v>29900</v>
      </c>
      <c r="R8" s="148"/>
      <c r="S8" s="68" t="s">
        <v>119</v>
      </c>
      <c r="T8" s="58"/>
      <c r="U8" s="87" t="s">
        <v>274</v>
      </c>
      <c r="V8" s="86" t="s">
        <v>234</v>
      </c>
      <c r="W8" s="84" t="s">
        <v>237</v>
      </c>
      <c r="X8" s="86">
        <v>2007</v>
      </c>
      <c r="Y8" s="85" t="s">
        <v>269</v>
      </c>
      <c r="Z8" s="74" t="s">
        <v>275</v>
      </c>
    </row>
    <row r="9" spans="1:26" s="52" customFormat="1" ht="33.75" hidden="1" customHeight="1" outlineLevel="1" x14ac:dyDescent="0.5">
      <c r="A9" s="311"/>
      <c r="C9" s="109" t="s">
        <v>265</v>
      </c>
      <c r="D9" s="528" t="s">
        <v>276</v>
      </c>
      <c r="E9" s="556" t="s">
        <v>232</v>
      </c>
      <c r="F9" s="148"/>
      <c r="G9" s="148"/>
      <c r="H9" s="148"/>
      <c r="I9" s="148"/>
      <c r="J9" s="153" t="s">
        <v>267</v>
      </c>
      <c r="K9" s="148"/>
      <c r="L9" s="148"/>
      <c r="M9" s="148"/>
      <c r="N9" s="148"/>
      <c r="O9" s="64">
        <f>ROUND(15527*_202021/_200506,-2)</f>
        <v>22000</v>
      </c>
      <c r="P9" s="64">
        <f>O9</f>
        <v>22000</v>
      </c>
      <c r="Q9" s="148"/>
      <c r="R9" s="148"/>
      <c r="S9" s="68" t="s">
        <v>111</v>
      </c>
      <c r="T9" s="58"/>
      <c r="U9" s="87" t="s">
        <v>277</v>
      </c>
      <c r="V9" s="86" t="s">
        <v>234</v>
      </c>
      <c r="W9" s="84" t="s">
        <v>237</v>
      </c>
      <c r="X9" s="86">
        <v>2007</v>
      </c>
      <c r="Y9" s="85" t="s">
        <v>269</v>
      </c>
      <c r="Z9" s="74" t="s">
        <v>278</v>
      </c>
    </row>
    <row r="10" spans="1:26" s="52" customFormat="1" ht="33.75" hidden="1" customHeight="1" outlineLevel="1" x14ac:dyDescent="0.5">
      <c r="A10" s="311"/>
      <c r="C10" s="109" t="s">
        <v>265</v>
      </c>
      <c r="D10" s="528" t="s">
        <v>279</v>
      </c>
      <c r="E10" s="556" t="s">
        <v>232</v>
      </c>
      <c r="F10" s="204">
        <f>1169+501</f>
        <v>1670</v>
      </c>
      <c r="G10" s="64">
        <f>F10</f>
        <v>1670</v>
      </c>
      <c r="H10" s="148"/>
      <c r="I10" s="148"/>
      <c r="J10" s="153" t="s">
        <v>267</v>
      </c>
      <c r="K10" s="64">
        <f>ROUND(F10*_202021/_200506,-2)</f>
        <v>2400</v>
      </c>
      <c r="L10" s="64">
        <f>K10</f>
        <v>2400</v>
      </c>
      <c r="M10" s="148"/>
      <c r="N10" s="148"/>
      <c r="O10" s="64">
        <f>ROUND((1169*('A2 Discount'!$E$10*0.5)+SUM('A2 Discount'!$E$11:$E$13))+(501*SUM('A2 Discount'!E10:E21))*_202021/_200506,-2)</f>
        <v>7700</v>
      </c>
      <c r="P10" s="148"/>
      <c r="Q10" s="67">
        <f>O10</f>
        <v>7700</v>
      </c>
      <c r="R10" s="148"/>
      <c r="S10" s="68" t="s">
        <v>109</v>
      </c>
      <c r="T10" s="58"/>
      <c r="U10" s="87" t="s">
        <v>272</v>
      </c>
      <c r="V10" s="86" t="s">
        <v>234</v>
      </c>
      <c r="W10" s="84" t="s">
        <v>237</v>
      </c>
      <c r="X10" s="86">
        <v>2007</v>
      </c>
      <c r="Y10" s="85" t="s">
        <v>269</v>
      </c>
      <c r="Z10" s="74" t="s">
        <v>280</v>
      </c>
    </row>
    <row r="11" spans="1:26" s="52" customFormat="1" ht="33.75" hidden="1" customHeight="1" outlineLevel="1" thickBot="1" x14ac:dyDescent="0.55000000000000004">
      <c r="A11" s="311"/>
      <c r="C11" s="109" t="s">
        <v>265</v>
      </c>
      <c r="D11" s="528" t="s">
        <v>281</v>
      </c>
      <c r="E11" s="556" t="s">
        <v>232</v>
      </c>
      <c r="F11" s="64">
        <f>1019/18</f>
        <v>56.611111111111114</v>
      </c>
      <c r="G11" s="64">
        <f>F11</f>
        <v>56.611111111111114</v>
      </c>
      <c r="H11" s="148"/>
      <c r="I11" s="148"/>
      <c r="J11" s="153" t="s">
        <v>267</v>
      </c>
      <c r="K11" s="64">
        <f>ROUND((F11*(_202021/_200506)),-2)</f>
        <v>100</v>
      </c>
      <c r="L11" s="64">
        <f>ROUND((G11*(_202021/_200506)),-2)</f>
        <v>100</v>
      </c>
      <c r="M11" s="148"/>
      <c r="N11" s="148"/>
      <c r="O11" s="67">
        <f>ROUND(K11*SUM('A2 Discount'!E10:E25),-2)</f>
        <v>1300</v>
      </c>
      <c r="P11" s="67">
        <f>O11</f>
        <v>1300</v>
      </c>
      <c r="Q11" s="148"/>
      <c r="R11" s="148"/>
      <c r="S11" s="68" t="s">
        <v>110</v>
      </c>
      <c r="T11" s="58"/>
      <c r="U11" s="87" t="s">
        <v>282</v>
      </c>
      <c r="V11" s="86" t="s">
        <v>234</v>
      </c>
      <c r="W11" s="84" t="s">
        <v>237</v>
      </c>
      <c r="X11" s="86">
        <v>2007</v>
      </c>
      <c r="Y11" s="85" t="s">
        <v>269</v>
      </c>
      <c r="Z11" s="74" t="s">
        <v>283</v>
      </c>
    </row>
    <row r="12" spans="1:26" s="52" customFormat="1" ht="33.75" customHeight="1" collapsed="1" x14ac:dyDescent="0.5">
      <c r="A12" s="312"/>
      <c r="C12" s="205" t="s">
        <v>284</v>
      </c>
      <c r="D12" s="138" t="s">
        <v>266</v>
      </c>
      <c r="E12" s="203" t="s">
        <v>232</v>
      </c>
      <c r="F12" s="133">
        <f>SUM(F13:F17)</f>
        <v>2719.2222222222222</v>
      </c>
      <c r="G12" s="133">
        <f>SUM(G13:G17)</f>
        <v>2719.2222222222222</v>
      </c>
      <c r="H12" s="148"/>
      <c r="I12" s="148"/>
      <c r="J12" s="160" t="s">
        <v>267</v>
      </c>
      <c r="K12" s="137">
        <f>SUM(K13:K17)</f>
        <v>3900</v>
      </c>
      <c r="L12" s="133">
        <f>SUM(L13:L17)</f>
        <v>3900</v>
      </c>
      <c r="M12" s="150"/>
      <c r="N12" s="150"/>
      <c r="O12" s="137">
        <f>ROUND(SUM(O13:O17),-3)</f>
        <v>69000</v>
      </c>
      <c r="P12" s="133">
        <f>ROUND(SUM(P13:P17),-2)</f>
        <v>21000</v>
      </c>
      <c r="Q12" s="133">
        <f>ROUND(SUM(Q13:Q17),-2)</f>
        <v>47600</v>
      </c>
      <c r="R12" s="150"/>
      <c r="S12" s="123" t="s">
        <v>243</v>
      </c>
      <c r="T12" s="58"/>
      <c r="U12" s="87" t="s">
        <v>243</v>
      </c>
      <c r="V12" s="86" t="s">
        <v>234</v>
      </c>
      <c r="W12" s="117" t="s">
        <v>268</v>
      </c>
      <c r="X12" s="86">
        <v>2007</v>
      </c>
      <c r="Y12" s="85" t="s">
        <v>269</v>
      </c>
      <c r="Z12" s="74" t="s">
        <v>270</v>
      </c>
    </row>
    <row r="13" spans="1:26" s="52" customFormat="1" ht="33.75" hidden="1" customHeight="1" outlineLevel="1" x14ac:dyDescent="0.5">
      <c r="A13" s="312"/>
      <c r="C13" s="109" t="s">
        <v>284</v>
      </c>
      <c r="D13" s="528" t="s">
        <v>285</v>
      </c>
      <c r="E13" s="556" t="s">
        <v>232</v>
      </c>
      <c r="F13" s="64">
        <v>706</v>
      </c>
      <c r="G13" s="64">
        <f>F13</f>
        <v>706</v>
      </c>
      <c r="H13" s="148"/>
      <c r="I13" s="148"/>
      <c r="J13" s="153" t="s">
        <v>267</v>
      </c>
      <c r="K13" s="80">
        <f>ROUND((F13*(_202021/_200506)),-2)</f>
        <v>1000</v>
      </c>
      <c r="L13" s="80">
        <f>ROUND((G13*(_202021/_200506)),-2)</f>
        <v>1000</v>
      </c>
      <c r="M13" s="20"/>
      <c r="N13" s="20"/>
      <c r="O13" s="81">
        <f>ROUND(K13*SUM('A2 Discount'!E10:E11),-2)</f>
        <v>2000</v>
      </c>
      <c r="P13" s="81">
        <f>O13</f>
        <v>2000</v>
      </c>
      <c r="Q13" s="20"/>
      <c r="R13" s="20"/>
      <c r="S13" s="68" t="s">
        <v>109</v>
      </c>
      <c r="T13" s="58"/>
      <c r="U13" s="87" t="s">
        <v>286</v>
      </c>
      <c r="V13" s="86" t="s">
        <v>234</v>
      </c>
      <c r="W13" s="84" t="s">
        <v>237</v>
      </c>
      <c r="X13" s="86">
        <v>2007</v>
      </c>
      <c r="Y13" s="85" t="s">
        <v>269</v>
      </c>
      <c r="Z13" s="74" t="s">
        <v>287</v>
      </c>
    </row>
    <row r="14" spans="1:26" s="52" customFormat="1" ht="33.75" hidden="1" customHeight="1" outlineLevel="1" x14ac:dyDescent="0.5">
      <c r="A14" s="312"/>
      <c r="C14" s="109" t="s">
        <v>284</v>
      </c>
      <c r="D14" s="528" t="s">
        <v>288</v>
      </c>
      <c r="E14" s="556" t="s">
        <v>232</v>
      </c>
      <c r="F14" s="148"/>
      <c r="G14" s="148"/>
      <c r="H14" s="148"/>
      <c r="I14" s="148"/>
      <c r="J14" s="153" t="s">
        <v>267</v>
      </c>
      <c r="K14" s="20"/>
      <c r="L14" s="20"/>
      <c r="M14" s="20"/>
      <c r="N14" s="20"/>
      <c r="O14" s="80">
        <f>ROUND(33694*_202021/_200506,-2)</f>
        <v>47600</v>
      </c>
      <c r="P14" s="20"/>
      <c r="Q14" s="81">
        <f>O14</f>
        <v>47600</v>
      </c>
      <c r="R14" s="20"/>
      <c r="S14" s="68" t="s">
        <v>119</v>
      </c>
      <c r="T14" s="58"/>
      <c r="U14" s="87" t="str">
        <f>U8</f>
        <v>Working age</v>
      </c>
      <c r="V14" s="86" t="s">
        <v>234</v>
      </c>
      <c r="W14" s="84" t="s">
        <v>237</v>
      </c>
      <c r="X14" s="86">
        <v>2007</v>
      </c>
      <c r="Y14" s="85" t="s">
        <v>269</v>
      </c>
      <c r="Z14" s="74" t="s">
        <v>289</v>
      </c>
    </row>
    <row r="15" spans="1:26" s="52" customFormat="1" ht="33.75" hidden="1" customHeight="1" outlineLevel="1" x14ac:dyDescent="0.5">
      <c r="A15" s="312"/>
      <c r="C15" s="109" t="s">
        <v>284</v>
      </c>
      <c r="D15" s="528" t="s">
        <v>276</v>
      </c>
      <c r="E15" s="556" t="s">
        <v>232</v>
      </c>
      <c r="F15" s="148"/>
      <c r="G15" s="148"/>
      <c r="H15" s="148"/>
      <c r="I15" s="148"/>
      <c r="J15" s="153" t="s">
        <v>267</v>
      </c>
      <c r="K15" s="20"/>
      <c r="L15" s="20"/>
      <c r="M15" s="20"/>
      <c r="N15" s="20"/>
      <c r="O15" s="80">
        <f>ROUND(6776*_202021/_200506,-2)</f>
        <v>9600</v>
      </c>
      <c r="P15" s="81">
        <f>O15</f>
        <v>9600</v>
      </c>
      <c r="Q15" s="20"/>
      <c r="R15" s="20"/>
      <c r="S15" s="68" t="s">
        <v>111</v>
      </c>
      <c r="T15" s="58"/>
      <c r="U15" s="87" t="s">
        <v>277</v>
      </c>
      <c r="V15" s="86" t="s">
        <v>234</v>
      </c>
      <c r="W15" s="84" t="s">
        <v>237</v>
      </c>
      <c r="X15" s="86">
        <v>2007</v>
      </c>
      <c r="Y15" s="85" t="s">
        <v>269</v>
      </c>
      <c r="Z15" s="74" t="s">
        <v>290</v>
      </c>
    </row>
    <row r="16" spans="1:26" s="52" customFormat="1" ht="33.75" hidden="1" customHeight="1" outlineLevel="1" x14ac:dyDescent="0.5">
      <c r="A16" s="312"/>
      <c r="C16" s="109" t="s">
        <v>284</v>
      </c>
      <c r="D16" s="528" t="s">
        <v>279</v>
      </c>
      <c r="E16" s="556" t="s">
        <v>232</v>
      </c>
      <c r="F16" s="64">
        <f>1967</f>
        <v>1967</v>
      </c>
      <c r="G16" s="64">
        <f>F16</f>
        <v>1967</v>
      </c>
      <c r="H16" s="148"/>
      <c r="I16" s="148"/>
      <c r="J16" s="153" t="s">
        <v>267</v>
      </c>
      <c r="K16" s="80">
        <f>ROUND((F16*(_202021/_200506)),-2)</f>
        <v>2800</v>
      </c>
      <c r="L16" s="80">
        <f>ROUND((G16*(_202021/_200506)),-2)</f>
        <v>2800</v>
      </c>
      <c r="M16" s="20"/>
      <c r="N16" s="20"/>
      <c r="O16" s="80">
        <f>ROUND(K16*SUM('A2 Discount'!E10:E12),-2)</f>
        <v>8100</v>
      </c>
      <c r="P16" s="81">
        <f>O16</f>
        <v>8100</v>
      </c>
      <c r="Q16" s="20"/>
      <c r="R16" s="20"/>
      <c r="S16" s="68" t="s">
        <v>109</v>
      </c>
      <c r="T16" s="58"/>
      <c r="U16" s="87" t="s">
        <v>291</v>
      </c>
      <c r="V16" s="86" t="s">
        <v>234</v>
      </c>
      <c r="W16" s="84" t="s">
        <v>237</v>
      </c>
      <c r="X16" s="86">
        <v>2007</v>
      </c>
      <c r="Y16" s="85" t="s">
        <v>269</v>
      </c>
      <c r="Z16" s="74" t="s">
        <v>292</v>
      </c>
    </row>
    <row r="17" spans="1:26" s="52" customFormat="1" ht="33.75" hidden="1" customHeight="1" outlineLevel="1" thickBot="1" x14ac:dyDescent="0.55000000000000004">
      <c r="A17" s="312"/>
      <c r="C17" s="110" t="s">
        <v>284</v>
      </c>
      <c r="D17" s="529" t="s">
        <v>281</v>
      </c>
      <c r="E17" s="557" t="s">
        <v>232</v>
      </c>
      <c r="F17" s="66">
        <f>832/18</f>
        <v>46.222222222222221</v>
      </c>
      <c r="G17" s="66">
        <f>F17</f>
        <v>46.222222222222221</v>
      </c>
      <c r="H17" s="157"/>
      <c r="I17" s="157"/>
      <c r="J17" s="154" t="s">
        <v>267</v>
      </c>
      <c r="K17" s="82">
        <f>ROUND((F17*(_202021/_200506)),-2)</f>
        <v>100</v>
      </c>
      <c r="L17" s="82">
        <f>ROUND((G17*(_202021/_200506)),-2)</f>
        <v>100</v>
      </c>
      <c r="M17" s="83"/>
      <c r="N17" s="83"/>
      <c r="O17" s="92">
        <f>ROUND(K17*SUM('A2 Discount'!E10:E25),-2)</f>
        <v>1300</v>
      </c>
      <c r="P17" s="92">
        <f>O17</f>
        <v>1300</v>
      </c>
      <c r="Q17" s="83"/>
      <c r="R17" s="83"/>
      <c r="S17" s="114" t="s">
        <v>110</v>
      </c>
      <c r="T17" s="58"/>
      <c r="U17" s="88" t="s">
        <v>282</v>
      </c>
      <c r="V17" s="89" t="s">
        <v>234</v>
      </c>
      <c r="W17" s="93" t="s">
        <v>237</v>
      </c>
      <c r="X17" s="89">
        <v>2007</v>
      </c>
      <c r="Y17" s="94" t="s">
        <v>269</v>
      </c>
      <c r="Z17" s="78" t="s">
        <v>293</v>
      </c>
    </row>
    <row r="18" spans="1:26" ht="15.3" collapsed="1" x14ac:dyDescent="0.55000000000000004">
      <c r="A18" s="312"/>
    </row>
    <row r="19" spans="1:26" ht="15.3" x14ac:dyDescent="0.55000000000000004">
      <c r="A19" s="312"/>
    </row>
    <row r="20" spans="1:26" ht="15.3" x14ac:dyDescent="0.55000000000000004">
      <c r="A20" s="312"/>
    </row>
    <row r="21" spans="1:26" ht="15.3" x14ac:dyDescent="0.55000000000000004">
      <c r="A21" s="312"/>
    </row>
    <row r="22" spans="1:26" ht="15.3" x14ac:dyDescent="0.55000000000000004">
      <c r="A22" s="312"/>
    </row>
    <row r="23" spans="1:26" ht="15.3" x14ac:dyDescent="0.55000000000000004">
      <c r="A23" s="312"/>
    </row>
    <row r="24" spans="1:26" ht="15.3" x14ac:dyDescent="0.55000000000000004">
      <c r="A24" s="312"/>
    </row>
    <row r="25" spans="1:26" ht="15.3" x14ac:dyDescent="0.55000000000000004">
      <c r="A25" s="312"/>
    </row>
    <row r="26" spans="1:26" ht="15.3" x14ac:dyDescent="0.55000000000000004">
      <c r="A26" s="312"/>
    </row>
    <row r="27" spans="1:26" ht="15.3" x14ac:dyDescent="0.55000000000000004">
      <c r="A27" s="312"/>
    </row>
    <row r="28" spans="1:26" ht="15.3" x14ac:dyDescent="0.55000000000000004">
      <c r="A28" s="312"/>
    </row>
    <row r="29" spans="1:26" ht="15.3" x14ac:dyDescent="0.55000000000000004">
      <c r="A29" s="312"/>
    </row>
    <row r="30" spans="1:26" ht="15.3" x14ac:dyDescent="0.55000000000000004">
      <c r="A30" s="312"/>
    </row>
    <row r="31" spans="1:26" ht="15.3" x14ac:dyDescent="0.55000000000000004">
      <c r="A31" s="312"/>
    </row>
    <row r="32" spans="1:26" ht="15.3" x14ac:dyDescent="0.55000000000000004">
      <c r="A32" s="312"/>
    </row>
    <row r="33" spans="1:1" ht="15.3" x14ac:dyDescent="0.55000000000000004">
      <c r="A33" s="312"/>
    </row>
    <row r="34" spans="1:1" ht="15.3" x14ac:dyDescent="0.55000000000000004">
      <c r="A34" s="312"/>
    </row>
    <row r="35" spans="1:1" ht="15.3" x14ac:dyDescent="0.55000000000000004">
      <c r="A35" s="312"/>
    </row>
    <row r="36" spans="1:1" ht="15.3" x14ac:dyDescent="0.55000000000000004">
      <c r="A36" s="312"/>
    </row>
    <row r="37" spans="1:1" ht="15.3" x14ac:dyDescent="0.55000000000000004">
      <c r="A37" s="312"/>
    </row>
    <row r="38" spans="1:1" ht="15.3" x14ac:dyDescent="0.55000000000000004">
      <c r="A38" s="312"/>
    </row>
    <row r="39" spans="1:1" ht="15.3" x14ac:dyDescent="0.55000000000000004">
      <c r="A39" s="312"/>
    </row>
    <row r="40" spans="1:1" ht="15.3" x14ac:dyDescent="0.55000000000000004">
      <c r="A40" s="312"/>
    </row>
    <row r="41" spans="1:1" ht="15.3" x14ac:dyDescent="0.55000000000000004">
      <c r="A41" s="312"/>
    </row>
    <row r="42" spans="1:1" ht="15.3" x14ac:dyDescent="0.55000000000000004">
      <c r="A42" s="312"/>
    </row>
  </sheetData>
  <autoFilter ref="C4:D5" xr:uid="{0414A36E-A779-4C1B-BAB2-187503F91813}"/>
  <mergeCells count="13">
    <mergeCell ref="C3:N3"/>
    <mergeCell ref="K4:N4"/>
    <mergeCell ref="O4:R4"/>
    <mergeCell ref="S4:S5"/>
    <mergeCell ref="Z4:Z5"/>
    <mergeCell ref="U4:U5"/>
    <mergeCell ref="V4:V5"/>
    <mergeCell ref="W4:Y4"/>
    <mergeCell ref="C4:C5"/>
    <mergeCell ref="D4:D5"/>
    <mergeCell ref="F4:I4"/>
    <mergeCell ref="J4:J5"/>
    <mergeCell ref="E4:E5"/>
  </mergeCells>
  <phoneticPr fontId="21" type="noConversion"/>
  <hyperlinks>
    <hyperlink ref="Y6" r:id="rId1" xr:uid="{BE7205E3-3E37-4BDF-9C32-879B9B51708B}"/>
    <hyperlink ref="Y7:Y17" r:id="rId2" display="https://www.thinknpc.org/resource-hub/misspent-youth/" xr:uid="{756A31CE-F11B-44EC-BAFF-BBB94A84F424}"/>
  </hyperlinks>
  <pageMargins left="0.7" right="0.7" top="0.75" bottom="0.75" header="0.3" footer="0.3"/>
  <pageSetup paperSize="9" orientation="portrait" r:id="rId3"/>
  <drawing r:id="rId4"/>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77655-7A88-4103-A3C5-59CA2B65764D}">
  <sheetPr codeName="Sheet4">
    <tabColor theme="9" tint="0.59999389629810485"/>
  </sheetPr>
  <dimension ref="A1:AE42"/>
  <sheetViews>
    <sheetView zoomScaleNormal="100" workbookViewId="0">
      <pane xSplit="4" ySplit="5" topLeftCell="E6" activePane="bottomRight" state="frozen"/>
      <selection pane="topRight" activeCell="S15" sqref="S15"/>
      <selection pane="bottomLeft" activeCell="S15" sqref="S15"/>
      <selection pane="bottomRight" activeCell="A3" sqref="A3:XFD3"/>
    </sheetView>
  </sheetViews>
  <sheetFormatPr defaultColWidth="9.20703125" defaultRowHeight="30.75" customHeight="1" outlineLevelRow="1" outlineLevelCol="1" x14ac:dyDescent="0.55000000000000004"/>
  <cols>
    <col min="1" max="1" width="34" style="313" customWidth="1"/>
    <col min="2" max="2" width="5.89453125" style="39" customWidth="1"/>
    <col min="3" max="3" width="23.41796875" style="498" customWidth="1"/>
    <col min="4" max="4" width="39.7890625" style="39" customWidth="1"/>
    <col min="5" max="5" width="16.41796875" style="39" customWidth="1"/>
    <col min="6" max="6" width="11" style="39" hidden="1" customWidth="1" outlineLevel="1"/>
    <col min="7" max="7" width="17" style="39" hidden="1" customWidth="1" outlineLevel="1"/>
    <col min="8" max="8" width="10.7890625" style="39" hidden="1" customWidth="1" outlineLevel="1"/>
    <col min="9" max="9" width="13.41796875" style="39" hidden="1" customWidth="1" outlineLevel="1"/>
    <col min="10" max="10" width="15.7890625" style="139" hidden="1" customWidth="1" outlineLevel="1"/>
    <col min="11" max="11" width="18.20703125" style="39" customWidth="1" collapsed="1"/>
    <col min="12" max="14" width="18.20703125" style="39" customWidth="1"/>
    <col min="15" max="18" width="18.20703125" style="39" hidden="1" customWidth="1" outlineLevel="1"/>
    <col min="19" max="19" width="18.20703125" style="139" customWidth="1" collapsed="1"/>
    <col min="20" max="20" width="13.7890625" style="39" customWidth="1"/>
    <col min="21" max="21" width="22" style="39" customWidth="1"/>
    <col min="22" max="22" width="17.20703125" style="39" customWidth="1"/>
    <col min="23" max="23" width="92.7890625" style="39" customWidth="1"/>
    <col min="24" max="24" width="7" style="39" bestFit="1" customWidth="1"/>
    <col min="25" max="25" width="53.41796875" style="39" bestFit="1" customWidth="1"/>
    <col min="26" max="26" width="210.41796875" style="39" customWidth="1"/>
    <col min="27" max="16384" width="9.20703125" style="39"/>
  </cols>
  <sheetData>
    <row r="1" spans="1:26" ht="14.4" x14ac:dyDescent="0.55000000000000004">
      <c r="C1" s="39"/>
      <c r="E1" s="498"/>
      <c r="J1" s="39"/>
      <c r="S1" s="499"/>
      <c r="Z1" s="500"/>
    </row>
    <row r="2" spans="1:26" ht="32.700000000000003" x14ac:dyDescent="0.55000000000000004">
      <c r="A2" s="310"/>
      <c r="C2" s="309" t="s">
        <v>294</v>
      </c>
      <c r="E2" s="498"/>
      <c r="J2" s="39"/>
      <c r="S2" s="499"/>
      <c r="Z2" s="500"/>
    </row>
    <row r="3" spans="1:26" ht="52.95" customHeight="1" thickBot="1" x14ac:dyDescent="0.6">
      <c r="A3" s="310"/>
      <c r="C3" s="657" t="s">
        <v>823</v>
      </c>
      <c r="D3" s="657"/>
      <c r="E3" s="657"/>
      <c r="F3" s="657"/>
      <c r="G3" s="657"/>
      <c r="H3" s="657"/>
      <c r="I3" s="657"/>
      <c r="J3" s="657"/>
      <c r="K3" s="657"/>
      <c r="L3" s="657"/>
      <c r="M3" s="657"/>
      <c r="N3" s="657"/>
      <c r="S3" s="499"/>
      <c r="Z3" s="500"/>
    </row>
    <row r="4" spans="1:26" s="52" customFormat="1" ht="16.95" customHeight="1" x14ac:dyDescent="0.55000000000000004">
      <c r="A4" s="310"/>
      <c r="C4" s="706" t="s">
        <v>214</v>
      </c>
      <c r="D4" s="708" t="s">
        <v>215</v>
      </c>
      <c r="E4" s="712" t="s">
        <v>216</v>
      </c>
      <c r="F4" s="674" t="s">
        <v>217</v>
      </c>
      <c r="G4" s="675"/>
      <c r="H4" s="675"/>
      <c r="I4" s="676"/>
      <c r="J4" s="710" t="s">
        <v>218</v>
      </c>
      <c r="K4" s="705" t="s">
        <v>795</v>
      </c>
      <c r="L4" s="692"/>
      <c r="M4" s="692"/>
      <c r="N4" s="660"/>
      <c r="O4" s="692" t="s">
        <v>219</v>
      </c>
      <c r="P4" s="692"/>
      <c r="Q4" s="692"/>
      <c r="R4" s="693"/>
      <c r="S4" s="694" t="s">
        <v>220</v>
      </c>
      <c r="T4" s="55"/>
      <c r="U4" s="698" t="s">
        <v>221</v>
      </c>
      <c r="V4" s="700" t="s">
        <v>222</v>
      </c>
      <c r="W4" s="702" t="s">
        <v>223</v>
      </c>
      <c r="X4" s="703"/>
      <c r="Y4" s="704"/>
      <c r="Z4" s="696" t="s">
        <v>224</v>
      </c>
    </row>
    <row r="5" spans="1:26" s="53" customFormat="1" ht="33" customHeight="1" thickBot="1" x14ac:dyDescent="0.6">
      <c r="A5" s="569"/>
      <c r="C5" s="707"/>
      <c r="D5" s="709"/>
      <c r="E5" s="713"/>
      <c r="F5" s="501" t="s">
        <v>225</v>
      </c>
      <c r="G5" s="62" t="s">
        <v>226</v>
      </c>
      <c r="H5" s="62" t="s">
        <v>107</v>
      </c>
      <c r="I5" s="62" t="s">
        <v>227</v>
      </c>
      <c r="J5" s="711"/>
      <c r="K5" s="186" t="str">
        <f>F5</f>
        <v xml:space="preserve">Total </v>
      </c>
      <c r="L5" s="62" t="s">
        <v>226</v>
      </c>
      <c r="M5" s="62" t="s">
        <v>107</v>
      </c>
      <c r="N5" s="177" t="s">
        <v>227</v>
      </c>
      <c r="O5" s="182" t="str">
        <f>K5</f>
        <v xml:space="preserve">Total </v>
      </c>
      <c r="P5" s="62" t="s">
        <v>226</v>
      </c>
      <c r="Q5" s="62" t="s">
        <v>107</v>
      </c>
      <c r="R5" s="62" t="s">
        <v>227</v>
      </c>
      <c r="S5" s="695"/>
      <c r="T5" s="55"/>
      <c r="U5" s="699"/>
      <c r="V5" s="701"/>
      <c r="W5" s="530" t="s">
        <v>228</v>
      </c>
      <c r="X5" s="530" t="s">
        <v>229</v>
      </c>
      <c r="Y5" s="530" t="s">
        <v>230</v>
      </c>
      <c r="Z5" s="697"/>
    </row>
    <row r="6" spans="1:26" s="52" customFormat="1" ht="35.25" customHeight="1" x14ac:dyDescent="0.55000000000000004">
      <c r="A6" s="310"/>
      <c r="C6" s="124" t="s">
        <v>129</v>
      </c>
      <c r="D6" s="125" t="s">
        <v>295</v>
      </c>
      <c r="E6" s="122" t="s">
        <v>296</v>
      </c>
      <c r="F6" s="99"/>
      <c r="G6" s="98"/>
      <c r="H6" s="98"/>
      <c r="I6" s="98"/>
      <c r="J6" s="178" t="s">
        <v>297</v>
      </c>
      <c r="K6" s="187">
        <f>SUM(L6:N6)</f>
        <v>5780</v>
      </c>
      <c r="L6" s="143">
        <f t="shared" ref="L6:N6" si="0">P6/10</f>
        <v>190</v>
      </c>
      <c r="M6" s="143">
        <f t="shared" si="0"/>
        <v>290</v>
      </c>
      <c r="N6" s="188">
        <f t="shared" si="0"/>
        <v>5300</v>
      </c>
      <c r="O6" s="183">
        <f t="shared" ref="O6:O14" si="1">P6+Q6+R6</f>
        <v>57800</v>
      </c>
      <c r="P6" s="143">
        <v>1900</v>
      </c>
      <c r="Q6" s="143">
        <v>2900</v>
      </c>
      <c r="R6" s="143">
        <v>53000</v>
      </c>
      <c r="S6" s="142" t="s">
        <v>243</v>
      </c>
      <c r="T6" s="95"/>
      <c r="U6" s="101" t="s">
        <v>298</v>
      </c>
      <c r="V6" s="102" t="s">
        <v>299</v>
      </c>
      <c r="W6" s="103" t="s">
        <v>827</v>
      </c>
      <c r="X6" s="102">
        <v>2014</v>
      </c>
      <c r="Y6" s="104" t="s">
        <v>300</v>
      </c>
      <c r="Z6" s="105" t="s">
        <v>301</v>
      </c>
    </row>
    <row r="7" spans="1:26" s="52" customFormat="1" ht="35.25" customHeight="1" x14ac:dyDescent="0.55000000000000004">
      <c r="A7" s="310"/>
      <c r="C7" s="126" t="s">
        <v>129</v>
      </c>
      <c r="D7" s="127" t="s">
        <v>803</v>
      </c>
      <c r="E7" s="128" t="s">
        <v>232</v>
      </c>
      <c r="F7" s="97"/>
      <c r="G7" s="96"/>
      <c r="H7" s="96"/>
      <c r="I7" s="96"/>
      <c r="J7" s="179" t="s">
        <v>297</v>
      </c>
      <c r="K7" s="189">
        <f>SUM(L7:N7)</f>
        <v>5200</v>
      </c>
      <c r="L7" s="133">
        <f>ROUND(SUM(L8:L13),-2)</f>
        <v>100</v>
      </c>
      <c r="M7" s="133">
        <f t="shared" ref="M7" si="2">ROUND(SUM(M8:M13),-2)</f>
        <v>0</v>
      </c>
      <c r="N7" s="190">
        <f>ROUND(SUM(N8:N13),-2)</f>
        <v>5100</v>
      </c>
      <c r="O7" s="149">
        <f>ROUND(P7+Q7+R7,-3)</f>
        <v>287000</v>
      </c>
      <c r="P7" s="133">
        <f>SUM(P8:P13)</f>
        <v>9000</v>
      </c>
      <c r="Q7" s="133">
        <f>SUM(Q8:Q13)</f>
        <v>7000</v>
      </c>
      <c r="R7" s="133">
        <f>ROUND(SUM(R8:R13),-2)</f>
        <v>271000</v>
      </c>
      <c r="S7" s="136" t="s">
        <v>243</v>
      </c>
      <c r="T7" s="95"/>
      <c r="U7" s="87" t="s">
        <v>243</v>
      </c>
      <c r="V7" s="86" t="s">
        <v>299</v>
      </c>
      <c r="W7" s="103" t="s">
        <v>827</v>
      </c>
      <c r="X7" s="86">
        <v>2014</v>
      </c>
      <c r="Y7" s="100" t="s">
        <v>300</v>
      </c>
      <c r="Z7" s="74" t="s">
        <v>302</v>
      </c>
    </row>
    <row r="8" spans="1:26" s="52" customFormat="1" ht="35.25" hidden="1" customHeight="1" outlineLevel="1" x14ac:dyDescent="0.5">
      <c r="A8" s="311"/>
      <c r="C8" s="54" t="s">
        <v>129</v>
      </c>
      <c r="D8" s="531" t="s">
        <v>303</v>
      </c>
      <c r="E8" s="512" t="s">
        <v>232</v>
      </c>
      <c r="F8" s="97"/>
      <c r="G8" s="96"/>
      <c r="H8" s="96"/>
      <c r="I8" s="96"/>
      <c r="J8" s="180" t="s">
        <v>297</v>
      </c>
      <c r="K8" s="191">
        <f>L8+M8+N8</f>
        <v>160</v>
      </c>
      <c r="L8" s="64">
        <f>ROUND(P8/18,-1)</f>
        <v>60</v>
      </c>
      <c r="M8" s="144"/>
      <c r="N8" s="192">
        <f>ROUND(R8/18,-2)</f>
        <v>100</v>
      </c>
      <c r="O8" s="63">
        <f t="shared" si="1"/>
        <v>2000</v>
      </c>
      <c r="P8" s="67">
        <f>ROUND((974*_202021/_201213),-3)</f>
        <v>1000</v>
      </c>
      <c r="Q8" s="144"/>
      <c r="R8" s="67">
        <v>1000</v>
      </c>
      <c r="S8" s="69" t="s">
        <v>243</v>
      </c>
      <c r="T8" s="95"/>
      <c r="U8" s="87" t="s">
        <v>304</v>
      </c>
      <c r="V8" s="86" t="s">
        <v>299</v>
      </c>
      <c r="W8" s="103" t="s">
        <v>827</v>
      </c>
      <c r="X8" s="86">
        <v>2014</v>
      </c>
      <c r="Y8" s="100" t="s">
        <v>300</v>
      </c>
      <c r="Z8" s="74" t="s">
        <v>305</v>
      </c>
    </row>
    <row r="9" spans="1:26" s="52" customFormat="1" ht="35.25" hidden="1" customHeight="1" outlineLevel="1" x14ac:dyDescent="0.5">
      <c r="A9" s="311"/>
      <c r="C9" s="54" t="s">
        <v>129</v>
      </c>
      <c r="D9" s="531" t="s">
        <v>306</v>
      </c>
      <c r="E9" s="512" t="s">
        <v>232</v>
      </c>
      <c r="F9" s="97"/>
      <c r="G9" s="96"/>
      <c r="H9" s="96"/>
      <c r="I9" s="96"/>
      <c r="J9" s="180" t="s">
        <v>297</v>
      </c>
      <c r="K9" s="191">
        <f t="shared" ref="K9" si="3">L9+M9+N9</f>
        <v>5000</v>
      </c>
      <c r="L9" s="144"/>
      <c r="M9" s="144"/>
      <c r="N9" s="192">
        <f t="shared" ref="N9" si="4">ROUND(R9/18,-3)</f>
        <v>5000</v>
      </c>
      <c r="O9" s="63">
        <f>P9+Q9+R9</f>
        <v>90000</v>
      </c>
      <c r="P9" s="144"/>
      <c r="Q9" s="144"/>
      <c r="R9" s="67">
        <v>90000</v>
      </c>
      <c r="S9" s="69" t="s">
        <v>307</v>
      </c>
      <c r="T9" s="95"/>
      <c r="U9" s="87" t="s">
        <v>304</v>
      </c>
      <c r="V9" s="86" t="s">
        <v>299</v>
      </c>
      <c r="W9" s="103" t="s">
        <v>827</v>
      </c>
      <c r="X9" s="86">
        <v>2014</v>
      </c>
      <c r="Y9" s="100" t="s">
        <v>300</v>
      </c>
      <c r="Z9" s="74" t="s">
        <v>308</v>
      </c>
    </row>
    <row r="10" spans="1:26" s="52" customFormat="1" ht="35.25" hidden="1" customHeight="1" outlineLevel="1" x14ac:dyDescent="0.5">
      <c r="A10" s="311"/>
      <c r="C10" s="54" t="s">
        <v>129</v>
      </c>
      <c r="D10" s="531" t="s">
        <v>309</v>
      </c>
      <c r="E10" s="512" t="s">
        <v>232</v>
      </c>
      <c r="F10" s="97"/>
      <c r="G10" s="96"/>
      <c r="H10" s="96"/>
      <c r="I10" s="96"/>
      <c r="J10" s="180" t="s">
        <v>297</v>
      </c>
      <c r="K10" s="463"/>
      <c r="L10" s="144"/>
      <c r="M10" s="144"/>
      <c r="N10" s="193"/>
      <c r="O10" s="63">
        <f>ROUND(P10+Q10+R10,4)</f>
        <v>104000</v>
      </c>
      <c r="P10" s="67">
        <f>ROUND(1020*_202021/_201213,-3)</f>
        <v>1000</v>
      </c>
      <c r="Q10" s="67">
        <f>ROUND(2169*_202021/_201213,-3)</f>
        <v>3000</v>
      </c>
      <c r="R10" s="67">
        <v>100000</v>
      </c>
      <c r="S10" s="69" t="s">
        <v>243</v>
      </c>
      <c r="T10" s="95"/>
      <c r="U10" s="87" t="s">
        <v>277</v>
      </c>
      <c r="V10" s="86" t="s">
        <v>299</v>
      </c>
      <c r="W10" s="103" t="s">
        <v>827</v>
      </c>
      <c r="X10" s="86">
        <v>2014</v>
      </c>
      <c r="Y10" s="100" t="s">
        <v>300</v>
      </c>
      <c r="Z10" s="74" t="s">
        <v>308</v>
      </c>
    </row>
    <row r="11" spans="1:26" s="52" customFormat="1" ht="35.25" hidden="1" customHeight="1" outlineLevel="1" x14ac:dyDescent="0.5">
      <c r="A11" s="311"/>
      <c r="C11" s="54" t="s">
        <v>129</v>
      </c>
      <c r="D11" s="531" t="s">
        <v>131</v>
      </c>
      <c r="E11" s="512" t="s">
        <v>232</v>
      </c>
      <c r="F11" s="97"/>
      <c r="G11" s="96"/>
      <c r="H11" s="96"/>
      <c r="I11" s="96"/>
      <c r="J11" s="180" t="s">
        <v>297</v>
      </c>
      <c r="K11" s="463"/>
      <c r="L11" s="144"/>
      <c r="M11" s="144"/>
      <c r="N11" s="193"/>
      <c r="O11" s="63">
        <f>P11+Q11+R11</f>
        <v>85000</v>
      </c>
      <c r="P11" s="67">
        <f>ROUND(837+1974*_202021/_201213,-3)</f>
        <v>3000</v>
      </c>
      <c r="Q11" s="67">
        <f>ROUND(1797*_202021/_201213,-3)</f>
        <v>2000</v>
      </c>
      <c r="R11" s="67">
        <v>80000</v>
      </c>
      <c r="S11" s="69" t="s">
        <v>243</v>
      </c>
      <c r="T11" s="95"/>
      <c r="U11" s="87" t="s">
        <v>277</v>
      </c>
      <c r="V11" s="86" t="s">
        <v>299</v>
      </c>
      <c r="W11" s="103" t="s">
        <v>827</v>
      </c>
      <c r="X11" s="86">
        <v>2014</v>
      </c>
      <c r="Y11" s="100" t="s">
        <v>300</v>
      </c>
      <c r="Z11" s="74" t="s">
        <v>308</v>
      </c>
    </row>
    <row r="12" spans="1:26" s="52" customFormat="1" ht="35.25" hidden="1" customHeight="1" outlineLevel="1" x14ac:dyDescent="0.5">
      <c r="A12" s="312"/>
      <c r="C12" s="54" t="s">
        <v>129</v>
      </c>
      <c r="D12" s="531" t="s">
        <v>310</v>
      </c>
      <c r="E12" s="512" t="s">
        <v>232</v>
      </c>
      <c r="F12" s="97"/>
      <c r="G12" s="96"/>
      <c r="H12" s="96"/>
      <c r="I12" s="96"/>
      <c r="J12" s="180" t="s">
        <v>297</v>
      </c>
      <c r="K12" s="463"/>
      <c r="L12" s="144"/>
      <c r="M12" s="144"/>
      <c r="N12" s="193"/>
      <c r="O12" s="63">
        <f>P12+Q12+R12</f>
        <v>4000</v>
      </c>
      <c r="P12" s="67">
        <f>ROUND(3166*_202021/_201213,-3)</f>
        <v>4000</v>
      </c>
      <c r="Q12" s="144"/>
      <c r="R12" s="144"/>
      <c r="S12" s="69" t="s">
        <v>109</v>
      </c>
      <c r="T12" s="95"/>
      <c r="U12" s="87" t="s">
        <v>304</v>
      </c>
      <c r="V12" s="86" t="s">
        <v>299</v>
      </c>
      <c r="W12" s="103" t="s">
        <v>827</v>
      </c>
      <c r="X12" s="86">
        <v>2014</v>
      </c>
      <c r="Y12" s="100" t="s">
        <v>300</v>
      </c>
      <c r="Z12" s="74" t="s">
        <v>308</v>
      </c>
    </row>
    <row r="13" spans="1:26" s="52" customFormat="1" ht="35.25" hidden="1" customHeight="1" outlineLevel="1" x14ac:dyDescent="0.5">
      <c r="A13" s="312"/>
      <c r="C13" s="54" t="s">
        <v>129</v>
      </c>
      <c r="D13" s="531" t="s">
        <v>311</v>
      </c>
      <c r="E13" s="512" t="s">
        <v>232</v>
      </c>
      <c r="F13" s="97"/>
      <c r="G13" s="96"/>
      <c r="H13" s="96"/>
      <c r="I13" s="96"/>
      <c r="J13" s="180" t="s">
        <v>297</v>
      </c>
      <c r="K13" s="463"/>
      <c r="L13" s="144"/>
      <c r="M13" s="144"/>
      <c r="N13" s="193"/>
      <c r="O13" s="63">
        <f t="shared" si="1"/>
        <v>2000</v>
      </c>
      <c r="P13" s="144"/>
      <c r="Q13" s="67">
        <f>ROUND(1463*_202021/_201213,-3)</f>
        <v>2000</v>
      </c>
      <c r="R13" s="144"/>
      <c r="S13" s="69" t="s">
        <v>243</v>
      </c>
      <c r="T13" s="95"/>
      <c r="U13" s="87" t="s">
        <v>277</v>
      </c>
      <c r="V13" s="86" t="s">
        <v>299</v>
      </c>
      <c r="W13" s="103" t="s">
        <v>827</v>
      </c>
      <c r="X13" s="86">
        <v>2014</v>
      </c>
      <c r="Y13" s="100" t="s">
        <v>300</v>
      </c>
      <c r="Z13" s="74" t="s">
        <v>308</v>
      </c>
    </row>
    <row r="14" spans="1:26" s="52" customFormat="1" ht="35.25" customHeight="1" collapsed="1" x14ac:dyDescent="0.5">
      <c r="A14" s="312"/>
      <c r="C14" s="124" t="s">
        <v>312</v>
      </c>
      <c r="D14" s="125" t="s">
        <v>295</v>
      </c>
      <c r="E14" s="122" t="s">
        <v>296</v>
      </c>
      <c r="F14" s="97"/>
      <c r="G14" s="96"/>
      <c r="H14" s="96"/>
      <c r="I14" s="96"/>
      <c r="J14" s="179" t="s">
        <v>297</v>
      </c>
      <c r="K14" s="189">
        <f>O14/10</f>
        <v>4390</v>
      </c>
      <c r="L14" s="133">
        <f t="shared" ref="L14" si="5">P14/10</f>
        <v>520</v>
      </c>
      <c r="M14" s="133">
        <f t="shared" ref="M14" si="6">Q14/10</f>
        <v>670</v>
      </c>
      <c r="N14" s="190">
        <f t="shared" ref="N14" si="7">R14/10</f>
        <v>3200</v>
      </c>
      <c r="O14" s="149">
        <f t="shared" si="1"/>
        <v>43900</v>
      </c>
      <c r="P14" s="134">
        <f>ROUND(4320*_202021/_201213,-2)</f>
        <v>5200</v>
      </c>
      <c r="Q14" s="134">
        <f>ROUND(5499*_202021/_201213,-2)</f>
        <v>6700</v>
      </c>
      <c r="R14" s="134">
        <v>32000</v>
      </c>
      <c r="S14" s="136" t="s">
        <v>243</v>
      </c>
      <c r="T14" s="95"/>
      <c r="U14" s="87" t="s">
        <v>298</v>
      </c>
      <c r="V14" s="86" t="s">
        <v>299</v>
      </c>
      <c r="W14" s="103" t="s">
        <v>827</v>
      </c>
      <c r="X14" s="86">
        <v>2014</v>
      </c>
      <c r="Y14" s="100" t="s">
        <v>300</v>
      </c>
      <c r="Z14" s="74" t="s">
        <v>301</v>
      </c>
    </row>
    <row r="15" spans="1:26" s="52" customFormat="1" ht="35.25" customHeight="1" x14ac:dyDescent="0.5">
      <c r="A15" s="312"/>
      <c r="C15" s="126" t="s">
        <v>312</v>
      </c>
      <c r="D15" s="127" t="s">
        <v>803</v>
      </c>
      <c r="E15" s="128" t="s">
        <v>232</v>
      </c>
      <c r="F15" s="97"/>
      <c r="G15" s="96"/>
      <c r="H15" s="96"/>
      <c r="I15" s="96"/>
      <c r="J15" s="179" t="str">
        <f>J14</f>
        <v>£s, 2012/13</v>
      </c>
      <c r="K15" s="189">
        <f>SUM(L15:N15)</f>
        <v>600</v>
      </c>
      <c r="L15" s="133">
        <f>ROUND(SUM(L16:L19),-2)</f>
        <v>300</v>
      </c>
      <c r="M15" s="133">
        <f>ROUND(SUM(M16:M19),-2)</f>
        <v>100</v>
      </c>
      <c r="N15" s="190">
        <f t="shared" ref="N15" si="8">ROUND(SUM(N16:N19),-2)</f>
        <v>200</v>
      </c>
      <c r="O15" s="184">
        <f>SUM(P15:R15)</f>
        <v>64600</v>
      </c>
      <c r="P15" s="145">
        <f>ROUND(SUM(P16:P19),-2)</f>
        <v>6500</v>
      </c>
      <c r="Q15" s="145">
        <f>ROUND(SUM(Q16:Q19),-2)</f>
        <v>2100</v>
      </c>
      <c r="R15" s="145">
        <f>ROUND(SUM(R16:R19),-2)</f>
        <v>56000</v>
      </c>
      <c r="S15" s="136" t="s">
        <v>243</v>
      </c>
      <c r="T15" s="95"/>
      <c r="U15" s="87" t="s">
        <v>243</v>
      </c>
      <c r="V15" s="86" t="s">
        <v>299</v>
      </c>
      <c r="W15" s="103" t="s">
        <v>827</v>
      </c>
      <c r="X15" s="86">
        <v>2014</v>
      </c>
      <c r="Y15" s="100" t="s">
        <v>300</v>
      </c>
      <c r="Z15" s="74" t="s">
        <v>308</v>
      </c>
    </row>
    <row r="16" spans="1:26" s="52" customFormat="1" ht="35.25" hidden="1" customHeight="1" outlineLevel="1" x14ac:dyDescent="0.5">
      <c r="A16" s="312"/>
      <c r="C16" s="54" t="s">
        <v>312</v>
      </c>
      <c r="D16" s="531" t="s">
        <v>303</v>
      </c>
      <c r="E16" s="512" t="s">
        <v>232</v>
      </c>
      <c r="F16" s="97"/>
      <c r="G16" s="96"/>
      <c r="H16" s="96"/>
      <c r="I16" s="96"/>
      <c r="J16" s="180" t="str">
        <f>J15</f>
        <v>£s, 2012/13</v>
      </c>
      <c r="K16" s="191">
        <f t="shared" ref="K16" si="9">L16+M16+N16</f>
        <v>400</v>
      </c>
      <c r="L16" s="64">
        <f>ROUND(P16/18,-2)</f>
        <v>200</v>
      </c>
      <c r="M16" s="64">
        <f>ROUND(Q16/18,-1)</f>
        <v>0</v>
      </c>
      <c r="N16" s="192">
        <f t="shared" ref="N16" si="10">ROUND(R16/18,-2)</f>
        <v>200</v>
      </c>
      <c r="O16" s="63">
        <f>P16+Q16+R16</f>
        <v>6070</v>
      </c>
      <c r="P16" s="67">
        <f>ROUND((2435+13)*_202021/_201213,-3)</f>
        <v>3000</v>
      </c>
      <c r="Q16" s="67">
        <f>ROUND(54*_202021/_201213,-1)</f>
        <v>70</v>
      </c>
      <c r="R16" s="67">
        <v>3000</v>
      </c>
      <c r="S16" s="69" t="s">
        <v>243</v>
      </c>
      <c r="T16" s="95"/>
      <c r="U16" s="87" t="s">
        <v>304</v>
      </c>
      <c r="V16" s="86" t="s">
        <v>299</v>
      </c>
      <c r="W16" s="84" t="s">
        <v>237</v>
      </c>
      <c r="X16" s="86">
        <v>2014</v>
      </c>
      <c r="Y16" s="100" t="s">
        <v>300</v>
      </c>
      <c r="Z16" s="74" t="s">
        <v>308</v>
      </c>
    </row>
    <row r="17" spans="1:31" s="52" customFormat="1" ht="35.25" hidden="1" customHeight="1" outlineLevel="1" x14ac:dyDescent="0.5">
      <c r="A17" s="312"/>
      <c r="C17" s="54" t="s">
        <v>312</v>
      </c>
      <c r="D17" s="531" t="s">
        <v>309</v>
      </c>
      <c r="E17" s="512" t="s">
        <v>232</v>
      </c>
      <c r="F17" s="97"/>
      <c r="G17" s="96"/>
      <c r="H17" s="96"/>
      <c r="I17" s="96"/>
      <c r="J17" s="180" t="str">
        <f>J16</f>
        <v>£s, 2012/13</v>
      </c>
      <c r="K17" s="463"/>
      <c r="L17" s="144"/>
      <c r="M17" s="144"/>
      <c r="N17" s="193"/>
      <c r="O17" s="63">
        <f>P17+Q17+R17</f>
        <v>12000</v>
      </c>
      <c r="P17" s="67">
        <f>ROUND((273+176)*_202021/_201213,-2)</f>
        <v>500</v>
      </c>
      <c r="Q17" s="67">
        <f>ROUND(440*_202021/_201213,-2)</f>
        <v>500</v>
      </c>
      <c r="R17" s="67">
        <v>11000</v>
      </c>
      <c r="S17" s="69" t="s">
        <v>243</v>
      </c>
      <c r="T17" s="95"/>
      <c r="U17" s="87" t="s">
        <v>304</v>
      </c>
      <c r="V17" s="86" t="s">
        <v>299</v>
      </c>
      <c r="W17" s="84" t="s">
        <v>237</v>
      </c>
      <c r="X17" s="86">
        <v>2014</v>
      </c>
      <c r="Y17" s="100" t="s">
        <v>300</v>
      </c>
      <c r="Z17" s="74" t="s">
        <v>308</v>
      </c>
    </row>
    <row r="18" spans="1:31" s="52" customFormat="1" ht="35.25" hidden="1" customHeight="1" outlineLevel="1" x14ac:dyDescent="0.5">
      <c r="A18" s="312"/>
      <c r="C18" s="54" t="s">
        <v>312</v>
      </c>
      <c r="D18" s="531" t="s">
        <v>131</v>
      </c>
      <c r="E18" s="512" t="s">
        <v>232</v>
      </c>
      <c r="F18" s="185"/>
      <c r="G18" s="144"/>
      <c r="H18" s="144"/>
      <c r="I18" s="144"/>
      <c r="J18" s="180" t="str">
        <f>J17</f>
        <v>£s, 2012/13</v>
      </c>
      <c r="K18" s="463"/>
      <c r="L18" s="144"/>
      <c r="M18" s="144"/>
      <c r="N18" s="193"/>
      <c r="O18" s="63">
        <f>P18+Q18+R18</f>
        <v>43600</v>
      </c>
      <c r="P18" s="67">
        <f>ROUND((236+558)*_202021/_201213,-2)</f>
        <v>1000</v>
      </c>
      <c r="Q18" s="67">
        <f>ROUND(508*_202021/_201213,-2)</f>
        <v>600</v>
      </c>
      <c r="R18" s="67">
        <v>42000</v>
      </c>
      <c r="S18" s="69" t="s">
        <v>243</v>
      </c>
      <c r="T18" s="95"/>
      <c r="U18" s="87" t="s">
        <v>277</v>
      </c>
      <c r="V18" s="86" t="s">
        <v>299</v>
      </c>
      <c r="W18" s="84" t="s">
        <v>237</v>
      </c>
      <c r="X18" s="86">
        <v>2014</v>
      </c>
      <c r="Y18" s="100" t="s">
        <v>300</v>
      </c>
      <c r="Z18" s="74" t="s">
        <v>308</v>
      </c>
    </row>
    <row r="19" spans="1:31" s="52" customFormat="1" ht="35.25" hidden="1" customHeight="1" outlineLevel="1" x14ac:dyDescent="0.5">
      <c r="A19" s="312"/>
      <c r="C19" s="54" t="s">
        <v>312</v>
      </c>
      <c r="D19" s="531" t="s">
        <v>313</v>
      </c>
      <c r="E19" s="512" t="s">
        <v>232</v>
      </c>
      <c r="F19" s="185"/>
      <c r="G19" s="144"/>
      <c r="H19" s="144"/>
      <c r="I19" s="144"/>
      <c r="J19" s="180" t="str">
        <f>J17</f>
        <v>£s, 2012/13</v>
      </c>
      <c r="K19" s="191">
        <f t="shared" ref="K19" si="11">L19+M19+N19</f>
        <v>150</v>
      </c>
      <c r="L19" s="64">
        <f>ROUND(P19/18,-2)</f>
        <v>100</v>
      </c>
      <c r="M19" s="64">
        <f>ROUND(Q19/18,-1)</f>
        <v>50</v>
      </c>
      <c r="N19" s="193"/>
      <c r="O19" s="63">
        <f>P19+Q19+R19</f>
        <v>2900</v>
      </c>
      <c r="P19" s="67">
        <f>ROUND((1531+140)*_202021/_201213,-3)</f>
        <v>2000</v>
      </c>
      <c r="Q19" s="67">
        <f>ROUND(736*_202021/_201213,-2)</f>
        <v>900</v>
      </c>
      <c r="R19" s="144"/>
      <c r="S19" s="69" t="s">
        <v>110</v>
      </c>
      <c r="T19" s="95"/>
      <c r="U19" s="87" t="s">
        <v>314</v>
      </c>
      <c r="V19" s="86" t="s">
        <v>299</v>
      </c>
      <c r="W19" s="84" t="s">
        <v>237</v>
      </c>
      <c r="X19" s="86">
        <v>2014</v>
      </c>
      <c r="Y19" s="100" t="s">
        <v>300</v>
      </c>
      <c r="Z19" s="74" t="s">
        <v>308</v>
      </c>
    </row>
    <row r="20" spans="1:31" s="52" customFormat="1" ht="35.25" customHeight="1" collapsed="1" x14ac:dyDescent="0.5">
      <c r="A20" s="312"/>
      <c r="C20" s="126" t="s">
        <v>131</v>
      </c>
      <c r="D20" s="138" t="s">
        <v>266</v>
      </c>
      <c r="E20" s="128" t="s">
        <v>232</v>
      </c>
      <c r="F20" s="133">
        <v>5500</v>
      </c>
      <c r="G20" s="133">
        <f>F20</f>
        <v>5500</v>
      </c>
      <c r="H20" s="144"/>
      <c r="I20" s="144"/>
      <c r="J20" s="179" t="s">
        <v>233</v>
      </c>
      <c r="K20" s="189">
        <f>K21+K22+K23</f>
        <v>6100</v>
      </c>
      <c r="L20" s="133">
        <f>K20</f>
        <v>6100</v>
      </c>
      <c r="M20" s="144"/>
      <c r="N20" s="193"/>
      <c r="O20" s="185"/>
      <c r="P20" s="144"/>
      <c r="Q20" s="144"/>
      <c r="R20" s="144"/>
      <c r="S20" s="136" t="s">
        <v>243</v>
      </c>
      <c r="T20" s="95"/>
      <c r="U20" s="87" t="s">
        <v>304</v>
      </c>
      <c r="V20" s="86" t="s">
        <v>315</v>
      </c>
      <c r="W20" s="84" t="s">
        <v>828</v>
      </c>
      <c r="X20" s="86">
        <v>2018</v>
      </c>
      <c r="Y20" s="100" t="s">
        <v>316</v>
      </c>
      <c r="Z20" s="74" t="s">
        <v>804</v>
      </c>
    </row>
    <row r="21" spans="1:31" s="52" customFormat="1" ht="35.25" hidden="1" customHeight="1" outlineLevel="1" x14ac:dyDescent="0.5">
      <c r="A21" s="312"/>
      <c r="C21" s="54" t="s">
        <v>131</v>
      </c>
      <c r="D21" s="531" t="s">
        <v>63</v>
      </c>
      <c r="E21" s="512" t="s">
        <v>232</v>
      </c>
      <c r="F21" s="63">
        <f>F20*60%</f>
        <v>3300</v>
      </c>
      <c r="G21" s="64">
        <f>F21</f>
        <v>3300</v>
      </c>
      <c r="H21" s="144"/>
      <c r="I21" s="144"/>
      <c r="J21" s="180" t="s">
        <v>233</v>
      </c>
      <c r="K21" s="191">
        <f>ROUND((F21*(_202021/_201718)),-2)</f>
        <v>3700</v>
      </c>
      <c r="L21" s="64">
        <f>K21</f>
        <v>3700</v>
      </c>
      <c r="M21" s="144"/>
      <c r="N21" s="193"/>
      <c r="O21" s="185"/>
      <c r="P21" s="144"/>
      <c r="Q21" s="144"/>
      <c r="R21" s="144"/>
      <c r="S21" s="69" t="s">
        <v>109</v>
      </c>
      <c r="T21" s="95"/>
      <c r="U21" s="87" t="s">
        <v>304</v>
      </c>
      <c r="V21" s="86" t="s">
        <v>315</v>
      </c>
      <c r="W21" s="84" t="s">
        <v>828</v>
      </c>
      <c r="X21" s="86">
        <v>2018</v>
      </c>
      <c r="Y21" s="100" t="s">
        <v>316</v>
      </c>
      <c r="Z21" s="74" t="s">
        <v>237</v>
      </c>
    </row>
    <row r="22" spans="1:31" s="52" customFormat="1" ht="35.25" hidden="1" customHeight="1" outlineLevel="1" x14ac:dyDescent="0.5">
      <c r="A22" s="312"/>
      <c r="C22" s="54" t="s">
        <v>131</v>
      </c>
      <c r="D22" s="531" t="s">
        <v>110</v>
      </c>
      <c r="E22" s="512" t="s">
        <v>232</v>
      </c>
      <c r="F22" s="63">
        <f>F20*28%</f>
        <v>1540.0000000000002</v>
      </c>
      <c r="G22" s="64">
        <f>F22</f>
        <v>1540.0000000000002</v>
      </c>
      <c r="H22" s="144"/>
      <c r="I22" s="144"/>
      <c r="J22" s="180" t="s">
        <v>233</v>
      </c>
      <c r="K22" s="191">
        <f>ROUND((F22*(_202021/_201718)),-2)</f>
        <v>1700</v>
      </c>
      <c r="L22" s="64">
        <f>K22</f>
        <v>1700</v>
      </c>
      <c r="M22" s="144"/>
      <c r="N22" s="193"/>
      <c r="O22" s="185"/>
      <c r="P22" s="144"/>
      <c r="Q22" s="144"/>
      <c r="R22" s="144"/>
      <c r="S22" s="69" t="s">
        <v>110</v>
      </c>
      <c r="T22" s="95"/>
      <c r="U22" s="87" t="s">
        <v>304</v>
      </c>
      <c r="V22" s="86" t="s">
        <v>315</v>
      </c>
      <c r="W22" s="84" t="s">
        <v>828</v>
      </c>
      <c r="X22" s="86">
        <v>2018</v>
      </c>
      <c r="Y22" s="100" t="s">
        <v>316</v>
      </c>
      <c r="Z22" s="74" t="str">
        <f>Z21</f>
        <v>Ditto</v>
      </c>
    </row>
    <row r="23" spans="1:31" s="52" customFormat="1" ht="35.25" hidden="1" customHeight="1" outlineLevel="1" x14ac:dyDescent="0.5">
      <c r="A23" s="312"/>
      <c r="C23" s="54" t="s">
        <v>131</v>
      </c>
      <c r="D23" s="531" t="s">
        <v>317</v>
      </c>
      <c r="E23" s="512" t="s">
        <v>232</v>
      </c>
      <c r="F23" s="63">
        <f>F20*12%</f>
        <v>660</v>
      </c>
      <c r="G23" s="64">
        <f>F23</f>
        <v>660</v>
      </c>
      <c r="H23" s="144"/>
      <c r="I23" s="144"/>
      <c r="J23" s="180" t="s">
        <v>233</v>
      </c>
      <c r="K23" s="191">
        <f>ROUND((F23*(_202021/_201718)),-2)</f>
        <v>700</v>
      </c>
      <c r="L23" s="64">
        <f>K23</f>
        <v>700</v>
      </c>
      <c r="M23" s="144"/>
      <c r="N23" s="193"/>
      <c r="O23" s="185"/>
      <c r="P23" s="144"/>
      <c r="Q23" s="144"/>
      <c r="R23" s="144"/>
      <c r="S23" s="69" t="s">
        <v>109</v>
      </c>
      <c r="T23" s="95"/>
      <c r="U23" s="87" t="s">
        <v>304</v>
      </c>
      <c r="V23" s="86" t="s">
        <v>315</v>
      </c>
      <c r="W23" s="84" t="s">
        <v>828</v>
      </c>
      <c r="X23" s="86">
        <v>2018</v>
      </c>
      <c r="Y23" s="100" t="s">
        <v>316</v>
      </c>
      <c r="Z23" s="74" t="str">
        <f>Z22</f>
        <v>Ditto</v>
      </c>
    </row>
    <row r="24" spans="1:31" s="52" customFormat="1" ht="35.25" customHeight="1" collapsed="1" thickBot="1" x14ac:dyDescent="0.55000000000000004">
      <c r="A24" s="312"/>
      <c r="C24" s="130" t="s">
        <v>318</v>
      </c>
      <c r="D24" s="265" t="s">
        <v>319</v>
      </c>
      <c r="E24" s="562" t="s">
        <v>232</v>
      </c>
      <c r="F24" s="563" t="str">
        <f>G24</f>
        <v>$ 2978</v>
      </c>
      <c r="G24" s="564" t="s">
        <v>320</v>
      </c>
      <c r="H24" s="60"/>
      <c r="I24" s="60"/>
      <c r="J24" s="565" t="s">
        <v>321</v>
      </c>
      <c r="K24" s="197">
        <f>ROUND(SUM(L24:N24),-2)</f>
        <v>18100</v>
      </c>
      <c r="L24" s="135">
        <f>SUM(L25:L28)</f>
        <v>17200</v>
      </c>
      <c r="M24" s="135">
        <f>SUM(M25:M28)</f>
        <v>900</v>
      </c>
      <c r="N24" s="464"/>
      <c r="O24" s="566"/>
      <c r="P24" s="60"/>
      <c r="Q24" s="60"/>
      <c r="R24" s="60"/>
      <c r="S24" s="270" t="s">
        <v>243</v>
      </c>
      <c r="T24" s="95"/>
      <c r="U24" s="87" t="s">
        <v>322</v>
      </c>
      <c r="V24" s="86" t="s">
        <v>323</v>
      </c>
      <c r="W24" s="84" t="s">
        <v>829</v>
      </c>
      <c r="X24" s="86">
        <v>2018</v>
      </c>
      <c r="Y24" s="100" t="s">
        <v>324</v>
      </c>
      <c r="Z24" s="74" t="s">
        <v>805</v>
      </c>
      <c r="AA24" s="106"/>
      <c r="AB24" s="106"/>
      <c r="AC24" s="107"/>
      <c r="AD24" s="106"/>
      <c r="AE24" s="108"/>
    </row>
    <row r="25" spans="1:31" s="52" customFormat="1" ht="28.5" hidden="1" customHeight="1" outlineLevel="1" x14ac:dyDescent="0.5">
      <c r="A25" s="312"/>
      <c r="C25" s="541" t="s">
        <v>318</v>
      </c>
      <c r="D25" s="544" t="s">
        <v>325</v>
      </c>
      <c r="E25" s="558" t="s">
        <v>232</v>
      </c>
      <c r="F25" s="559" t="str">
        <f>G25</f>
        <v>$ 2978</v>
      </c>
      <c r="G25" s="560" t="s">
        <v>320</v>
      </c>
      <c r="H25" s="561"/>
      <c r="I25" s="561"/>
      <c r="J25" s="262" t="s">
        <v>321</v>
      </c>
      <c r="K25" s="461">
        <f>SUM(L25:N25)</f>
        <v>2400</v>
      </c>
      <c r="L25" s="462">
        <v>2400</v>
      </c>
      <c r="M25" s="98"/>
      <c r="N25" s="534"/>
      <c r="O25" s="99"/>
      <c r="P25" s="98"/>
      <c r="Q25" s="98"/>
      <c r="R25" s="98"/>
      <c r="S25" s="140" t="s">
        <v>110</v>
      </c>
      <c r="T25" s="95"/>
      <c r="U25" s="87" t="s">
        <v>322</v>
      </c>
      <c r="V25" s="86" t="s">
        <v>323</v>
      </c>
      <c r="W25" s="84" t="s">
        <v>237</v>
      </c>
      <c r="X25" s="86">
        <v>2018</v>
      </c>
      <c r="Y25" s="100" t="s">
        <v>324</v>
      </c>
      <c r="Z25" s="74" t="s">
        <v>237</v>
      </c>
    </row>
    <row r="26" spans="1:31" s="52" customFormat="1" ht="28.5" hidden="1" customHeight="1" outlineLevel="1" x14ac:dyDescent="0.5">
      <c r="A26" s="312"/>
      <c r="C26" s="532" t="s">
        <v>318</v>
      </c>
      <c r="D26" s="531" t="s">
        <v>326</v>
      </c>
      <c r="E26" s="533" t="s">
        <v>232</v>
      </c>
      <c r="F26" s="63" t="str">
        <f>G26</f>
        <v>$13573</v>
      </c>
      <c r="G26" s="155" t="s">
        <v>327</v>
      </c>
      <c r="H26" s="144"/>
      <c r="I26" s="144"/>
      <c r="J26" s="180" t="s">
        <v>321</v>
      </c>
      <c r="K26" s="194">
        <f t="shared" ref="K26:K28" si="12">SUM(L26:N26)</f>
        <v>11100</v>
      </c>
      <c r="L26" s="80">
        <v>11100</v>
      </c>
      <c r="M26" s="96"/>
      <c r="N26" s="535"/>
      <c r="O26" s="97"/>
      <c r="P26" s="96"/>
      <c r="Q26" s="96"/>
      <c r="R26" s="96"/>
      <c r="S26" s="69" t="s">
        <v>109</v>
      </c>
      <c r="T26" s="95"/>
      <c r="U26" s="87" t="s">
        <v>322</v>
      </c>
      <c r="V26" s="86" t="s">
        <v>323</v>
      </c>
      <c r="W26" s="84" t="s">
        <v>237</v>
      </c>
      <c r="X26" s="86">
        <v>2018</v>
      </c>
      <c r="Y26" s="100" t="s">
        <v>324</v>
      </c>
      <c r="Z26" s="74" t="s">
        <v>237</v>
      </c>
    </row>
    <row r="27" spans="1:31" s="52" customFormat="1" ht="28.5" hidden="1" customHeight="1" outlineLevel="1" x14ac:dyDescent="0.5">
      <c r="A27" s="312"/>
      <c r="C27" s="532" t="s">
        <v>318</v>
      </c>
      <c r="D27" s="531" t="s">
        <v>328</v>
      </c>
      <c r="E27" s="533" t="s">
        <v>232</v>
      </c>
      <c r="F27" s="63" t="str">
        <f>H27</f>
        <v>$1055</v>
      </c>
      <c r="G27" s="144"/>
      <c r="H27" s="155" t="s">
        <v>329</v>
      </c>
      <c r="I27" s="144"/>
      <c r="J27" s="180" t="s">
        <v>321</v>
      </c>
      <c r="K27" s="194">
        <f t="shared" si="12"/>
        <v>900</v>
      </c>
      <c r="L27" s="96"/>
      <c r="M27" s="80">
        <v>900</v>
      </c>
      <c r="N27" s="535"/>
      <c r="O27" s="97"/>
      <c r="P27" s="96"/>
      <c r="Q27" s="96"/>
      <c r="R27" s="96"/>
      <c r="S27" s="69" t="s">
        <v>307</v>
      </c>
      <c r="T27" s="95"/>
      <c r="U27" s="87" t="s">
        <v>322</v>
      </c>
      <c r="V27" s="86" t="s">
        <v>323</v>
      </c>
      <c r="W27" s="84" t="s">
        <v>237</v>
      </c>
      <c r="X27" s="86">
        <v>2018</v>
      </c>
      <c r="Y27" s="100" t="s">
        <v>324</v>
      </c>
      <c r="Z27" s="74" t="s">
        <v>237</v>
      </c>
    </row>
    <row r="28" spans="1:31" s="52" customFormat="1" ht="30" hidden="1" customHeight="1" outlineLevel="1" thickBot="1" x14ac:dyDescent="0.55000000000000004">
      <c r="A28" s="312"/>
      <c r="C28" s="536" t="s">
        <v>318</v>
      </c>
      <c r="D28" s="537" t="s">
        <v>330</v>
      </c>
      <c r="E28" s="538" t="s">
        <v>232</v>
      </c>
      <c r="F28" s="65" t="str">
        <f>G28</f>
        <v>$4549</v>
      </c>
      <c r="G28" s="156" t="s">
        <v>331</v>
      </c>
      <c r="H28" s="60"/>
      <c r="I28" s="60"/>
      <c r="J28" s="181" t="s">
        <v>321</v>
      </c>
      <c r="K28" s="195">
        <f t="shared" si="12"/>
        <v>3700</v>
      </c>
      <c r="L28" s="82">
        <v>3700</v>
      </c>
      <c r="M28" s="141"/>
      <c r="N28" s="539"/>
      <c r="O28" s="540"/>
      <c r="P28" s="141"/>
      <c r="Q28" s="141"/>
      <c r="R28" s="141"/>
      <c r="S28" s="70" t="s">
        <v>109</v>
      </c>
      <c r="T28" s="95"/>
      <c r="U28" s="88" t="s">
        <v>322</v>
      </c>
      <c r="V28" s="89" t="s">
        <v>323</v>
      </c>
      <c r="W28" s="93" t="s">
        <v>237</v>
      </c>
      <c r="X28" s="89">
        <v>2018</v>
      </c>
      <c r="Y28" s="152" t="s">
        <v>324</v>
      </c>
      <c r="Z28" s="78" t="s">
        <v>237</v>
      </c>
    </row>
    <row r="29" spans="1:31" ht="30.75" customHeight="1" collapsed="1" x14ac:dyDescent="0.55000000000000004">
      <c r="A29" s="312"/>
    </row>
    <row r="30" spans="1:31" ht="30.75" customHeight="1" x14ac:dyDescent="0.55000000000000004">
      <c r="A30" s="312"/>
    </row>
    <row r="31" spans="1:31" ht="30.75" customHeight="1" x14ac:dyDescent="0.55000000000000004">
      <c r="A31" s="312"/>
      <c r="AA31" s="284"/>
    </row>
    <row r="32" spans="1:31" ht="30.75" customHeight="1" x14ac:dyDescent="0.55000000000000004">
      <c r="A32" s="312"/>
    </row>
    <row r="33" spans="1:1" ht="30.75" customHeight="1" x14ac:dyDescent="0.55000000000000004">
      <c r="A33" s="312"/>
    </row>
    <row r="34" spans="1:1" ht="30.75" customHeight="1" x14ac:dyDescent="0.55000000000000004">
      <c r="A34" s="312"/>
    </row>
    <row r="35" spans="1:1" ht="30.75" customHeight="1" x14ac:dyDescent="0.55000000000000004">
      <c r="A35" s="312"/>
    </row>
    <row r="36" spans="1:1" ht="30.75" customHeight="1" x14ac:dyDescent="0.55000000000000004">
      <c r="A36" s="312"/>
    </row>
    <row r="37" spans="1:1" ht="30.75" customHeight="1" x14ac:dyDescent="0.55000000000000004">
      <c r="A37" s="312"/>
    </row>
    <row r="38" spans="1:1" ht="30.75" customHeight="1" x14ac:dyDescent="0.55000000000000004">
      <c r="A38" s="312"/>
    </row>
    <row r="39" spans="1:1" ht="30.75" customHeight="1" x14ac:dyDescent="0.55000000000000004">
      <c r="A39" s="312"/>
    </row>
    <row r="40" spans="1:1" ht="30.75" customHeight="1" x14ac:dyDescent="0.55000000000000004">
      <c r="A40" s="312"/>
    </row>
    <row r="41" spans="1:1" ht="30.75" customHeight="1" x14ac:dyDescent="0.55000000000000004">
      <c r="A41" s="312"/>
    </row>
    <row r="42" spans="1:1" ht="30.75" customHeight="1" x14ac:dyDescent="0.55000000000000004">
      <c r="A42" s="312"/>
    </row>
  </sheetData>
  <autoFilter ref="C4:D28" xr:uid="{52133D30-FA59-4BF4-AD41-538A203D8A71}"/>
  <mergeCells count="13">
    <mergeCell ref="C3:N3"/>
    <mergeCell ref="O4:R4"/>
    <mergeCell ref="S4:S5"/>
    <mergeCell ref="Z4:Z5"/>
    <mergeCell ref="U4:U5"/>
    <mergeCell ref="V4:V5"/>
    <mergeCell ref="W4:Y4"/>
    <mergeCell ref="K4:N4"/>
    <mergeCell ref="C4:C5"/>
    <mergeCell ref="D4:D5"/>
    <mergeCell ref="F4:I4"/>
    <mergeCell ref="J4:J5"/>
    <mergeCell ref="E4:E5"/>
  </mergeCells>
  <phoneticPr fontId="21" type="noConversion"/>
  <hyperlinks>
    <hyperlink ref="Y6" r:id="rId1" xr:uid="{A0346E38-FF56-4AF7-B40D-11BF4E4A54FB}"/>
    <hyperlink ref="Y20" r:id="rId2" xr:uid="{7C5AC519-A238-4374-9B32-F23AC2D06C87}"/>
    <hyperlink ref="Y21" r:id="rId3" xr:uid="{B0EB8152-869D-4091-A58F-CDAC9B01EABD}"/>
    <hyperlink ref="Y22" r:id="rId4" xr:uid="{B10D3C5C-6A59-44F0-811A-B648B23F876A}"/>
    <hyperlink ref="Y23" r:id="rId5" xr:uid="{3406276B-B983-4AE6-AA46-97CBF7D4BFC4}"/>
    <hyperlink ref="Y7:Y15" r:id="rId6" display="https://www.nwcscnsenate.nhs.uk/files/3914/7030/1256/Costs_of_perinatal_mh.pdf " xr:uid="{2AB729E0-CF1B-403E-BFF0-64581C1F82C3}"/>
    <hyperlink ref="Y25" r:id="rId7" xr:uid="{85EBF37F-E495-4C5C-82DC-62B1FAEB255F}"/>
    <hyperlink ref="Y26" r:id="rId8" xr:uid="{5084DCB9-00CB-4580-A00B-07369D161FBC}"/>
    <hyperlink ref="Y28" r:id="rId9" xr:uid="{75454E29-D87B-46D8-B9DB-496370A18BDB}"/>
    <hyperlink ref="Y24" r:id="rId10" xr:uid="{980C8A19-C5CA-4B91-A01B-AF8A6D9B6301}"/>
    <hyperlink ref="Y16:Y19" r:id="rId11" display="https://www.nwcscnsenate.nhs.uk/files/3914/7030/1256/Costs_of_perinatal_mh.pdf " xr:uid="{14B9D0D0-26F9-4EFA-9D60-485AAE329E20}"/>
    <hyperlink ref="Y27" r:id="rId12" xr:uid="{8ED17B0D-C080-4FB2-AAF3-E4C39603F77A}"/>
  </hyperlinks>
  <pageMargins left="0.7" right="0.7" top="0.75" bottom="0.75" header="0.3" footer="0.3"/>
  <pageSetup paperSize="9" orientation="portrait" r:id="rId13"/>
  <drawing r:id="rId14"/>
  <legacyDrawing r:id="rId1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96900-05FE-4961-AD66-3ECAAF0DA2BA}">
  <sheetPr codeName="Sheet5">
    <tabColor rgb="FFFF5050"/>
  </sheetPr>
  <dimension ref="A1:Z41"/>
  <sheetViews>
    <sheetView zoomScaleNormal="100" workbookViewId="0">
      <pane xSplit="4" ySplit="5" topLeftCell="E6" activePane="bottomRight" state="frozen"/>
      <selection pane="topRight" activeCell="S15" sqref="S15"/>
      <selection pane="bottomLeft" activeCell="S15" sqref="S15"/>
      <selection pane="bottomRight" activeCell="C3" sqref="C3:N3"/>
    </sheetView>
  </sheetViews>
  <sheetFormatPr defaultColWidth="9.20703125" defaultRowHeight="31.5" customHeight="1" outlineLevelRow="1" outlineLevelCol="1" x14ac:dyDescent="0.55000000000000004"/>
  <cols>
    <col min="1" max="1" width="34" style="313" customWidth="1"/>
    <col min="2" max="2" width="6.20703125" style="39" customWidth="1"/>
    <col min="3" max="3" width="17.41796875" style="39" customWidth="1"/>
    <col min="4" max="4" width="34.20703125" style="39" customWidth="1"/>
    <col min="5" max="5" width="18.20703125" style="39" customWidth="1"/>
    <col min="6" max="10" width="16.41796875" style="170" hidden="1" customWidth="1" outlineLevel="1"/>
    <col min="11" max="11" width="16.41796875" style="170" customWidth="1" collapsed="1"/>
    <col min="12" max="14" width="16.41796875" style="170" customWidth="1"/>
    <col min="15" max="18" width="16.41796875" style="170" hidden="1" customWidth="1" outlineLevel="1"/>
    <col min="19" max="19" width="16.41796875" style="170" customWidth="1" collapsed="1"/>
    <col min="20" max="20" width="13.7890625" style="39" customWidth="1"/>
    <col min="21" max="21" width="12.7890625" style="39" bestFit="1" customWidth="1"/>
    <col min="22" max="22" width="15.7890625" style="39" customWidth="1"/>
    <col min="23" max="23" width="43.41796875" style="39" bestFit="1" customWidth="1"/>
    <col min="24" max="24" width="7" style="39" bestFit="1" customWidth="1"/>
    <col min="25" max="25" width="65.7890625" style="39" customWidth="1"/>
    <col min="26" max="26" width="255.5234375" style="39" customWidth="1"/>
    <col min="27" max="16384" width="9.20703125" style="39"/>
  </cols>
  <sheetData>
    <row r="1" spans="1:26" ht="14.4" x14ac:dyDescent="0.55000000000000004">
      <c r="E1" s="498"/>
      <c r="F1" s="39"/>
      <c r="G1" s="39"/>
      <c r="H1" s="39"/>
      <c r="I1" s="39"/>
      <c r="J1" s="39"/>
      <c r="K1" s="39"/>
      <c r="L1" s="39"/>
      <c r="M1" s="39"/>
      <c r="N1" s="39"/>
      <c r="O1" s="39"/>
      <c r="P1" s="39"/>
      <c r="Q1" s="39"/>
      <c r="R1" s="39"/>
      <c r="S1" s="499"/>
      <c r="Z1" s="500"/>
    </row>
    <row r="2" spans="1:26" ht="32.700000000000003" x14ac:dyDescent="0.55000000000000004">
      <c r="A2" s="310"/>
      <c r="C2" s="309" t="s">
        <v>332</v>
      </c>
      <c r="E2" s="498"/>
      <c r="F2" s="39"/>
      <c r="G2" s="39"/>
      <c r="H2" s="39"/>
      <c r="I2" s="39"/>
      <c r="J2" s="39"/>
      <c r="K2" s="39"/>
      <c r="L2" s="39"/>
      <c r="M2" s="39"/>
      <c r="N2" s="39"/>
      <c r="O2" s="39"/>
      <c r="P2" s="39"/>
      <c r="Q2" s="39"/>
      <c r="R2" s="39"/>
      <c r="S2" s="499"/>
      <c r="Z2" s="500"/>
    </row>
    <row r="3" spans="1:26" ht="52.95" customHeight="1" thickBot="1" x14ac:dyDescent="0.6">
      <c r="A3" s="310"/>
      <c r="C3" s="657" t="s">
        <v>824</v>
      </c>
      <c r="D3" s="657"/>
      <c r="E3" s="657"/>
      <c r="F3" s="657"/>
      <c r="G3" s="657"/>
      <c r="H3" s="657"/>
      <c r="I3" s="657"/>
      <c r="J3" s="657"/>
      <c r="K3" s="657"/>
      <c r="L3" s="657"/>
      <c r="M3" s="657"/>
      <c r="N3" s="657"/>
      <c r="O3" s="39"/>
      <c r="P3" s="39"/>
      <c r="Q3" s="39"/>
      <c r="R3" s="39"/>
      <c r="S3" s="499"/>
      <c r="Z3" s="500"/>
    </row>
    <row r="4" spans="1:26" s="52" customFormat="1" ht="16.95" customHeight="1" x14ac:dyDescent="0.55000000000000004">
      <c r="A4" s="310"/>
      <c r="C4" s="721" t="s">
        <v>214</v>
      </c>
      <c r="D4" s="679" t="s">
        <v>215</v>
      </c>
      <c r="E4" s="679" t="s">
        <v>216</v>
      </c>
      <c r="F4" s="690" t="s">
        <v>217</v>
      </c>
      <c r="G4" s="690"/>
      <c r="H4" s="690"/>
      <c r="I4" s="690"/>
      <c r="J4" s="723" t="s">
        <v>218</v>
      </c>
      <c r="K4" s="720" t="s">
        <v>795</v>
      </c>
      <c r="L4" s="714"/>
      <c r="M4" s="714"/>
      <c r="N4" s="683"/>
      <c r="O4" s="693" t="s">
        <v>219</v>
      </c>
      <c r="P4" s="714"/>
      <c r="Q4" s="714"/>
      <c r="R4" s="714"/>
      <c r="S4" s="683" t="s">
        <v>220</v>
      </c>
      <c r="T4" s="55"/>
      <c r="U4" s="664" t="s">
        <v>221</v>
      </c>
      <c r="V4" s="717" t="s">
        <v>222</v>
      </c>
      <c r="W4" s="719" t="s">
        <v>223</v>
      </c>
      <c r="X4" s="719"/>
      <c r="Y4" s="719"/>
      <c r="Z4" s="715" t="s">
        <v>224</v>
      </c>
    </row>
    <row r="5" spans="1:26" s="53" customFormat="1" ht="33" customHeight="1" thickBot="1" x14ac:dyDescent="0.6">
      <c r="A5" s="310"/>
      <c r="C5" s="722"/>
      <c r="D5" s="680"/>
      <c r="E5" s="680"/>
      <c r="F5" s="161" t="s">
        <v>225</v>
      </c>
      <c r="G5" s="62" t="s">
        <v>226</v>
      </c>
      <c r="H5" s="62" t="s">
        <v>107</v>
      </c>
      <c r="I5" s="62" t="s">
        <v>227</v>
      </c>
      <c r="J5" s="724"/>
      <c r="K5" s="186" t="str">
        <f>F5</f>
        <v xml:space="preserve">Total </v>
      </c>
      <c r="L5" s="62" t="s">
        <v>226</v>
      </c>
      <c r="M5" s="62" t="s">
        <v>107</v>
      </c>
      <c r="N5" s="177" t="s">
        <v>227</v>
      </c>
      <c r="O5" s="182" t="str">
        <f>K5</f>
        <v xml:space="preserve">Total </v>
      </c>
      <c r="P5" s="62" t="s">
        <v>226</v>
      </c>
      <c r="Q5" s="62" t="s">
        <v>107</v>
      </c>
      <c r="R5" s="62" t="s">
        <v>227</v>
      </c>
      <c r="S5" s="684"/>
      <c r="T5" s="55"/>
      <c r="U5" s="665"/>
      <c r="V5" s="718"/>
      <c r="W5" s="475" t="s">
        <v>228</v>
      </c>
      <c r="X5" s="475" t="s">
        <v>229</v>
      </c>
      <c r="Y5" s="475" t="s">
        <v>230</v>
      </c>
      <c r="Z5" s="716"/>
    </row>
    <row r="6" spans="1:26" s="52" customFormat="1" ht="31.5" customHeight="1" thickBot="1" x14ac:dyDescent="0.6">
      <c r="A6" s="310"/>
      <c r="C6" s="120" t="s">
        <v>82</v>
      </c>
      <c r="D6" s="125" t="s">
        <v>333</v>
      </c>
      <c r="E6" s="226" t="s">
        <v>334</v>
      </c>
      <c r="F6" s="169">
        <v>15063</v>
      </c>
      <c r="G6" s="162">
        <f>F6</f>
        <v>15063</v>
      </c>
      <c r="H6" s="163"/>
      <c r="I6" s="163"/>
      <c r="J6" s="210" t="s">
        <v>233</v>
      </c>
      <c r="K6" s="215">
        <f>ROUND((F6*(_202021/_201718)),-2)</f>
        <v>16900</v>
      </c>
      <c r="L6" s="162">
        <f>ROUND((G6*(_202021/_201718)),-2)</f>
        <v>16900</v>
      </c>
      <c r="M6" s="163"/>
      <c r="N6" s="216"/>
      <c r="O6" s="212"/>
      <c r="P6" s="163"/>
      <c r="Q6" s="163"/>
      <c r="R6" s="163"/>
      <c r="S6" s="142" t="s">
        <v>109</v>
      </c>
      <c r="T6" s="95"/>
      <c r="U6" s="245" t="s">
        <v>335</v>
      </c>
      <c r="V6" s="116" t="s">
        <v>315</v>
      </c>
      <c r="W6" s="117" t="s">
        <v>830</v>
      </c>
      <c r="X6" s="116">
        <v>2018</v>
      </c>
      <c r="Y6" s="246" t="s">
        <v>336</v>
      </c>
      <c r="Z6" s="247" t="s">
        <v>806</v>
      </c>
    </row>
    <row r="7" spans="1:26" s="52" customFormat="1" ht="31.5" customHeight="1" thickBot="1" x14ac:dyDescent="0.6">
      <c r="A7" s="310"/>
      <c r="C7" s="120" t="s">
        <v>82</v>
      </c>
      <c r="D7" s="138" t="s">
        <v>266</v>
      </c>
      <c r="E7" s="226" t="s">
        <v>337</v>
      </c>
      <c r="F7" s="169">
        <f>SUM(F8:F10)</f>
        <v>11295</v>
      </c>
      <c r="G7" s="162">
        <f>SUM(G8:G10)</f>
        <v>2951</v>
      </c>
      <c r="H7" s="163"/>
      <c r="I7" s="162">
        <f>SUM(I8:I10)</f>
        <v>8344</v>
      </c>
      <c r="J7" s="211" t="s">
        <v>233</v>
      </c>
      <c r="K7" s="215">
        <f>ROUND(L7+N7,-2)</f>
        <v>12600</v>
      </c>
      <c r="L7" s="162">
        <f>SUM(L8:L10)</f>
        <v>3300</v>
      </c>
      <c r="M7" s="165"/>
      <c r="N7" s="217">
        <f>SUM(N8:N10)</f>
        <v>9300</v>
      </c>
      <c r="O7" s="213"/>
      <c r="P7" s="165"/>
      <c r="Q7" s="165"/>
      <c r="R7" s="165"/>
      <c r="S7" s="136" t="s">
        <v>243</v>
      </c>
      <c r="T7" s="95"/>
      <c r="U7" s="87" t="s">
        <v>335</v>
      </c>
      <c r="V7" s="86" t="s">
        <v>315</v>
      </c>
      <c r="W7" s="117" t="s">
        <v>830</v>
      </c>
      <c r="X7" s="86">
        <v>2018</v>
      </c>
      <c r="Y7" s="100" t="s">
        <v>336</v>
      </c>
      <c r="Z7" s="74" t="s">
        <v>807</v>
      </c>
    </row>
    <row r="8" spans="1:26" s="52" customFormat="1" ht="31.5" hidden="1" customHeight="1" outlineLevel="1" x14ac:dyDescent="0.5">
      <c r="A8" s="311"/>
      <c r="C8" s="541" t="s">
        <v>82</v>
      </c>
      <c r="D8" s="531" t="s">
        <v>339</v>
      </c>
      <c r="E8" s="542" t="s">
        <v>337</v>
      </c>
      <c r="F8" s="166">
        <v>512</v>
      </c>
      <c r="G8" s="171">
        <f>F8</f>
        <v>512</v>
      </c>
      <c r="H8" s="163"/>
      <c r="I8" s="163"/>
      <c r="J8" s="180" t="s">
        <v>233</v>
      </c>
      <c r="K8" s="218">
        <f>ROUND((F8*(_202021/_201718)),-2)</f>
        <v>600</v>
      </c>
      <c r="L8" s="166">
        <f>ROUND((G8*(_202021/_201718)),-2)</f>
        <v>600</v>
      </c>
      <c r="M8" s="165"/>
      <c r="N8" s="219"/>
      <c r="O8" s="213"/>
      <c r="P8" s="165"/>
      <c r="Q8" s="165"/>
      <c r="R8" s="165"/>
      <c r="S8" s="140" t="s">
        <v>110</v>
      </c>
      <c r="T8" s="95"/>
      <c r="U8" s="87" t="s">
        <v>335</v>
      </c>
      <c r="V8" s="86" t="s">
        <v>315</v>
      </c>
      <c r="W8" s="84" t="s">
        <v>237</v>
      </c>
      <c r="X8" s="86">
        <v>2018</v>
      </c>
      <c r="Y8" s="100" t="s">
        <v>336</v>
      </c>
      <c r="Z8" s="74" t="s">
        <v>340</v>
      </c>
    </row>
    <row r="9" spans="1:26" s="52" customFormat="1" ht="31.5" hidden="1" customHeight="1" outlineLevel="1" x14ac:dyDescent="0.5">
      <c r="A9" s="311"/>
      <c r="C9" s="541" t="s">
        <v>82</v>
      </c>
      <c r="D9" s="543" t="s">
        <v>35</v>
      </c>
      <c r="E9" s="542" t="s">
        <v>337</v>
      </c>
      <c r="F9" s="171">
        <v>2439</v>
      </c>
      <c r="G9" s="171">
        <f>F9</f>
        <v>2439</v>
      </c>
      <c r="H9" s="163"/>
      <c r="I9" s="163"/>
      <c r="J9" s="180" t="s">
        <v>233</v>
      </c>
      <c r="K9" s="218">
        <f>ROUND((F9*(_202021/_201718)),-2)</f>
        <v>2700</v>
      </c>
      <c r="L9" s="166">
        <f>ROUND((G9*(_202021/_201718)),-2)</f>
        <v>2700</v>
      </c>
      <c r="M9" s="165"/>
      <c r="N9" s="219"/>
      <c r="O9" s="213"/>
      <c r="P9" s="165"/>
      <c r="Q9" s="165"/>
      <c r="R9" s="165"/>
      <c r="S9" s="140" t="s">
        <v>111</v>
      </c>
      <c r="T9" s="95"/>
      <c r="U9" s="87" t="s">
        <v>335</v>
      </c>
      <c r="V9" s="86" t="s">
        <v>315</v>
      </c>
      <c r="W9" s="84" t="s">
        <v>237</v>
      </c>
      <c r="X9" s="86">
        <v>2018</v>
      </c>
      <c r="Y9" s="100" t="s">
        <v>336</v>
      </c>
      <c r="Z9" s="74" t="s">
        <v>341</v>
      </c>
    </row>
    <row r="10" spans="1:26" s="52" customFormat="1" ht="31.5" hidden="1" customHeight="1" outlineLevel="1" thickBot="1" x14ac:dyDescent="0.55000000000000004">
      <c r="A10" s="311"/>
      <c r="C10" s="541" t="s">
        <v>82</v>
      </c>
      <c r="D10" s="537" t="s">
        <v>342</v>
      </c>
      <c r="E10" s="542" t="s">
        <v>337</v>
      </c>
      <c r="F10" s="171">
        <f>F15</f>
        <v>8344</v>
      </c>
      <c r="G10" s="163"/>
      <c r="H10" s="163"/>
      <c r="I10" s="171">
        <f>I15</f>
        <v>8344</v>
      </c>
      <c r="J10" s="180" t="s">
        <v>233</v>
      </c>
      <c r="K10" s="218">
        <f>ROUND((F10*(_202021/_201718)),-2)</f>
        <v>9300</v>
      </c>
      <c r="L10" s="165"/>
      <c r="M10" s="165"/>
      <c r="N10" s="220">
        <f>ROUND((I10*(_202021/_201718)),-2)</f>
        <v>9300</v>
      </c>
      <c r="O10" s="213"/>
      <c r="P10" s="165"/>
      <c r="Q10" s="165"/>
      <c r="R10" s="165"/>
      <c r="S10" s="140" t="s">
        <v>307</v>
      </c>
      <c r="T10" s="95"/>
      <c r="U10" s="87" t="s">
        <v>277</v>
      </c>
      <c r="V10" s="86" t="s">
        <v>315</v>
      </c>
      <c r="W10" s="84" t="s">
        <v>237</v>
      </c>
      <c r="X10" s="86">
        <v>2018</v>
      </c>
      <c r="Y10" s="100" t="s">
        <v>336</v>
      </c>
      <c r="Z10" s="151" t="s">
        <v>343</v>
      </c>
    </row>
    <row r="11" spans="1:26" s="52" customFormat="1" ht="31.5" customHeight="1" collapsed="1" thickBot="1" x14ac:dyDescent="0.55000000000000004">
      <c r="A11" s="311"/>
      <c r="C11" s="264" t="s">
        <v>82</v>
      </c>
      <c r="D11" s="265" t="s">
        <v>266</v>
      </c>
      <c r="E11" s="266" t="s">
        <v>232</v>
      </c>
      <c r="F11" s="267">
        <f>F12+F13+F14+F15</f>
        <v>30019</v>
      </c>
      <c r="G11" s="237">
        <f>G12+G13+G14+G15</f>
        <v>572</v>
      </c>
      <c r="H11" s="237">
        <f>H12+H13+H14+H15</f>
        <v>21103</v>
      </c>
      <c r="I11" s="237">
        <f>I12+I13+I14+I15</f>
        <v>8344</v>
      </c>
      <c r="J11" s="238" t="s">
        <v>233</v>
      </c>
      <c r="K11" s="268">
        <f>ROUND(K12+K13+K14+K15,-2)</f>
        <v>33500</v>
      </c>
      <c r="L11" s="237">
        <f>L12+L13+L14+L15</f>
        <v>600</v>
      </c>
      <c r="M11" s="237">
        <f>M12+M13+M14+M15</f>
        <v>23600</v>
      </c>
      <c r="N11" s="269">
        <f>N12+N13+N14+N15</f>
        <v>9300</v>
      </c>
      <c r="O11" s="214"/>
      <c r="P11" s="168"/>
      <c r="Q11" s="168"/>
      <c r="R11" s="168"/>
      <c r="S11" s="270" t="s">
        <v>243</v>
      </c>
      <c r="T11" s="95"/>
      <c r="U11" s="87" t="s">
        <v>277</v>
      </c>
      <c r="V11" s="86" t="s">
        <v>315</v>
      </c>
      <c r="W11" s="117" t="s">
        <v>830</v>
      </c>
      <c r="X11" s="86">
        <v>2018</v>
      </c>
      <c r="Y11" s="100" t="s">
        <v>336</v>
      </c>
      <c r="Z11" s="74" t="s">
        <v>338</v>
      </c>
    </row>
    <row r="12" spans="1:26" s="52" customFormat="1" ht="31.5" hidden="1" customHeight="1" outlineLevel="1" x14ac:dyDescent="0.5">
      <c r="A12" s="312"/>
      <c r="C12" s="541" t="s">
        <v>82</v>
      </c>
      <c r="D12" s="544" t="s">
        <v>344</v>
      </c>
      <c r="E12" s="545" t="s">
        <v>232</v>
      </c>
      <c r="F12" s="171">
        <v>21103</v>
      </c>
      <c r="G12" s="163"/>
      <c r="H12" s="171">
        <f>F12</f>
        <v>21103</v>
      </c>
      <c r="I12" s="163"/>
      <c r="J12" s="262" t="s">
        <v>233</v>
      </c>
      <c r="K12" s="263">
        <f>ROUND((F12*(_202021/_201718)),-2)</f>
        <v>23600</v>
      </c>
      <c r="L12" s="163"/>
      <c r="M12" s="171">
        <f>ROUND((H12*(_202021/_201718)),-2)</f>
        <v>23600</v>
      </c>
      <c r="N12" s="216"/>
      <c r="O12" s="212"/>
      <c r="P12" s="163"/>
      <c r="Q12" s="163"/>
      <c r="R12" s="163"/>
      <c r="S12" s="140" t="s">
        <v>119</v>
      </c>
      <c r="T12" s="95"/>
      <c r="U12" s="87" t="s">
        <v>277</v>
      </c>
      <c r="V12" s="86" t="s">
        <v>315</v>
      </c>
      <c r="W12" s="84" t="s">
        <v>237</v>
      </c>
      <c r="X12" s="86">
        <v>2018</v>
      </c>
      <c r="Y12" s="100" t="s">
        <v>336</v>
      </c>
      <c r="Z12" s="74" t="s">
        <v>345</v>
      </c>
    </row>
    <row r="13" spans="1:26" s="52" customFormat="1" ht="31.5" hidden="1" customHeight="1" outlineLevel="1" x14ac:dyDescent="0.5">
      <c r="A13" s="312"/>
      <c r="C13" s="532" t="s">
        <v>82</v>
      </c>
      <c r="D13" s="531" t="s">
        <v>346</v>
      </c>
      <c r="E13" s="546" t="s">
        <v>232</v>
      </c>
      <c r="F13" s="166">
        <v>223</v>
      </c>
      <c r="G13" s="166">
        <f>F13</f>
        <v>223</v>
      </c>
      <c r="H13" s="165"/>
      <c r="I13" s="165"/>
      <c r="J13" s="180" t="s">
        <v>233</v>
      </c>
      <c r="K13" s="218">
        <f t="shared" ref="K13:L14" si="0">ROUND((F13*(_202021/_201718)),-2)</f>
        <v>200</v>
      </c>
      <c r="L13" s="166">
        <f t="shared" si="0"/>
        <v>200</v>
      </c>
      <c r="M13" s="165"/>
      <c r="N13" s="219"/>
      <c r="O13" s="213"/>
      <c r="P13" s="165"/>
      <c r="Q13" s="165"/>
      <c r="R13" s="165"/>
      <c r="S13" s="69" t="s">
        <v>110</v>
      </c>
      <c r="T13" s="95"/>
      <c r="U13" s="87" t="s">
        <v>347</v>
      </c>
      <c r="V13" s="86" t="s">
        <v>315</v>
      </c>
      <c r="W13" s="84" t="s">
        <v>237</v>
      </c>
      <c r="X13" s="86">
        <v>2018</v>
      </c>
      <c r="Y13" s="100" t="s">
        <v>336</v>
      </c>
      <c r="Z13" s="74" t="s">
        <v>348</v>
      </c>
    </row>
    <row r="14" spans="1:26" s="52" customFormat="1" ht="31.5" hidden="1" customHeight="1" outlineLevel="1" x14ac:dyDescent="0.5">
      <c r="A14" s="312"/>
      <c r="C14" s="532" t="s">
        <v>82</v>
      </c>
      <c r="D14" s="531" t="s">
        <v>339</v>
      </c>
      <c r="E14" s="546" t="s">
        <v>232</v>
      </c>
      <c r="F14" s="166">
        <v>349</v>
      </c>
      <c r="G14" s="166">
        <f>F14</f>
        <v>349</v>
      </c>
      <c r="H14" s="165"/>
      <c r="I14" s="165"/>
      <c r="J14" s="180" t="s">
        <v>233</v>
      </c>
      <c r="K14" s="218">
        <f t="shared" si="0"/>
        <v>400</v>
      </c>
      <c r="L14" s="166">
        <f t="shared" si="0"/>
        <v>400</v>
      </c>
      <c r="M14" s="165"/>
      <c r="N14" s="219"/>
      <c r="O14" s="213"/>
      <c r="P14" s="165"/>
      <c r="Q14" s="165"/>
      <c r="R14" s="165"/>
      <c r="S14" s="69" t="s">
        <v>110</v>
      </c>
      <c r="T14" s="95"/>
      <c r="U14" s="87" t="str">
        <f>U13</f>
        <v>0-19 years old</v>
      </c>
      <c r="V14" s="86" t="s">
        <v>315</v>
      </c>
      <c r="W14" s="84" t="s">
        <v>237</v>
      </c>
      <c r="X14" s="86">
        <v>2018</v>
      </c>
      <c r="Y14" s="100" t="s">
        <v>336</v>
      </c>
      <c r="Z14" s="74" t="s">
        <v>349</v>
      </c>
    </row>
    <row r="15" spans="1:26" s="52" customFormat="1" ht="31.5" hidden="1" customHeight="1" outlineLevel="1" thickBot="1" x14ac:dyDescent="0.55000000000000004">
      <c r="A15" s="312"/>
      <c r="C15" s="536" t="s">
        <v>82</v>
      </c>
      <c r="D15" s="537" t="s">
        <v>342</v>
      </c>
      <c r="E15" s="547" t="s">
        <v>232</v>
      </c>
      <c r="F15" s="167">
        <v>8344</v>
      </c>
      <c r="G15" s="168"/>
      <c r="H15" s="168"/>
      <c r="I15" s="167">
        <f>F15</f>
        <v>8344</v>
      </c>
      <c r="J15" s="181" t="s">
        <v>233</v>
      </c>
      <c r="K15" s="223">
        <f>ROUND((F15*(_202021/_201718)),-2)</f>
        <v>9300</v>
      </c>
      <c r="L15" s="168"/>
      <c r="M15" s="168"/>
      <c r="N15" s="224">
        <f>ROUND((I15*(_202021/_201718)),-2)</f>
        <v>9300</v>
      </c>
      <c r="O15" s="214"/>
      <c r="P15" s="168"/>
      <c r="Q15" s="168"/>
      <c r="R15" s="168"/>
      <c r="S15" s="70" t="s">
        <v>307</v>
      </c>
      <c r="T15" s="95"/>
      <c r="U15" s="88" t="s">
        <v>277</v>
      </c>
      <c r="V15" s="89" t="s">
        <v>315</v>
      </c>
      <c r="W15" s="93" t="s">
        <v>237</v>
      </c>
      <c r="X15" s="89">
        <v>2018</v>
      </c>
      <c r="Y15" s="152" t="s">
        <v>336</v>
      </c>
      <c r="Z15" s="61" t="s">
        <v>350</v>
      </c>
    </row>
    <row r="16" spans="1:26" ht="31.5" customHeight="1" collapsed="1" x14ac:dyDescent="0.55000000000000004">
      <c r="A16" s="312"/>
    </row>
    <row r="17" spans="1:1" ht="31.5" customHeight="1" x14ac:dyDescent="0.55000000000000004">
      <c r="A17" s="312"/>
    </row>
    <row r="18" spans="1:1" ht="31.5" customHeight="1" x14ac:dyDescent="0.55000000000000004">
      <c r="A18" s="312"/>
    </row>
    <row r="19" spans="1:1" ht="31.5" customHeight="1" x14ac:dyDescent="0.55000000000000004">
      <c r="A19" s="312"/>
    </row>
    <row r="20" spans="1:1" ht="31.5" customHeight="1" x14ac:dyDescent="0.55000000000000004">
      <c r="A20" s="312"/>
    </row>
    <row r="21" spans="1:1" ht="31.5" customHeight="1" x14ac:dyDescent="0.55000000000000004">
      <c r="A21" s="312"/>
    </row>
    <row r="22" spans="1:1" ht="31.5" customHeight="1" x14ac:dyDescent="0.55000000000000004">
      <c r="A22" s="312"/>
    </row>
    <row r="23" spans="1:1" ht="31.5" customHeight="1" x14ac:dyDescent="0.55000000000000004">
      <c r="A23" s="312"/>
    </row>
    <row r="24" spans="1:1" ht="31.5" customHeight="1" x14ac:dyDescent="0.55000000000000004">
      <c r="A24" s="312"/>
    </row>
    <row r="25" spans="1:1" ht="31.5" customHeight="1" x14ac:dyDescent="0.55000000000000004">
      <c r="A25" s="312"/>
    </row>
    <row r="26" spans="1:1" ht="31.5" customHeight="1" x14ac:dyDescent="0.55000000000000004">
      <c r="A26" s="312"/>
    </row>
    <row r="27" spans="1:1" ht="31.5" customHeight="1" x14ac:dyDescent="0.55000000000000004">
      <c r="A27" s="312"/>
    </row>
    <row r="28" spans="1:1" ht="31.5" customHeight="1" x14ac:dyDescent="0.55000000000000004">
      <c r="A28" s="312"/>
    </row>
    <row r="29" spans="1:1" ht="31.5" customHeight="1" x14ac:dyDescent="0.55000000000000004">
      <c r="A29" s="312"/>
    </row>
    <row r="30" spans="1:1" ht="31.5" customHeight="1" x14ac:dyDescent="0.55000000000000004">
      <c r="A30" s="312"/>
    </row>
    <row r="31" spans="1:1" ht="31.5" customHeight="1" x14ac:dyDescent="0.55000000000000004">
      <c r="A31" s="312"/>
    </row>
    <row r="32" spans="1:1" ht="31.5" customHeight="1" x14ac:dyDescent="0.55000000000000004">
      <c r="A32" s="312"/>
    </row>
    <row r="33" spans="1:1" ht="31.5" customHeight="1" x14ac:dyDescent="0.55000000000000004">
      <c r="A33" s="312"/>
    </row>
    <row r="34" spans="1:1" ht="31.5" customHeight="1" x14ac:dyDescent="0.55000000000000004">
      <c r="A34" s="312"/>
    </row>
    <row r="35" spans="1:1" ht="31.5" customHeight="1" x14ac:dyDescent="0.55000000000000004">
      <c r="A35" s="312"/>
    </row>
    <row r="36" spans="1:1" ht="31.5" customHeight="1" x14ac:dyDescent="0.55000000000000004">
      <c r="A36" s="312"/>
    </row>
    <row r="37" spans="1:1" ht="31.5" customHeight="1" x14ac:dyDescent="0.55000000000000004">
      <c r="A37" s="312"/>
    </row>
    <row r="38" spans="1:1" ht="31.5" customHeight="1" x14ac:dyDescent="0.55000000000000004">
      <c r="A38" s="312"/>
    </row>
    <row r="39" spans="1:1" ht="31.5" customHeight="1" x14ac:dyDescent="0.55000000000000004">
      <c r="A39" s="312"/>
    </row>
    <row r="40" spans="1:1" ht="31.5" customHeight="1" x14ac:dyDescent="0.55000000000000004">
      <c r="A40" s="312"/>
    </row>
    <row r="41" spans="1:1" ht="31.5" customHeight="1" x14ac:dyDescent="0.55000000000000004">
      <c r="A41" s="312"/>
    </row>
  </sheetData>
  <autoFilter ref="C4:D5" xr:uid="{219E76CA-2485-4215-AE41-47F946760FEF}"/>
  <mergeCells count="13">
    <mergeCell ref="C3:N3"/>
    <mergeCell ref="O4:R4"/>
    <mergeCell ref="S4:S5"/>
    <mergeCell ref="Z4:Z5"/>
    <mergeCell ref="U4:U5"/>
    <mergeCell ref="V4:V5"/>
    <mergeCell ref="W4:Y4"/>
    <mergeCell ref="K4:N4"/>
    <mergeCell ref="C4:C5"/>
    <mergeCell ref="D4:D5"/>
    <mergeCell ref="E4:E5"/>
    <mergeCell ref="F4:I4"/>
    <mergeCell ref="J4:J5"/>
  </mergeCells>
  <hyperlinks>
    <hyperlink ref="Y6" r:id="rId1" xr:uid="{1942969D-D124-4D29-9E9E-46A9836B1BF7}"/>
    <hyperlink ref="Y11:Y15" r:id="rId2" display="https://www.crisis.org.uk/media/238957/assessing_the_costs_and_benefits_of_crisis-_plan_to_end_homelessness_2018.pdf" xr:uid="{8B678581-56B1-48EF-8119-B8B1E38C2DBB}"/>
    <hyperlink ref="Y7:Y10" r:id="rId3" display="https://www.crisis.org.uk/media/238957/assessing_the_costs_and_benefits_of_crisis-_plan_to_end_homelessness_2018.pdf" xr:uid="{A31B172C-6400-4943-A6F4-29FA304D8226}"/>
  </hyperlinks>
  <pageMargins left="0.7" right="0.7" top="0.75" bottom="0.75" header="0.3" footer="0.3"/>
  <pageSetup paperSize="9" orientation="portrait" r:id="rId4"/>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B425-F1F3-491E-AE75-320EBF3F259A}">
  <sheetPr codeName="Sheet6">
    <tabColor rgb="FFFFCCFF"/>
  </sheetPr>
  <dimension ref="A1:Z42"/>
  <sheetViews>
    <sheetView zoomScaleNormal="100" workbookViewId="0">
      <pane xSplit="4" ySplit="5" topLeftCell="E6" activePane="bottomRight" state="frozen"/>
      <selection pane="topRight" activeCell="S15" sqref="S15"/>
      <selection pane="bottomLeft" activeCell="S15" sqref="S15"/>
      <selection pane="bottomRight" activeCell="C6" sqref="C6"/>
    </sheetView>
  </sheetViews>
  <sheetFormatPr defaultColWidth="18.41796875" defaultRowHeight="14.4" outlineLevelCol="1" x14ac:dyDescent="0.55000000000000004"/>
  <cols>
    <col min="1" max="1" width="34" style="313" customWidth="1"/>
    <col min="2" max="2" width="5.89453125" style="39" customWidth="1"/>
    <col min="3" max="3" width="21.20703125" style="39" customWidth="1"/>
    <col min="4" max="4" width="52.7890625" style="39" customWidth="1"/>
    <col min="5" max="5" width="27.41796875" style="39" customWidth="1"/>
    <col min="6" max="10" width="18.41796875" style="525" hidden="1" customWidth="1" outlineLevel="1"/>
    <col min="11" max="11" width="18.41796875" style="525" collapsed="1"/>
    <col min="12" max="14" width="18.41796875" style="525"/>
    <col min="15" max="18" width="18.41796875" style="39" hidden="1" customWidth="1" outlineLevel="1"/>
    <col min="19" max="19" width="18.41796875" style="39" collapsed="1"/>
    <col min="20" max="22" width="18.41796875" style="39"/>
    <col min="23" max="23" width="44.20703125" style="39" customWidth="1"/>
    <col min="24" max="24" width="16.5234375" style="39" customWidth="1"/>
    <col min="25" max="25" width="58.5234375" style="39" customWidth="1"/>
    <col min="26" max="26" width="92.5234375" style="39" customWidth="1"/>
    <col min="27" max="16384" width="18.41796875" style="39"/>
  </cols>
  <sheetData>
    <row r="1" spans="1:26" x14ac:dyDescent="0.55000000000000004">
      <c r="E1" s="498"/>
      <c r="F1" s="39"/>
      <c r="G1" s="39"/>
      <c r="H1" s="39"/>
      <c r="I1" s="39"/>
      <c r="J1" s="39"/>
      <c r="K1" s="39"/>
      <c r="L1" s="39"/>
      <c r="M1" s="39"/>
      <c r="N1" s="39"/>
      <c r="S1" s="499"/>
      <c r="Z1" s="500"/>
    </row>
    <row r="2" spans="1:26" ht="32.700000000000003" x14ac:dyDescent="0.55000000000000004">
      <c r="A2" s="310"/>
      <c r="C2" s="309" t="s">
        <v>351</v>
      </c>
      <c r="E2" s="498"/>
      <c r="F2" s="39"/>
      <c r="G2" s="39"/>
      <c r="H2" s="39"/>
      <c r="I2" s="39"/>
      <c r="J2" s="39"/>
      <c r="K2" s="39"/>
      <c r="L2" s="39"/>
      <c r="M2" s="39"/>
      <c r="N2" s="39"/>
      <c r="S2" s="499"/>
      <c r="Z2" s="500"/>
    </row>
    <row r="3" spans="1:26" ht="52.95" customHeight="1" thickBot="1" x14ac:dyDescent="0.6">
      <c r="A3" s="310"/>
      <c r="C3" s="657" t="s">
        <v>823</v>
      </c>
      <c r="D3" s="657"/>
      <c r="E3" s="657"/>
      <c r="F3" s="657"/>
      <c r="G3" s="657"/>
      <c r="H3" s="657"/>
      <c r="I3" s="657"/>
      <c r="J3" s="657"/>
      <c r="K3" s="657"/>
      <c r="L3" s="657"/>
      <c r="M3" s="657"/>
      <c r="N3" s="657"/>
      <c r="S3" s="499"/>
      <c r="Z3" s="500"/>
    </row>
    <row r="4" spans="1:26" s="52" customFormat="1" ht="16.95" customHeight="1" x14ac:dyDescent="0.55000000000000004">
      <c r="A4" s="310"/>
      <c r="C4" s="721" t="s">
        <v>214</v>
      </c>
      <c r="D4" s="679" t="s">
        <v>215</v>
      </c>
      <c r="E4" s="679" t="s">
        <v>216</v>
      </c>
      <c r="F4" s="690" t="s">
        <v>217</v>
      </c>
      <c r="G4" s="690"/>
      <c r="H4" s="690"/>
      <c r="I4" s="690"/>
      <c r="J4" s="714" t="s">
        <v>218</v>
      </c>
      <c r="K4" s="714" t="s">
        <v>795</v>
      </c>
      <c r="L4" s="714"/>
      <c r="M4" s="714"/>
      <c r="N4" s="714"/>
      <c r="O4" s="714" t="s">
        <v>219</v>
      </c>
      <c r="P4" s="714"/>
      <c r="Q4" s="714"/>
      <c r="R4" s="714"/>
      <c r="S4" s="683" t="s">
        <v>220</v>
      </c>
      <c r="T4" s="55"/>
      <c r="U4" s="664" t="s">
        <v>221</v>
      </c>
      <c r="V4" s="717" t="s">
        <v>222</v>
      </c>
      <c r="W4" s="719" t="s">
        <v>223</v>
      </c>
      <c r="X4" s="719"/>
      <c r="Y4" s="719"/>
      <c r="Z4" s="715" t="s">
        <v>224</v>
      </c>
    </row>
    <row r="5" spans="1:26" s="53" customFormat="1" ht="33" customHeight="1" thickBot="1" x14ac:dyDescent="0.6">
      <c r="A5" s="310"/>
      <c r="C5" s="722"/>
      <c r="D5" s="680"/>
      <c r="E5" s="680"/>
      <c r="F5" s="161" t="s">
        <v>225</v>
      </c>
      <c r="G5" s="62" t="s">
        <v>226</v>
      </c>
      <c r="H5" s="62" t="s">
        <v>107</v>
      </c>
      <c r="I5" s="62" t="s">
        <v>227</v>
      </c>
      <c r="J5" s="728"/>
      <c r="K5" s="62" t="str">
        <f>F5</f>
        <v xml:space="preserve">Total </v>
      </c>
      <c r="L5" s="62" t="s">
        <v>226</v>
      </c>
      <c r="M5" s="62" t="s">
        <v>107</v>
      </c>
      <c r="N5" s="62" t="s">
        <v>227</v>
      </c>
      <c r="O5" s="62" t="str">
        <f>K5</f>
        <v xml:space="preserve">Total </v>
      </c>
      <c r="P5" s="62" t="s">
        <v>226</v>
      </c>
      <c r="Q5" s="62" t="s">
        <v>107</v>
      </c>
      <c r="R5" s="62" t="s">
        <v>227</v>
      </c>
      <c r="S5" s="684"/>
      <c r="T5" s="55"/>
      <c r="U5" s="726"/>
      <c r="V5" s="727"/>
      <c r="W5" s="476" t="s">
        <v>228</v>
      </c>
      <c r="X5" s="476" t="s">
        <v>229</v>
      </c>
      <c r="Y5" s="476" t="s">
        <v>230</v>
      </c>
      <c r="Z5" s="725"/>
    </row>
    <row r="6" spans="1:26" s="52" customFormat="1" ht="36" customHeight="1" x14ac:dyDescent="0.55000000000000004">
      <c r="A6" s="310"/>
      <c r="C6" s="124" t="s">
        <v>352</v>
      </c>
      <c r="D6" s="125" t="s">
        <v>353</v>
      </c>
      <c r="E6" s="206" t="s">
        <v>354</v>
      </c>
      <c r="F6" s="287">
        <v>81</v>
      </c>
      <c r="G6" s="143">
        <f t="shared" ref="G6:G11" si="0">F6</f>
        <v>81</v>
      </c>
      <c r="H6" s="163"/>
      <c r="I6" s="163"/>
      <c r="J6" s="162" t="s">
        <v>261</v>
      </c>
      <c r="K6" s="287">
        <f t="shared" ref="K6:K11" si="1">ROUND((F6*(_202021/_201819)),-2)</f>
        <v>100</v>
      </c>
      <c r="L6" s="143">
        <f t="shared" ref="L6:L11" si="2">K6</f>
        <v>100</v>
      </c>
      <c r="M6" s="163"/>
      <c r="N6" s="163"/>
      <c r="O6" s="163"/>
      <c r="P6" s="163"/>
      <c r="Q6" s="163"/>
      <c r="R6" s="163"/>
      <c r="S6" s="142" t="s">
        <v>110</v>
      </c>
      <c r="T6" s="242"/>
      <c r="U6" s="101" t="s">
        <v>119</v>
      </c>
      <c r="V6" s="102" t="s">
        <v>234</v>
      </c>
      <c r="W6" s="103" t="s">
        <v>825</v>
      </c>
      <c r="X6" s="102">
        <v>2019</v>
      </c>
      <c r="Y6" s="90" t="s">
        <v>355</v>
      </c>
      <c r="Z6" s="105" t="s">
        <v>119</v>
      </c>
    </row>
    <row r="7" spans="1:26" s="52" customFormat="1" ht="36" customHeight="1" x14ac:dyDescent="0.55000000000000004">
      <c r="A7" s="310"/>
      <c r="C7" s="126" t="s">
        <v>352</v>
      </c>
      <c r="D7" s="127" t="s">
        <v>356</v>
      </c>
      <c r="E7" s="203" t="s">
        <v>354</v>
      </c>
      <c r="F7" s="137">
        <v>100</v>
      </c>
      <c r="G7" s="133">
        <f t="shared" si="0"/>
        <v>100</v>
      </c>
      <c r="H7" s="165"/>
      <c r="I7" s="165"/>
      <c r="J7" s="164" t="s">
        <v>261</v>
      </c>
      <c r="K7" s="137">
        <f t="shared" si="1"/>
        <v>100</v>
      </c>
      <c r="L7" s="133">
        <f t="shared" si="2"/>
        <v>100</v>
      </c>
      <c r="M7" s="165"/>
      <c r="N7" s="165"/>
      <c r="O7" s="165"/>
      <c r="P7" s="165"/>
      <c r="Q7" s="165"/>
      <c r="R7" s="165"/>
      <c r="S7" s="136" t="s">
        <v>110</v>
      </c>
      <c r="T7" s="242"/>
      <c r="U7" s="87" t="s">
        <v>119</v>
      </c>
      <c r="V7" s="86" t="s">
        <v>234</v>
      </c>
      <c r="W7" s="103" t="s">
        <v>825</v>
      </c>
      <c r="X7" s="86">
        <v>2019</v>
      </c>
      <c r="Y7" s="85" t="s">
        <v>355</v>
      </c>
      <c r="Z7" s="74" t="s">
        <v>119</v>
      </c>
    </row>
    <row r="8" spans="1:26" s="52" customFormat="1" ht="36" customHeight="1" x14ac:dyDescent="0.5">
      <c r="A8" s="311"/>
      <c r="C8" s="126" t="s">
        <v>358</v>
      </c>
      <c r="D8" s="127" t="s">
        <v>359</v>
      </c>
      <c r="E8" s="203" t="s">
        <v>354</v>
      </c>
      <c r="F8" s="137">
        <v>2978</v>
      </c>
      <c r="G8" s="133">
        <f t="shared" si="0"/>
        <v>2978</v>
      </c>
      <c r="H8" s="165"/>
      <c r="I8" s="165"/>
      <c r="J8" s="164" t="s">
        <v>261</v>
      </c>
      <c r="K8" s="137">
        <f t="shared" si="1"/>
        <v>3300</v>
      </c>
      <c r="L8" s="133">
        <f t="shared" si="2"/>
        <v>3300</v>
      </c>
      <c r="M8" s="165"/>
      <c r="N8" s="165"/>
      <c r="O8" s="165"/>
      <c r="P8" s="165"/>
      <c r="Q8" s="165"/>
      <c r="R8" s="165"/>
      <c r="S8" s="136" t="s">
        <v>110</v>
      </c>
      <c r="T8" s="242"/>
      <c r="U8" s="87" t="s">
        <v>119</v>
      </c>
      <c r="V8" s="86" t="s">
        <v>234</v>
      </c>
      <c r="W8" s="103" t="s">
        <v>825</v>
      </c>
      <c r="X8" s="86">
        <v>2019</v>
      </c>
      <c r="Y8" s="85" t="s">
        <v>355</v>
      </c>
      <c r="Z8" s="74" t="s">
        <v>119</v>
      </c>
    </row>
    <row r="9" spans="1:26" s="52" customFormat="1" ht="36" customHeight="1" x14ac:dyDescent="0.5">
      <c r="A9" s="311"/>
      <c r="C9" s="126" t="s">
        <v>358</v>
      </c>
      <c r="D9" s="127" t="s">
        <v>360</v>
      </c>
      <c r="E9" s="203" t="s">
        <v>354</v>
      </c>
      <c r="F9" s="137">
        <v>198</v>
      </c>
      <c r="G9" s="133">
        <f t="shared" si="0"/>
        <v>198</v>
      </c>
      <c r="H9" s="165"/>
      <c r="I9" s="165"/>
      <c r="J9" s="164" t="s">
        <v>261</v>
      </c>
      <c r="K9" s="137">
        <f t="shared" si="1"/>
        <v>200</v>
      </c>
      <c r="L9" s="133">
        <f t="shared" si="2"/>
        <v>200</v>
      </c>
      <c r="M9" s="165"/>
      <c r="N9" s="165"/>
      <c r="O9" s="165"/>
      <c r="P9" s="165"/>
      <c r="Q9" s="165"/>
      <c r="R9" s="165"/>
      <c r="S9" s="136" t="s">
        <v>110</v>
      </c>
      <c r="T9" s="242"/>
      <c r="U9" s="87" t="s">
        <v>119</v>
      </c>
      <c r="V9" s="86" t="s">
        <v>234</v>
      </c>
      <c r="W9" s="103" t="s">
        <v>825</v>
      </c>
      <c r="X9" s="86">
        <v>2019</v>
      </c>
      <c r="Y9" s="85" t="s">
        <v>355</v>
      </c>
      <c r="Z9" s="74" t="s">
        <v>119</v>
      </c>
    </row>
    <row r="10" spans="1:26" s="52" customFormat="1" ht="36" customHeight="1" x14ac:dyDescent="0.5">
      <c r="A10" s="311"/>
      <c r="C10" s="126" t="s">
        <v>358</v>
      </c>
      <c r="D10" s="127" t="s">
        <v>361</v>
      </c>
      <c r="E10" s="203" t="s">
        <v>354</v>
      </c>
      <c r="F10" s="137">
        <v>1421</v>
      </c>
      <c r="G10" s="133">
        <f t="shared" si="0"/>
        <v>1421</v>
      </c>
      <c r="H10" s="165"/>
      <c r="I10" s="165"/>
      <c r="J10" s="164" t="s">
        <v>261</v>
      </c>
      <c r="K10" s="137">
        <f t="shared" si="1"/>
        <v>1600</v>
      </c>
      <c r="L10" s="133">
        <f t="shared" si="2"/>
        <v>1600</v>
      </c>
      <c r="M10" s="165"/>
      <c r="N10" s="165"/>
      <c r="O10" s="165"/>
      <c r="P10" s="165"/>
      <c r="Q10" s="165"/>
      <c r="R10" s="165"/>
      <c r="S10" s="136" t="s">
        <v>110</v>
      </c>
      <c r="T10" s="242"/>
      <c r="U10" s="87" t="s">
        <v>119</v>
      </c>
      <c r="V10" s="86" t="s">
        <v>234</v>
      </c>
      <c r="W10" s="103" t="s">
        <v>825</v>
      </c>
      <c r="X10" s="86">
        <v>2019</v>
      </c>
      <c r="Y10" s="85" t="s">
        <v>355</v>
      </c>
      <c r="Z10" s="74" t="s">
        <v>119</v>
      </c>
    </row>
    <row r="11" spans="1:26" s="52" customFormat="1" ht="36" customHeight="1" x14ac:dyDescent="0.5">
      <c r="A11" s="311"/>
      <c r="C11" s="126" t="s">
        <v>358</v>
      </c>
      <c r="D11" s="127" t="s">
        <v>362</v>
      </c>
      <c r="E11" s="203" t="s">
        <v>354</v>
      </c>
      <c r="F11" s="137">
        <v>3390</v>
      </c>
      <c r="G11" s="133">
        <f t="shared" si="0"/>
        <v>3390</v>
      </c>
      <c r="H11" s="165"/>
      <c r="I11" s="165"/>
      <c r="J11" s="164" t="s">
        <v>261</v>
      </c>
      <c r="K11" s="137">
        <f t="shared" si="1"/>
        <v>3700</v>
      </c>
      <c r="L11" s="133">
        <f t="shared" si="2"/>
        <v>3700</v>
      </c>
      <c r="M11" s="165"/>
      <c r="N11" s="165"/>
      <c r="O11" s="165"/>
      <c r="P11" s="165"/>
      <c r="Q11" s="165"/>
      <c r="R11" s="165"/>
      <c r="S11" s="136" t="s">
        <v>110</v>
      </c>
      <c r="T11" s="242"/>
      <c r="U11" s="87" t="s">
        <v>119</v>
      </c>
      <c r="V11" s="86" t="s">
        <v>234</v>
      </c>
      <c r="W11" s="103" t="s">
        <v>825</v>
      </c>
      <c r="X11" s="86">
        <v>2019</v>
      </c>
      <c r="Y11" s="85" t="s">
        <v>355</v>
      </c>
      <c r="Z11" s="74" t="s">
        <v>119</v>
      </c>
    </row>
    <row r="12" spans="1:26" s="52" customFormat="1" ht="36" customHeight="1" x14ac:dyDescent="0.5">
      <c r="A12" s="312"/>
      <c r="C12" s="126" t="s">
        <v>363</v>
      </c>
      <c r="D12" s="127" t="s">
        <v>364</v>
      </c>
      <c r="E12" s="203" t="s">
        <v>354</v>
      </c>
      <c r="F12" s="239">
        <v>277</v>
      </c>
      <c r="G12" s="240">
        <f t="shared" ref="G12:G19" si="3">F12</f>
        <v>277</v>
      </c>
      <c r="H12" s="165"/>
      <c r="I12" s="165"/>
      <c r="J12" s="241" t="s">
        <v>261</v>
      </c>
      <c r="K12" s="239">
        <f t="shared" ref="K12:K17" si="4">ROUND((F12*(_202021/_201819)),-2)</f>
        <v>300</v>
      </c>
      <c r="L12" s="240">
        <f t="shared" ref="L12:L17" si="5">K12</f>
        <v>300</v>
      </c>
      <c r="M12" s="165"/>
      <c r="N12" s="165"/>
      <c r="O12" s="165"/>
      <c r="P12" s="165"/>
      <c r="Q12" s="165"/>
      <c r="R12" s="165"/>
      <c r="S12" s="136" t="s">
        <v>110</v>
      </c>
      <c r="T12" s="242"/>
      <c r="U12" s="87" t="s">
        <v>119</v>
      </c>
      <c r="V12" s="86" t="s">
        <v>234</v>
      </c>
      <c r="W12" s="103" t="s">
        <v>825</v>
      </c>
      <c r="X12" s="86">
        <v>2019</v>
      </c>
      <c r="Y12" s="100" t="s">
        <v>355</v>
      </c>
      <c r="Z12" s="74" t="s">
        <v>119</v>
      </c>
    </row>
    <row r="13" spans="1:26" s="52" customFormat="1" ht="36" customHeight="1" x14ac:dyDescent="0.5">
      <c r="A13" s="312"/>
      <c r="C13" s="126" t="s">
        <v>363</v>
      </c>
      <c r="D13" s="127" t="s">
        <v>365</v>
      </c>
      <c r="E13" s="203" t="s">
        <v>354</v>
      </c>
      <c r="F13" s="137">
        <v>733</v>
      </c>
      <c r="G13" s="133">
        <f t="shared" si="3"/>
        <v>733</v>
      </c>
      <c r="H13" s="165"/>
      <c r="I13" s="165"/>
      <c r="J13" s="164" t="str">
        <f t="shared" ref="J13:J18" si="6">J12</f>
        <v>£s, 2018/19</v>
      </c>
      <c r="K13" s="137">
        <f t="shared" si="4"/>
        <v>800</v>
      </c>
      <c r="L13" s="133">
        <f t="shared" si="5"/>
        <v>800</v>
      </c>
      <c r="M13" s="165"/>
      <c r="N13" s="165"/>
      <c r="O13" s="165"/>
      <c r="P13" s="165"/>
      <c r="Q13" s="165"/>
      <c r="R13" s="165"/>
      <c r="S13" s="136" t="s">
        <v>110</v>
      </c>
      <c r="T13" s="242"/>
      <c r="U13" s="87" t="s">
        <v>119</v>
      </c>
      <c r="V13" s="86" t="s">
        <v>234</v>
      </c>
      <c r="W13" s="103" t="s">
        <v>825</v>
      </c>
      <c r="X13" s="86">
        <v>2019</v>
      </c>
      <c r="Y13" s="100" t="s">
        <v>355</v>
      </c>
      <c r="Z13" s="74" t="s">
        <v>119</v>
      </c>
    </row>
    <row r="14" spans="1:26" s="52" customFormat="1" ht="36" customHeight="1" x14ac:dyDescent="0.5">
      <c r="A14" s="312"/>
      <c r="C14" s="126" t="s">
        <v>363</v>
      </c>
      <c r="D14" s="127" t="s">
        <v>366</v>
      </c>
      <c r="E14" s="203" t="s">
        <v>354</v>
      </c>
      <c r="F14" s="137">
        <v>1358</v>
      </c>
      <c r="G14" s="133">
        <f t="shared" si="3"/>
        <v>1358</v>
      </c>
      <c r="H14" s="165"/>
      <c r="I14" s="165"/>
      <c r="J14" s="164" t="str">
        <f t="shared" si="6"/>
        <v>£s, 2018/19</v>
      </c>
      <c r="K14" s="137">
        <f t="shared" si="4"/>
        <v>1500</v>
      </c>
      <c r="L14" s="133">
        <f t="shared" si="5"/>
        <v>1500</v>
      </c>
      <c r="M14" s="165"/>
      <c r="N14" s="165"/>
      <c r="O14" s="165"/>
      <c r="P14" s="165"/>
      <c r="Q14" s="165"/>
      <c r="R14" s="165"/>
      <c r="S14" s="136" t="s">
        <v>110</v>
      </c>
      <c r="T14" s="242"/>
      <c r="U14" s="87" t="s">
        <v>119</v>
      </c>
      <c r="V14" s="86" t="s">
        <v>234</v>
      </c>
      <c r="W14" s="103" t="s">
        <v>825</v>
      </c>
      <c r="X14" s="86">
        <v>2019</v>
      </c>
      <c r="Y14" s="100" t="s">
        <v>355</v>
      </c>
      <c r="Z14" s="74" t="s">
        <v>119</v>
      </c>
    </row>
    <row r="15" spans="1:26" s="52" customFormat="1" ht="36" customHeight="1" x14ac:dyDescent="0.5">
      <c r="A15" s="312"/>
      <c r="C15" s="126" t="s">
        <v>363</v>
      </c>
      <c r="D15" s="127" t="s">
        <v>367</v>
      </c>
      <c r="E15" s="203" t="s">
        <v>354</v>
      </c>
      <c r="F15" s="137">
        <v>234</v>
      </c>
      <c r="G15" s="133">
        <f t="shared" si="3"/>
        <v>234</v>
      </c>
      <c r="H15" s="165"/>
      <c r="I15" s="165"/>
      <c r="J15" s="164" t="str">
        <f t="shared" si="6"/>
        <v>£s, 2018/19</v>
      </c>
      <c r="K15" s="137">
        <f t="shared" si="4"/>
        <v>300</v>
      </c>
      <c r="L15" s="133">
        <f t="shared" si="5"/>
        <v>300</v>
      </c>
      <c r="M15" s="165"/>
      <c r="N15" s="165"/>
      <c r="O15" s="165"/>
      <c r="P15" s="165"/>
      <c r="Q15" s="165"/>
      <c r="R15" s="165"/>
      <c r="S15" s="136" t="s">
        <v>110</v>
      </c>
      <c r="T15" s="242"/>
      <c r="U15" s="87" t="s">
        <v>119</v>
      </c>
      <c r="V15" s="86" t="s">
        <v>234</v>
      </c>
      <c r="W15" s="103" t="s">
        <v>825</v>
      </c>
      <c r="X15" s="86">
        <v>2019</v>
      </c>
      <c r="Y15" s="100" t="s">
        <v>355</v>
      </c>
      <c r="Z15" s="74" t="s">
        <v>119</v>
      </c>
    </row>
    <row r="16" spans="1:26" s="52" customFormat="1" ht="36" customHeight="1" x14ac:dyDescent="0.5">
      <c r="A16" s="312"/>
      <c r="C16" s="126" t="s">
        <v>363</v>
      </c>
      <c r="D16" s="127" t="s">
        <v>368</v>
      </c>
      <c r="E16" s="203" t="s">
        <v>354</v>
      </c>
      <c r="F16" s="137">
        <v>192</v>
      </c>
      <c r="G16" s="133">
        <f t="shared" si="3"/>
        <v>192</v>
      </c>
      <c r="H16" s="165"/>
      <c r="I16" s="165"/>
      <c r="J16" s="164" t="str">
        <f t="shared" si="6"/>
        <v>£s, 2018/19</v>
      </c>
      <c r="K16" s="137">
        <f t="shared" si="4"/>
        <v>200</v>
      </c>
      <c r="L16" s="133">
        <f t="shared" si="5"/>
        <v>200</v>
      </c>
      <c r="M16" s="165"/>
      <c r="N16" s="165"/>
      <c r="O16" s="165"/>
      <c r="P16" s="165"/>
      <c r="Q16" s="165"/>
      <c r="R16" s="165"/>
      <c r="S16" s="136" t="s">
        <v>110</v>
      </c>
      <c r="T16" s="242"/>
      <c r="U16" s="87" t="s">
        <v>119</v>
      </c>
      <c r="V16" s="86" t="s">
        <v>234</v>
      </c>
      <c r="W16" s="103" t="s">
        <v>825</v>
      </c>
      <c r="X16" s="86">
        <v>2019</v>
      </c>
      <c r="Y16" s="100" t="s">
        <v>355</v>
      </c>
      <c r="Z16" s="74" t="s">
        <v>119</v>
      </c>
    </row>
    <row r="17" spans="1:26" s="52" customFormat="1" ht="36" customHeight="1" x14ac:dyDescent="0.5">
      <c r="A17" s="312"/>
      <c r="C17" s="126" t="s">
        <v>363</v>
      </c>
      <c r="D17" s="127" t="s">
        <v>369</v>
      </c>
      <c r="E17" s="203" t="s">
        <v>354</v>
      </c>
      <c r="F17" s="137">
        <v>307</v>
      </c>
      <c r="G17" s="133">
        <f t="shared" si="3"/>
        <v>307</v>
      </c>
      <c r="H17" s="165"/>
      <c r="I17" s="165"/>
      <c r="J17" s="164" t="str">
        <f t="shared" si="6"/>
        <v>£s, 2018/19</v>
      </c>
      <c r="K17" s="137">
        <f t="shared" si="4"/>
        <v>300</v>
      </c>
      <c r="L17" s="133">
        <f t="shared" si="5"/>
        <v>300</v>
      </c>
      <c r="M17" s="165"/>
      <c r="N17" s="165"/>
      <c r="O17" s="165"/>
      <c r="P17" s="165"/>
      <c r="Q17" s="165"/>
      <c r="R17" s="165"/>
      <c r="S17" s="136" t="s">
        <v>110</v>
      </c>
      <c r="T17" s="242"/>
      <c r="U17" s="87" t="s">
        <v>119</v>
      </c>
      <c r="V17" s="86" t="s">
        <v>234</v>
      </c>
      <c r="W17" s="103" t="s">
        <v>825</v>
      </c>
      <c r="X17" s="86">
        <v>2019</v>
      </c>
      <c r="Y17" s="100" t="s">
        <v>355</v>
      </c>
      <c r="Z17" s="74" t="s">
        <v>119</v>
      </c>
    </row>
    <row r="18" spans="1:26" s="52" customFormat="1" ht="36" customHeight="1" x14ac:dyDescent="0.5">
      <c r="A18" s="312"/>
      <c r="C18" s="126" t="s">
        <v>363</v>
      </c>
      <c r="D18" s="127" t="s">
        <v>166</v>
      </c>
      <c r="E18" s="203" t="s">
        <v>370</v>
      </c>
      <c r="F18" s="137">
        <v>229</v>
      </c>
      <c r="G18" s="133">
        <f t="shared" si="3"/>
        <v>229</v>
      </c>
      <c r="H18" s="165"/>
      <c r="I18" s="165"/>
      <c r="J18" s="164" t="str">
        <f t="shared" si="6"/>
        <v>£s, 2018/19</v>
      </c>
      <c r="K18" s="137">
        <f>ROUND((F18*(_202021/_201819)),-2)</f>
        <v>300</v>
      </c>
      <c r="L18" s="133">
        <f>K18</f>
        <v>300</v>
      </c>
      <c r="M18" s="165"/>
      <c r="N18" s="165"/>
      <c r="O18" s="165"/>
      <c r="P18" s="165"/>
      <c r="Q18" s="165"/>
      <c r="R18" s="165"/>
      <c r="S18" s="136" t="s">
        <v>110</v>
      </c>
      <c r="T18" s="242"/>
      <c r="U18" s="87" t="s">
        <v>335</v>
      </c>
      <c r="V18" s="86" t="s">
        <v>234</v>
      </c>
      <c r="W18" s="103" t="s">
        <v>825</v>
      </c>
      <c r="X18" s="86">
        <v>2019</v>
      </c>
      <c r="Y18" s="100" t="s">
        <v>355</v>
      </c>
      <c r="Z18" s="74" t="s">
        <v>119</v>
      </c>
    </row>
    <row r="19" spans="1:26" s="52" customFormat="1" ht="36" customHeight="1" x14ac:dyDescent="0.5">
      <c r="A19" s="312"/>
      <c r="C19" s="126" t="s">
        <v>363</v>
      </c>
      <c r="D19" s="127" t="s">
        <v>167</v>
      </c>
      <c r="E19" s="203" t="s">
        <v>370</v>
      </c>
      <c r="F19" s="137">
        <v>1126</v>
      </c>
      <c r="G19" s="133">
        <f t="shared" si="3"/>
        <v>1126</v>
      </c>
      <c r="H19" s="165"/>
      <c r="I19" s="165"/>
      <c r="J19" s="164" t="s">
        <v>261</v>
      </c>
      <c r="K19" s="137">
        <f>ROUND((F19*(_202021/_201819)),-2)</f>
        <v>1200</v>
      </c>
      <c r="L19" s="133">
        <f>K19</f>
        <v>1200</v>
      </c>
      <c r="M19" s="165"/>
      <c r="N19" s="165"/>
      <c r="O19" s="165"/>
      <c r="P19" s="165"/>
      <c r="Q19" s="165"/>
      <c r="R19" s="165"/>
      <c r="S19" s="136" t="s">
        <v>110</v>
      </c>
      <c r="T19" s="242"/>
      <c r="U19" s="87" t="s">
        <v>335</v>
      </c>
      <c r="V19" s="86" t="s">
        <v>234</v>
      </c>
      <c r="W19" s="103" t="s">
        <v>825</v>
      </c>
      <c r="X19" s="86">
        <v>2019</v>
      </c>
      <c r="Y19" s="100" t="s">
        <v>355</v>
      </c>
      <c r="Z19" s="74" t="s">
        <v>371</v>
      </c>
    </row>
    <row r="20" spans="1:26" s="52" customFormat="1" ht="36" customHeight="1" x14ac:dyDescent="0.5">
      <c r="A20" s="312"/>
      <c r="C20" s="126" t="s">
        <v>210</v>
      </c>
      <c r="D20" s="127" t="s">
        <v>170</v>
      </c>
      <c r="E20" s="203" t="s">
        <v>337</v>
      </c>
      <c r="F20" s="137"/>
      <c r="G20" s="133"/>
      <c r="H20" s="165"/>
      <c r="I20" s="165"/>
      <c r="J20" s="164"/>
      <c r="K20" s="137">
        <f>L20</f>
        <v>2800</v>
      </c>
      <c r="L20" s="133">
        <v>2800</v>
      </c>
      <c r="M20" s="165"/>
      <c r="N20" s="165"/>
      <c r="O20" s="165"/>
      <c r="P20" s="165"/>
      <c r="Q20" s="165"/>
      <c r="R20" s="165"/>
      <c r="S20" s="136" t="s">
        <v>109</v>
      </c>
      <c r="T20" s="242"/>
      <c r="U20" s="87" t="s">
        <v>335</v>
      </c>
      <c r="V20" s="86" t="s">
        <v>234</v>
      </c>
      <c r="W20" s="84" t="s">
        <v>372</v>
      </c>
      <c r="X20" s="86"/>
      <c r="Y20" s="100"/>
      <c r="Z20" s="74"/>
    </row>
    <row r="21" spans="1:26" s="52" customFormat="1" ht="36" customHeight="1" x14ac:dyDescent="0.5">
      <c r="A21" s="312"/>
      <c r="C21" s="126" t="s">
        <v>210</v>
      </c>
      <c r="D21" s="127" t="s">
        <v>171</v>
      </c>
      <c r="E21" s="203" t="s">
        <v>337</v>
      </c>
      <c r="F21" s="137"/>
      <c r="G21" s="133"/>
      <c r="H21" s="165"/>
      <c r="I21" s="165"/>
      <c r="J21" s="164"/>
      <c r="K21" s="137">
        <f t="shared" ref="K21:K25" si="7">L21</f>
        <v>1100</v>
      </c>
      <c r="L21" s="133">
        <v>1100</v>
      </c>
      <c r="M21" s="165"/>
      <c r="N21" s="165"/>
      <c r="O21" s="165"/>
      <c r="P21" s="165"/>
      <c r="Q21" s="165"/>
      <c r="R21" s="165"/>
      <c r="S21" s="136" t="s">
        <v>109</v>
      </c>
      <c r="T21" s="242"/>
      <c r="U21" s="87" t="s">
        <v>335</v>
      </c>
      <c r="V21" s="86" t="s">
        <v>234</v>
      </c>
      <c r="W21" s="84" t="s">
        <v>372</v>
      </c>
      <c r="X21" s="86"/>
      <c r="Y21" s="100"/>
      <c r="Z21" s="74"/>
    </row>
    <row r="22" spans="1:26" s="52" customFormat="1" ht="36" customHeight="1" x14ac:dyDescent="0.5">
      <c r="A22" s="312"/>
      <c r="C22" s="126" t="s">
        <v>210</v>
      </c>
      <c r="D22" s="127" t="s">
        <v>172</v>
      </c>
      <c r="E22" s="203" t="s">
        <v>337</v>
      </c>
      <c r="F22" s="137"/>
      <c r="G22" s="133"/>
      <c r="H22" s="165"/>
      <c r="I22" s="165"/>
      <c r="J22" s="164"/>
      <c r="K22" s="137">
        <f t="shared" si="7"/>
        <v>1300</v>
      </c>
      <c r="L22" s="133">
        <v>1300</v>
      </c>
      <c r="M22" s="165"/>
      <c r="N22" s="165"/>
      <c r="O22" s="165"/>
      <c r="P22" s="165"/>
      <c r="Q22" s="165"/>
      <c r="R22" s="165"/>
      <c r="S22" s="136" t="s">
        <v>109</v>
      </c>
      <c r="T22" s="242"/>
      <c r="U22" s="87" t="s">
        <v>335</v>
      </c>
      <c r="V22" s="86" t="s">
        <v>234</v>
      </c>
      <c r="W22" s="84" t="s">
        <v>372</v>
      </c>
      <c r="X22" s="86"/>
      <c r="Y22" s="100"/>
      <c r="Z22" s="74"/>
    </row>
    <row r="23" spans="1:26" s="52" customFormat="1" ht="36" customHeight="1" x14ac:dyDescent="0.5">
      <c r="A23" s="312"/>
      <c r="C23" s="126" t="s">
        <v>210</v>
      </c>
      <c r="D23" s="127" t="s">
        <v>173</v>
      </c>
      <c r="E23" s="203" t="s">
        <v>373</v>
      </c>
      <c r="F23" s="137"/>
      <c r="G23" s="133"/>
      <c r="H23" s="165"/>
      <c r="I23" s="165"/>
      <c r="J23" s="164"/>
      <c r="K23" s="137">
        <f t="shared" si="7"/>
        <v>2100</v>
      </c>
      <c r="L23" s="133">
        <v>2100</v>
      </c>
      <c r="M23" s="165"/>
      <c r="N23" s="165"/>
      <c r="O23" s="165"/>
      <c r="P23" s="165"/>
      <c r="Q23" s="165"/>
      <c r="R23" s="165"/>
      <c r="S23" s="136" t="s">
        <v>109</v>
      </c>
      <c r="T23" s="242"/>
      <c r="U23" s="87" t="s">
        <v>335</v>
      </c>
      <c r="V23" s="86" t="s">
        <v>234</v>
      </c>
      <c r="W23" s="84" t="s">
        <v>372</v>
      </c>
      <c r="X23" s="86"/>
      <c r="Y23" s="100"/>
      <c r="Z23" s="74"/>
    </row>
    <row r="24" spans="1:26" s="52" customFormat="1" ht="36" customHeight="1" x14ac:dyDescent="0.5">
      <c r="A24" s="312"/>
      <c r="C24" s="126" t="s">
        <v>210</v>
      </c>
      <c r="D24" s="127" t="s">
        <v>174</v>
      </c>
      <c r="E24" s="203" t="s">
        <v>337</v>
      </c>
      <c r="F24" s="137"/>
      <c r="G24" s="133"/>
      <c r="H24" s="165"/>
      <c r="I24" s="165"/>
      <c r="J24" s="164"/>
      <c r="K24" s="137">
        <f t="shared" si="7"/>
        <v>2400</v>
      </c>
      <c r="L24" s="133">
        <v>2400</v>
      </c>
      <c r="M24" s="165"/>
      <c r="N24" s="165"/>
      <c r="O24" s="165"/>
      <c r="P24" s="165"/>
      <c r="Q24" s="165"/>
      <c r="R24" s="165"/>
      <c r="S24" s="136" t="s">
        <v>109</v>
      </c>
      <c r="T24" s="242"/>
      <c r="U24" s="87" t="s">
        <v>335</v>
      </c>
      <c r="V24" s="86" t="s">
        <v>234</v>
      </c>
      <c r="W24" s="84" t="s">
        <v>372</v>
      </c>
      <c r="X24" s="86"/>
      <c r="Y24" s="100"/>
      <c r="Z24" s="74"/>
    </row>
    <row r="25" spans="1:26" s="52" customFormat="1" ht="36" customHeight="1" thickBot="1" x14ac:dyDescent="0.55000000000000004">
      <c r="A25" s="312"/>
      <c r="C25" s="130" t="s">
        <v>210</v>
      </c>
      <c r="D25" s="131" t="s">
        <v>175</v>
      </c>
      <c r="E25" s="289" t="s">
        <v>337</v>
      </c>
      <c r="F25" s="290"/>
      <c r="G25" s="135"/>
      <c r="H25" s="168"/>
      <c r="I25" s="168"/>
      <c r="J25" s="237"/>
      <c r="K25" s="290">
        <f t="shared" si="7"/>
        <v>9800</v>
      </c>
      <c r="L25" s="135">
        <v>9800</v>
      </c>
      <c r="M25" s="168"/>
      <c r="N25" s="168"/>
      <c r="O25" s="168"/>
      <c r="P25" s="168"/>
      <c r="Q25" s="168"/>
      <c r="R25" s="168"/>
      <c r="S25" s="270" t="s">
        <v>109</v>
      </c>
      <c r="T25" s="242"/>
      <c r="U25" s="88" t="s">
        <v>335</v>
      </c>
      <c r="V25" s="89" t="s">
        <v>234</v>
      </c>
      <c r="W25" s="93" t="s">
        <v>372</v>
      </c>
      <c r="X25" s="89"/>
      <c r="Y25" s="152"/>
      <c r="Z25" s="78"/>
    </row>
    <row r="26" spans="1:26" s="52" customFormat="1" ht="36" hidden="1" customHeight="1" x14ac:dyDescent="0.5">
      <c r="A26" s="312"/>
      <c r="C26" s="125" t="s">
        <v>374</v>
      </c>
      <c r="D26" s="125"/>
      <c r="E26" s="206"/>
      <c r="F26" s="287"/>
      <c r="G26" s="143"/>
      <c r="H26" s="163"/>
      <c r="I26" s="163"/>
      <c r="J26" s="162"/>
      <c r="K26" s="287"/>
      <c r="L26" s="143"/>
      <c r="M26" s="163"/>
      <c r="N26" s="163"/>
      <c r="O26" s="163"/>
      <c r="P26" s="163"/>
      <c r="Q26" s="163"/>
      <c r="R26" s="163"/>
      <c r="S26" s="288"/>
      <c r="T26" s="242"/>
      <c r="U26" s="102" t="s">
        <v>335</v>
      </c>
      <c r="V26" s="102"/>
      <c r="W26" s="103"/>
      <c r="X26" s="102"/>
      <c r="Y26" s="104"/>
      <c r="Z26" s="286"/>
    </row>
    <row r="27" spans="1:26" s="52" customFormat="1" ht="36" hidden="1" customHeight="1" x14ac:dyDescent="0.5">
      <c r="A27" s="312"/>
      <c r="C27" s="127" t="s">
        <v>374</v>
      </c>
      <c r="D27" s="127"/>
      <c r="E27" s="203"/>
      <c r="F27" s="137"/>
      <c r="G27" s="133"/>
      <c r="H27" s="165"/>
      <c r="I27" s="165"/>
      <c r="J27" s="164"/>
      <c r="K27" s="137"/>
      <c r="L27" s="133"/>
      <c r="M27" s="165"/>
      <c r="N27" s="165"/>
      <c r="O27" s="165"/>
      <c r="P27" s="165"/>
      <c r="Q27" s="165"/>
      <c r="R27" s="165"/>
      <c r="S27" s="235"/>
      <c r="T27" s="242"/>
      <c r="U27" s="86" t="s">
        <v>335</v>
      </c>
      <c r="V27" s="86"/>
      <c r="W27" s="84"/>
      <c r="X27" s="86"/>
      <c r="Y27" s="100"/>
      <c r="Z27" s="112"/>
    </row>
    <row r="28" spans="1:26" s="52" customFormat="1" ht="36" hidden="1" customHeight="1" x14ac:dyDescent="0.5">
      <c r="A28" s="312"/>
      <c r="C28" s="127" t="s">
        <v>374</v>
      </c>
      <c r="D28" s="127"/>
      <c r="E28" s="203"/>
      <c r="F28" s="137"/>
      <c r="G28" s="133"/>
      <c r="H28" s="165"/>
      <c r="I28" s="165"/>
      <c r="J28" s="164"/>
      <c r="K28" s="137"/>
      <c r="L28" s="133"/>
      <c r="M28" s="165"/>
      <c r="N28" s="165"/>
      <c r="O28" s="165"/>
      <c r="P28" s="165"/>
      <c r="Q28" s="165"/>
      <c r="R28" s="165"/>
      <c r="S28" s="235"/>
      <c r="T28" s="242"/>
      <c r="U28" s="86" t="s">
        <v>335</v>
      </c>
      <c r="V28" s="86"/>
      <c r="W28" s="84"/>
      <c r="X28" s="86"/>
      <c r="Y28" s="100"/>
      <c r="Z28" s="112"/>
    </row>
    <row r="29" spans="1:26" s="52" customFormat="1" ht="36" hidden="1" customHeight="1" x14ac:dyDescent="0.5">
      <c r="A29" s="312"/>
      <c r="C29" s="127" t="s">
        <v>375</v>
      </c>
      <c r="D29" s="127" t="s">
        <v>376</v>
      </c>
      <c r="E29" s="203" t="s">
        <v>377</v>
      </c>
      <c r="F29" s="137"/>
      <c r="G29" s="133"/>
      <c r="H29" s="165"/>
      <c r="I29" s="165"/>
      <c r="J29" s="164"/>
      <c r="K29" s="249"/>
      <c r="L29" s="250"/>
      <c r="M29" s="165"/>
      <c r="N29" s="165"/>
      <c r="O29" s="165"/>
      <c r="P29" s="165"/>
      <c r="Q29" s="165"/>
      <c r="R29" s="165"/>
      <c r="S29" s="235" t="s">
        <v>110</v>
      </c>
      <c r="T29" s="242"/>
      <c r="U29" s="86" t="s">
        <v>335</v>
      </c>
      <c r="V29" s="86"/>
      <c r="W29" s="84"/>
      <c r="X29" s="86"/>
      <c r="Y29" s="100"/>
      <c r="Z29" s="112"/>
    </row>
    <row r="30" spans="1:26" s="52" customFormat="1" ht="36" hidden="1" customHeight="1" x14ac:dyDescent="0.5">
      <c r="A30" s="312"/>
      <c r="C30" s="127" t="s">
        <v>375</v>
      </c>
      <c r="D30" s="127" t="s">
        <v>378</v>
      </c>
      <c r="E30" s="203" t="s">
        <v>377</v>
      </c>
      <c r="F30" s="137"/>
      <c r="G30" s="133"/>
      <c r="H30" s="165"/>
      <c r="I30" s="165"/>
      <c r="J30" s="164"/>
      <c r="K30" s="249"/>
      <c r="L30" s="250"/>
      <c r="M30" s="165"/>
      <c r="N30" s="165"/>
      <c r="O30" s="165"/>
      <c r="P30" s="165"/>
      <c r="Q30" s="165"/>
      <c r="R30" s="165"/>
      <c r="S30" s="235" t="s">
        <v>110</v>
      </c>
      <c r="T30" s="242"/>
      <c r="U30" s="86" t="s">
        <v>335</v>
      </c>
      <c r="V30" s="86"/>
      <c r="W30" s="84"/>
      <c r="X30" s="86"/>
      <c r="Y30" s="100"/>
      <c r="Z30" s="112"/>
    </row>
    <row r="31" spans="1:26" s="52" customFormat="1" ht="36" hidden="1" customHeight="1" x14ac:dyDescent="0.5">
      <c r="A31" s="312"/>
      <c r="C31" s="127" t="s">
        <v>375</v>
      </c>
      <c r="D31" s="127" t="s">
        <v>379</v>
      </c>
      <c r="E31" s="203" t="s">
        <v>377</v>
      </c>
      <c r="F31" s="137"/>
      <c r="G31" s="133"/>
      <c r="H31" s="165"/>
      <c r="I31" s="165"/>
      <c r="J31" s="164"/>
      <c r="K31" s="249"/>
      <c r="L31" s="250"/>
      <c r="M31" s="165"/>
      <c r="N31" s="165"/>
      <c r="O31" s="165"/>
      <c r="P31" s="165"/>
      <c r="Q31" s="165"/>
      <c r="R31" s="165"/>
      <c r="S31" s="235" t="s">
        <v>110</v>
      </c>
      <c r="T31" s="242"/>
      <c r="U31" s="86" t="s">
        <v>335</v>
      </c>
      <c r="V31" s="86"/>
      <c r="W31" s="84"/>
      <c r="X31" s="86"/>
      <c r="Y31" s="100"/>
      <c r="Z31" s="112"/>
    </row>
    <row r="32" spans="1:26" s="52" customFormat="1" ht="36" hidden="1" customHeight="1" x14ac:dyDescent="0.5">
      <c r="A32" s="312"/>
      <c r="C32" s="127" t="s">
        <v>375</v>
      </c>
      <c r="D32" s="127" t="s">
        <v>360</v>
      </c>
      <c r="E32" s="203" t="s">
        <v>377</v>
      </c>
      <c r="F32" s="137"/>
      <c r="G32" s="133"/>
      <c r="H32" s="165"/>
      <c r="I32" s="165"/>
      <c r="J32" s="164"/>
      <c r="K32" s="249"/>
      <c r="L32" s="250"/>
      <c r="M32" s="165"/>
      <c r="N32" s="165"/>
      <c r="O32" s="165"/>
      <c r="P32" s="165"/>
      <c r="Q32" s="165"/>
      <c r="R32" s="165"/>
      <c r="S32" s="235" t="s">
        <v>110</v>
      </c>
      <c r="T32" s="242"/>
      <c r="U32" s="86" t="s">
        <v>335</v>
      </c>
      <c r="V32" s="86"/>
      <c r="W32" s="84"/>
      <c r="X32" s="86"/>
      <c r="Y32" s="100"/>
      <c r="Z32" s="112"/>
    </row>
    <row r="33" spans="1:26" s="52" customFormat="1" ht="36" hidden="1" customHeight="1" x14ac:dyDescent="0.5">
      <c r="A33" s="312"/>
      <c r="C33" s="127" t="s">
        <v>375</v>
      </c>
      <c r="D33" s="127" t="s">
        <v>380</v>
      </c>
      <c r="E33" s="203" t="s">
        <v>377</v>
      </c>
      <c r="F33" s="137"/>
      <c r="G33" s="133"/>
      <c r="H33" s="165"/>
      <c r="I33" s="165"/>
      <c r="J33" s="164"/>
      <c r="K33" s="249"/>
      <c r="L33" s="250"/>
      <c r="M33" s="165"/>
      <c r="N33" s="165"/>
      <c r="O33" s="165"/>
      <c r="P33" s="165"/>
      <c r="Q33" s="165"/>
      <c r="R33" s="165"/>
      <c r="S33" s="235" t="s">
        <v>110</v>
      </c>
      <c r="T33" s="242"/>
      <c r="U33" s="86" t="s">
        <v>335</v>
      </c>
      <c r="V33" s="86"/>
      <c r="W33" s="84"/>
      <c r="X33" s="86"/>
      <c r="Y33" s="100"/>
      <c r="Z33" s="112"/>
    </row>
    <row r="34" spans="1:26" s="52" customFormat="1" ht="36" hidden="1" customHeight="1" x14ac:dyDescent="0.5">
      <c r="A34" s="312"/>
      <c r="C34" s="127" t="s">
        <v>381</v>
      </c>
      <c r="D34" s="127" t="s">
        <v>382</v>
      </c>
      <c r="E34" s="203" t="s">
        <v>377</v>
      </c>
      <c r="F34" s="137"/>
      <c r="G34" s="133"/>
      <c r="H34" s="165"/>
      <c r="I34" s="165"/>
      <c r="J34" s="164"/>
      <c r="K34" s="249"/>
      <c r="L34" s="250"/>
      <c r="M34" s="165"/>
      <c r="N34" s="165"/>
      <c r="O34" s="165"/>
      <c r="P34" s="165"/>
      <c r="Q34" s="165"/>
      <c r="R34" s="165"/>
      <c r="S34" s="235" t="s">
        <v>110</v>
      </c>
      <c r="T34" s="242"/>
      <c r="U34" s="86" t="s">
        <v>335</v>
      </c>
      <c r="V34" s="86"/>
      <c r="W34" s="84"/>
      <c r="X34" s="86"/>
      <c r="Y34" s="100"/>
      <c r="Z34" s="112"/>
    </row>
    <row r="35" spans="1:26" s="52" customFormat="1" ht="36" hidden="1" customHeight="1" x14ac:dyDescent="0.5">
      <c r="A35" s="312"/>
      <c r="C35" s="127" t="s">
        <v>383</v>
      </c>
      <c r="D35" s="127" t="s">
        <v>384</v>
      </c>
      <c r="E35" s="203" t="s">
        <v>385</v>
      </c>
      <c r="F35" s="137"/>
      <c r="G35" s="133"/>
      <c r="H35" s="165"/>
      <c r="I35" s="165"/>
      <c r="J35" s="164"/>
      <c r="K35" s="249"/>
      <c r="L35" s="250"/>
      <c r="M35" s="165"/>
      <c r="N35" s="165"/>
      <c r="O35" s="165"/>
      <c r="P35" s="165"/>
      <c r="Q35" s="165"/>
      <c r="R35" s="165"/>
      <c r="S35" s="235" t="s">
        <v>110</v>
      </c>
      <c r="T35" s="242"/>
      <c r="U35" s="86" t="s">
        <v>335</v>
      </c>
      <c r="V35" s="86"/>
      <c r="W35" s="84"/>
      <c r="X35" s="86"/>
      <c r="Y35" s="100"/>
      <c r="Z35" s="112"/>
    </row>
    <row r="36" spans="1:26" ht="15.3" hidden="1" x14ac:dyDescent="0.55000000000000004">
      <c r="A36" s="312"/>
      <c r="U36" s="86" t="s">
        <v>335</v>
      </c>
    </row>
    <row r="37" spans="1:26" ht="15.3" hidden="1" x14ac:dyDescent="0.55000000000000004">
      <c r="A37" s="312"/>
      <c r="U37" s="86" t="s">
        <v>335</v>
      </c>
    </row>
    <row r="38" spans="1:26" ht="15.3" hidden="1" x14ac:dyDescent="0.55000000000000004">
      <c r="A38" s="312"/>
      <c r="D38" s="39" t="s">
        <v>386</v>
      </c>
      <c r="U38" s="86" t="s">
        <v>335</v>
      </c>
    </row>
    <row r="39" spans="1:26" ht="15.3" hidden="1" x14ac:dyDescent="0.55000000000000004">
      <c r="A39" s="312"/>
      <c r="D39" s="39" t="s">
        <v>387</v>
      </c>
      <c r="U39" s="86" t="s">
        <v>335</v>
      </c>
    </row>
    <row r="40" spans="1:26" ht="15.3" hidden="1" x14ac:dyDescent="0.55000000000000004">
      <c r="A40" s="312"/>
      <c r="D40" s="39" t="s">
        <v>388</v>
      </c>
      <c r="U40" s="86" t="s">
        <v>335</v>
      </c>
    </row>
    <row r="41" spans="1:26" ht="15.3" x14ac:dyDescent="0.55000000000000004">
      <c r="A41" s="312"/>
    </row>
    <row r="42" spans="1:26" ht="15.3" x14ac:dyDescent="0.55000000000000004">
      <c r="A42" s="312"/>
    </row>
  </sheetData>
  <autoFilter ref="C4:D5" xr:uid="{168E44B4-FB6D-4F29-A5A6-3FDA830D29C2}"/>
  <mergeCells count="13">
    <mergeCell ref="C3:N3"/>
    <mergeCell ref="Z4:Z5"/>
    <mergeCell ref="O4:R4"/>
    <mergeCell ref="S4:S5"/>
    <mergeCell ref="U4:U5"/>
    <mergeCell ref="V4:V5"/>
    <mergeCell ref="W4:Y4"/>
    <mergeCell ref="K4:N4"/>
    <mergeCell ref="C4:C5"/>
    <mergeCell ref="D4:D5"/>
    <mergeCell ref="E4:E5"/>
    <mergeCell ref="F4:I4"/>
    <mergeCell ref="J4:J5"/>
  </mergeCells>
  <hyperlinks>
    <hyperlink ref="Y6" r:id="rId1" xr:uid="{5CEC749B-E45A-4AA0-97A7-2DEEBBE2E4AC}"/>
    <hyperlink ref="Y7" r:id="rId2" xr:uid="{31FE1672-82CE-489E-AEE6-D0E179BB94D0}"/>
    <hyperlink ref="Y8" r:id="rId3" xr:uid="{1AA4BBA1-2456-458F-A1C9-6E6FCFB5CDD1}"/>
    <hyperlink ref="Y9" r:id="rId4" xr:uid="{2AE1BD4C-274C-4351-A212-081E459A87ED}"/>
    <hyperlink ref="Y10" r:id="rId5" xr:uid="{A6241622-81D5-4639-BF31-A304BE1FCE86}"/>
    <hyperlink ref="Y11" r:id="rId6" xr:uid="{7AC22E1C-4F17-46E6-B12F-F19818E68C7F}"/>
    <hyperlink ref="Y19" r:id="rId7" xr:uid="{7665F187-9A3D-4418-9CE0-9592CC7EBF99}"/>
    <hyperlink ref="Y13" r:id="rId8" xr:uid="{29C19049-7D5F-4C85-9F3E-B5A96DFD064A}"/>
    <hyperlink ref="Y14" r:id="rId9" xr:uid="{EF443339-8BC4-40B8-B034-D900C5F13DEE}"/>
    <hyperlink ref="Y15" r:id="rId10" xr:uid="{4CA73D08-1D2B-41DA-8C4E-3398D979AD32}"/>
    <hyperlink ref="Y16" r:id="rId11" xr:uid="{85DAC791-1A9C-4E25-9F5A-15F251C105CC}"/>
    <hyperlink ref="Y17" r:id="rId12" xr:uid="{E636B455-627D-482A-817F-C81D388AC2FB}"/>
    <hyperlink ref="Y12" r:id="rId13" xr:uid="{64663DFF-C304-4ACB-8C8A-939BF62E4FD4}"/>
    <hyperlink ref="Y18" r:id="rId14" xr:uid="{BDA774DC-F4ED-4E48-918A-0128D2AA0C6F}"/>
  </hyperlinks>
  <pageMargins left="0.7" right="0.7" top="0.75" bottom="0.75" header="0.3" footer="0.3"/>
  <pageSetup paperSize="9" orientation="portrait" r:id="rId15"/>
  <drawing r:id="rId16"/>
  <legacyDrawing r:id="rId17"/>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66397-8646-4360-B4D1-4F4A58448607}">
  <sheetPr codeName="Sheet7">
    <tabColor theme="7"/>
  </sheetPr>
  <dimension ref="A1:Z44"/>
  <sheetViews>
    <sheetView zoomScale="90" zoomScaleNormal="90" workbookViewId="0">
      <pane xSplit="5" ySplit="5" topLeftCell="F6" activePane="bottomRight" state="frozen"/>
      <selection pane="topRight" activeCell="S15" sqref="S15"/>
      <selection pane="bottomLeft" activeCell="S15" sqref="S15"/>
      <selection pane="bottomRight"/>
    </sheetView>
  </sheetViews>
  <sheetFormatPr defaultColWidth="8.7890625" defaultRowHeight="40.5" customHeight="1" outlineLevelRow="1" outlineLevelCol="1" x14ac:dyDescent="0.55000000000000004"/>
  <cols>
    <col min="1" max="1" width="34" style="313" customWidth="1"/>
    <col min="2" max="2" width="5.89453125" style="52" customWidth="1"/>
    <col min="3" max="3" width="19.7890625" style="58" customWidth="1"/>
    <col min="4" max="4" width="19.5234375" style="227" customWidth="1"/>
    <col min="5" max="5" width="22.20703125" style="228" customWidth="1"/>
    <col min="6" max="9" width="17.41796875" style="229" hidden="1" customWidth="1" outlineLevel="1"/>
    <col min="10" max="10" width="17.41796875" style="52" hidden="1" customWidth="1" outlineLevel="1"/>
    <col min="11" max="11" width="17.41796875" style="227" customWidth="1" collapsed="1"/>
    <col min="12" max="14" width="17.41796875" style="227" customWidth="1"/>
    <col min="15" max="18" width="17.41796875" style="227" hidden="1" customWidth="1" outlineLevel="1"/>
    <col min="19" max="19" width="17.41796875" style="52" customWidth="1" collapsed="1"/>
    <col min="20" max="20" width="11.7890625" style="52" customWidth="1"/>
    <col min="21" max="22" width="18.7890625" style="52" customWidth="1"/>
    <col min="23" max="23" width="78.20703125" style="227" customWidth="1"/>
    <col min="24" max="24" width="13.7890625" style="52" customWidth="1"/>
    <col min="25" max="25" width="73.5234375" style="52" customWidth="1"/>
    <col min="26" max="26" width="148" style="227" customWidth="1"/>
    <col min="27" max="16384" width="8.7890625" style="52"/>
  </cols>
  <sheetData>
    <row r="1" spans="1:26" s="39" customFormat="1" ht="14.4" x14ac:dyDescent="0.55000000000000004">
      <c r="A1" s="313"/>
      <c r="E1" s="498"/>
      <c r="S1" s="499"/>
      <c r="Z1" s="500"/>
    </row>
    <row r="2" spans="1:26" s="39" customFormat="1" ht="32.700000000000003" x14ac:dyDescent="0.55000000000000004">
      <c r="A2" s="310"/>
      <c r="C2" s="309" t="s">
        <v>389</v>
      </c>
      <c r="E2" s="498"/>
      <c r="S2" s="499"/>
      <c r="Z2" s="500"/>
    </row>
    <row r="3" spans="1:26" s="39" customFormat="1" ht="52.95" customHeight="1" thickBot="1" x14ac:dyDescent="0.6">
      <c r="A3" s="310"/>
      <c r="C3" s="657" t="s">
        <v>823</v>
      </c>
      <c r="D3" s="657"/>
      <c r="E3" s="657"/>
      <c r="F3" s="657"/>
      <c r="G3" s="657"/>
      <c r="H3" s="657"/>
      <c r="I3" s="657"/>
      <c r="J3" s="657"/>
      <c r="K3" s="657"/>
      <c r="L3" s="657"/>
      <c r="M3" s="657"/>
      <c r="N3" s="657"/>
      <c r="S3" s="499"/>
      <c r="Z3" s="500"/>
    </row>
    <row r="4" spans="1:26" ht="16.95" customHeight="1" x14ac:dyDescent="0.55000000000000004">
      <c r="A4" s="310"/>
      <c r="C4" s="721" t="s">
        <v>214</v>
      </c>
      <c r="D4" s="679" t="s">
        <v>215</v>
      </c>
      <c r="E4" s="681" t="s">
        <v>216</v>
      </c>
      <c r="F4" s="676" t="s">
        <v>217</v>
      </c>
      <c r="G4" s="690"/>
      <c r="H4" s="690"/>
      <c r="I4" s="690"/>
      <c r="J4" s="723" t="s">
        <v>218</v>
      </c>
      <c r="K4" s="720" t="s">
        <v>795</v>
      </c>
      <c r="L4" s="714"/>
      <c r="M4" s="714"/>
      <c r="N4" s="683"/>
      <c r="O4" s="720" t="s">
        <v>219</v>
      </c>
      <c r="P4" s="714"/>
      <c r="Q4" s="714"/>
      <c r="R4" s="683"/>
      <c r="S4" s="660" t="s">
        <v>220</v>
      </c>
      <c r="T4" s="253"/>
      <c r="U4" s="664" t="s">
        <v>221</v>
      </c>
      <c r="V4" s="717" t="s">
        <v>222</v>
      </c>
      <c r="W4" s="719" t="s">
        <v>223</v>
      </c>
      <c r="X4" s="719"/>
      <c r="Y4" s="719"/>
      <c r="Z4" s="715" t="s">
        <v>224</v>
      </c>
    </row>
    <row r="5" spans="1:26" s="53" customFormat="1" ht="32.549999999999997" customHeight="1" thickBot="1" x14ac:dyDescent="0.6">
      <c r="A5" s="310"/>
      <c r="C5" s="722"/>
      <c r="D5" s="680"/>
      <c r="E5" s="682"/>
      <c r="F5" s="244" t="s">
        <v>225</v>
      </c>
      <c r="G5" s="62" t="s">
        <v>226</v>
      </c>
      <c r="H5" s="62" t="s">
        <v>107</v>
      </c>
      <c r="I5" s="62" t="s">
        <v>227</v>
      </c>
      <c r="J5" s="724"/>
      <c r="K5" s="186" t="str">
        <f>F5</f>
        <v xml:space="preserve">Total </v>
      </c>
      <c r="L5" s="62" t="s">
        <v>226</v>
      </c>
      <c r="M5" s="62" t="s">
        <v>107</v>
      </c>
      <c r="N5" s="177" t="s">
        <v>227</v>
      </c>
      <c r="O5" s="186" t="str">
        <f>K5</f>
        <v xml:space="preserve">Total </v>
      </c>
      <c r="P5" s="62" t="s">
        <v>226</v>
      </c>
      <c r="Q5" s="62" t="s">
        <v>107</v>
      </c>
      <c r="R5" s="177" t="s">
        <v>227</v>
      </c>
      <c r="S5" s="661"/>
      <c r="T5" s="254"/>
      <c r="U5" s="665"/>
      <c r="V5" s="718"/>
      <c r="W5" s="475" t="s">
        <v>228</v>
      </c>
      <c r="X5" s="475" t="s">
        <v>229</v>
      </c>
      <c r="Y5" s="475" t="s">
        <v>230</v>
      </c>
      <c r="Z5" s="716"/>
    </row>
    <row r="6" spans="1:26" ht="45" x14ac:dyDescent="0.55000000000000004">
      <c r="A6" s="310"/>
      <c r="C6" s="124" t="s">
        <v>135</v>
      </c>
      <c r="D6" s="121" t="s">
        <v>266</v>
      </c>
      <c r="E6" s="251" t="s">
        <v>390</v>
      </c>
      <c r="F6" s="252">
        <f>SUM(G6:I6)</f>
        <v>31156.176470588234</v>
      </c>
      <c r="G6" s="162">
        <v>2470</v>
      </c>
      <c r="H6" s="162">
        <v>7245</v>
      </c>
      <c r="I6" s="162">
        <f>24300*60/68</f>
        <v>21441.176470588234</v>
      </c>
      <c r="J6" s="210" t="s">
        <v>391</v>
      </c>
      <c r="K6" s="215">
        <f t="shared" ref="K6:K17" si="0">SUM(L6:N6)</f>
        <v>32500</v>
      </c>
      <c r="L6" s="162">
        <f>ROUND((G6*(_202021/_201617)),-2)</f>
        <v>2800</v>
      </c>
      <c r="M6" s="162">
        <f>ROUND((H6*(_202021/_201617)),-2)</f>
        <v>8300</v>
      </c>
      <c r="N6" s="217">
        <f>ROUND(I6,-2)</f>
        <v>21400</v>
      </c>
      <c r="O6" s="243"/>
      <c r="P6" s="163"/>
      <c r="Q6" s="163"/>
      <c r="R6" s="216"/>
      <c r="S6" s="248" t="s">
        <v>243</v>
      </c>
      <c r="T6" s="230"/>
      <c r="U6" s="245" t="s">
        <v>335</v>
      </c>
      <c r="V6" s="116" t="s">
        <v>244</v>
      </c>
      <c r="W6" s="117" t="s">
        <v>831</v>
      </c>
      <c r="X6" s="116">
        <v>2019</v>
      </c>
      <c r="Y6" s="100" t="s">
        <v>392</v>
      </c>
      <c r="Z6" s="247" t="s">
        <v>393</v>
      </c>
    </row>
    <row r="7" spans="1:26" ht="40.5" hidden="1" customHeight="1" outlineLevel="1" x14ac:dyDescent="0.55000000000000004">
      <c r="A7" s="310"/>
      <c r="C7" s="548" t="s">
        <v>135</v>
      </c>
      <c r="D7" s="528" t="s">
        <v>281</v>
      </c>
      <c r="E7" s="549" t="s">
        <v>390</v>
      </c>
      <c r="F7" s="231">
        <v>1200</v>
      </c>
      <c r="G7" s="166">
        <f>F7</f>
        <v>1200</v>
      </c>
      <c r="H7" s="165"/>
      <c r="I7" s="165"/>
      <c r="J7" s="180" t="s">
        <v>391</v>
      </c>
      <c r="K7" s="218">
        <f t="shared" si="0"/>
        <v>1400</v>
      </c>
      <c r="L7" s="166">
        <f t="shared" ref="L7:M8" si="1">ROUND((G7*(_202021/_201617)),-2)</f>
        <v>1400</v>
      </c>
      <c r="M7" s="165"/>
      <c r="N7" s="219"/>
      <c r="O7" s="233"/>
      <c r="P7" s="165"/>
      <c r="Q7" s="165"/>
      <c r="R7" s="219"/>
      <c r="S7" s="232" t="s">
        <v>110</v>
      </c>
      <c r="T7" s="230"/>
      <c r="U7" s="87" t="s">
        <v>335</v>
      </c>
      <c r="V7" s="86" t="s">
        <v>244</v>
      </c>
      <c r="W7" s="84" t="s">
        <v>357</v>
      </c>
      <c r="X7" s="86">
        <v>2019</v>
      </c>
      <c r="Y7" s="85" t="s">
        <v>392</v>
      </c>
      <c r="Z7" s="74" t="s">
        <v>394</v>
      </c>
    </row>
    <row r="8" spans="1:26" ht="40.5" hidden="1" customHeight="1" outlineLevel="1" x14ac:dyDescent="0.5">
      <c r="A8" s="311"/>
      <c r="C8" s="548" t="s">
        <v>135</v>
      </c>
      <c r="D8" s="528" t="s">
        <v>395</v>
      </c>
      <c r="E8" s="549" t="s">
        <v>390</v>
      </c>
      <c r="F8" s="231">
        <f>H8</f>
        <v>7245</v>
      </c>
      <c r="G8" s="165"/>
      <c r="H8" s="166">
        <f>H6</f>
        <v>7245</v>
      </c>
      <c r="I8" s="165"/>
      <c r="J8" s="180" t="s">
        <v>391</v>
      </c>
      <c r="K8" s="218">
        <f t="shared" si="0"/>
        <v>8300</v>
      </c>
      <c r="L8" s="165"/>
      <c r="M8" s="166">
        <f t="shared" si="1"/>
        <v>8300</v>
      </c>
      <c r="N8" s="219"/>
      <c r="O8" s="233"/>
      <c r="P8" s="165"/>
      <c r="Q8" s="165"/>
      <c r="R8" s="219"/>
      <c r="S8" s="232" t="s">
        <v>119</v>
      </c>
      <c r="T8" s="230"/>
      <c r="U8" s="87" t="s">
        <v>335</v>
      </c>
      <c r="V8" s="86" t="s">
        <v>244</v>
      </c>
      <c r="W8" s="84" t="s">
        <v>357</v>
      </c>
      <c r="X8" s="86">
        <v>2019</v>
      </c>
      <c r="Y8" s="85" t="s">
        <v>392</v>
      </c>
      <c r="Z8" s="74" t="s">
        <v>237</v>
      </c>
    </row>
    <row r="9" spans="1:26" ht="40.5" hidden="1" customHeight="1" outlineLevel="1" x14ac:dyDescent="0.5">
      <c r="A9" s="311"/>
      <c r="C9" s="548" t="s">
        <v>135</v>
      </c>
      <c r="D9" s="528" t="s">
        <v>396</v>
      </c>
      <c r="E9" s="549" t="s">
        <v>390</v>
      </c>
      <c r="F9" s="231">
        <f>I6</f>
        <v>21441.176470588234</v>
      </c>
      <c r="G9" s="165"/>
      <c r="H9" s="165"/>
      <c r="I9" s="166">
        <f>I6</f>
        <v>21441.176470588234</v>
      </c>
      <c r="J9" s="180" t="s">
        <v>391</v>
      </c>
      <c r="K9" s="218">
        <f t="shared" si="0"/>
        <v>21400</v>
      </c>
      <c r="L9" s="165"/>
      <c r="M9" s="165"/>
      <c r="N9" s="220">
        <f>ROUND(I9,-2)</f>
        <v>21400</v>
      </c>
      <c r="O9" s="233"/>
      <c r="P9" s="165"/>
      <c r="Q9" s="165"/>
      <c r="R9" s="219"/>
      <c r="S9" s="232" t="s">
        <v>307</v>
      </c>
      <c r="T9" s="230"/>
      <c r="U9" s="87" t="s">
        <v>335</v>
      </c>
      <c r="V9" s="86" t="s">
        <v>244</v>
      </c>
      <c r="W9" s="84" t="s">
        <v>357</v>
      </c>
      <c r="X9" s="86">
        <v>2019</v>
      </c>
      <c r="Y9" s="85" t="s">
        <v>392</v>
      </c>
      <c r="Z9" s="74" t="s">
        <v>397</v>
      </c>
    </row>
    <row r="10" spans="1:26" ht="40.5" hidden="1" customHeight="1" outlineLevel="1" x14ac:dyDescent="0.5">
      <c r="A10" s="311"/>
      <c r="C10" s="548" t="s">
        <v>135</v>
      </c>
      <c r="D10" s="528" t="s">
        <v>398</v>
      </c>
      <c r="E10" s="549" t="s">
        <v>390</v>
      </c>
      <c r="F10" s="231">
        <f>645+170+70+5</f>
        <v>890</v>
      </c>
      <c r="G10" s="166">
        <f>F10</f>
        <v>890</v>
      </c>
      <c r="H10" s="165"/>
      <c r="I10" s="165"/>
      <c r="J10" s="180" t="s">
        <v>391</v>
      </c>
      <c r="K10" s="218">
        <f t="shared" si="0"/>
        <v>1000</v>
      </c>
      <c r="L10" s="166">
        <f t="shared" ref="L10" si="2">ROUND((G10*(_202021/_201617)),-2)</f>
        <v>1000</v>
      </c>
      <c r="M10" s="165"/>
      <c r="N10" s="219"/>
      <c r="O10" s="233"/>
      <c r="P10" s="165"/>
      <c r="Q10" s="165"/>
      <c r="R10" s="219"/>
      <c r="S10" s="232" t="s">
        <v>399</v>
      </c>
      <c r="T10" s="230"/>
      <c r="U10" s="87" t="s">
        <v>335</v>
      </c>
      <c r="V10" s="86" t="s">
        <v>244</v>
      </c>
      <c r="W10" s="84" t="s">
        <v>357</v>
      </c>
      <c r="X10" s="86">
        <v>2019</v>
      </c>
      <c r="Y10" s="85" t="s">
        <v>392</v>
      </c>
      <c r="Z10" s="74" t="s">
        <v>394</v>
      </c>
    </row>
    <row r="11" spans="1:26" ht="5.0999999999999996" hidden="1" customHeight="1" outlineLevel="1" x14ac:dyDescent="0.5">
      <c r="A11" s="311"/>
      <c r="C11" s="548" t="s">
        <v>135</v>
      </c>
      <c r="D11" s="528" t="s">
        <v>400</v>
      </c>
      <c r="E11" s="549" t="s">
        <v>390</v>
      </c>
      <c r="F11" s="231">
        <f>F6-SUM(F7:F10)</f>
        <v>380</v>
      </c>
      <c r="G11" s="165"/>
      <c r="H11" s="166">
        <f>F11</f>
        <v>380</v>
      </c>
      <c r="I11" s="165"/>
      <c r="J11" s="180" t="s">
        <v>391</v>
      </c>
      <c r="K11" s="218">
        <f>SUM(M11:N11)</f>
        <v>400</v>
      </c>
      <c r="L11" s="165"/>
      <c r="M11" s="166">
        <f>ROUND((H11*(_202021/_201617)),-2)</f>
        <v>400</v>
      </c>
      <c r="N11" s="219"/>
      <c r="O11" s="233"/>
      <c r="P11" s="165"/>
      <c r="Q11" s="165"/>
      <c r="R11" s="219"/>
      <c r="S11" s="232" t="s">
        <v>243</v>
      </c>
      <c r="T11" s="230"/>
      <c r="U11" s="87" t="s">
        <v>335</v>
      </c>
      <c r="V11" s="86" t="s">
        <v>244</v>
      </c>
      <c r="W11" s="84" t="s">
        <v>357</v>
      </c>
      <c r="X11" s="86">
        <v>2019</v>
      </c>
      <c r="Y11" s="85" t="s">
        <v>392</v>
      </c>
      <c r="Z11" s="74" t="s">
        <v>237</v>
      </c>
    </row>
    <row r="12" spans="1:26" ht="40.5" customHeight="1" collapsed="1" x14ac:dyDescent="0.5">
      <c r="A12" s="312"/>
      <c r="C12" s="126" t="s">
        <v>401</v>
      </c>
      <c r="D12" s="138" t="s">
        <v>266</v>
      </c>
      <c r="E12" s="225" t="s">
        <v>402</v>
      </c>
      <c r="F12" s="234">
        <f t="shared" ref="F12:F16" si="3">SUM(G12:I12)</f>
        <v>13090.588235294117</v>
      </c>
      <c r="G12" s="164">
        <f>'Crime cost calcs'!I37</f>
        <v>3420</v>
      </c>
      <c r="H12" s="164">
        <f>'Crime cost calcs'!G37</f>
        <v>2400</v>
      </c>
      <c r="I12" s="164">
        <f>'Crime cost calcs'!H37</f>
        <v>7270.5882352941171</v>
      </c>
      <c r="J12" s="196" t="s">
        <v>403</v>
      </c>
      <c r="K12" s="221">
        <f t="shared" si="0"/>
        <v>14100</v>
      </c>
      <c r="L12" s="164">
        <f t="shared" ref="L12:L13" si="4">ROUND((G12*(_202021/_201516)),-2)</f>
        <v>4000</v>
      </c>
      <c r="M12" s="164">
        <f t="shared" ref="M12" si="5">ROUND((H12*(_202021/_201516)),-2)</f>
        <v>2800</v>
      </c>
      <c r="N12" s="222">
        <f>ROUND(I12,-2)</f>
        <v>7300</v>
      </c>
      <c r="O12" s="233"/>
      <c r="P12" s="165"/>
      <c r="Q12" s="165"/>
      <c r="R12" s="219"/>
      <c r="S12" s="175" t="s">
        <v>243</v>
      </c>
      <c r="T12" s="230"/>
      <c r="U12" s="87" t="s">
        <v>335</v>
      </c>
      <c r="V12" s="86" t="s">
        <v>244</v>
      </c>
      <c r="W12" s="84" t="s">
        <v>826</v>
      </c>
      <c r="X12" s="86">
        <v>2018</v>
      </c>
      <c r="Y12" s="100" t="s">
        <v>404</v>
      </c>
      <c r="Z12" s="74" t="s">
        <v>397</v>
      </c>
    </row>
    <row r="13" spans="1:26" ht="40.5" hidden="1" customHeight="1" outlineLevel="1" x14ac:dyDescent="0.5">
      <c r="A13" s="312"/>
      <c r="C13" s="548" t="s">
        <v>401</v>
      </c>
      <c r="D13" s="528" t="s">
        <v>110</v>
      </c>
      <c r="E13" s="549" t="s">
        <v>402</v>
      </c>
      <c r="F13" s="218">
        <f t="shared" si="3"/>
        <v>920</v>
      </c>
      <c r="G13" s="166">
        <v>920</v>
      </c>
      <c r="H13" s="165"/>
      <c r="I13" s="165"/>
      <c r="J13" s="180" t="s">
        <v>403</v>
      </c>
      <c r="K13" s="218">
        <f t="shared" si="0"/>
        <v>1100</v>
      </c>
      <c r="L13" s="166">
        <f t="shared" si="4"/>
        <v>1100</v>
      </c>
      <c r="M13" s="165"/>
      <c r="N13" s="219"/>
      <c r="O13" s="233"/>
      <c r="P13" s="165"/>
      <c r="Q13" s="165"/>
      <c r="R13" s="219"/>
      <c r="S13" s="232" t="s">
        <v>110</v>
      </c>
      <c r="T13" s="230"/>
      <c r="U13" s="87" t="s">
        <v>335</v>
      </c>
      <c r="V13" s="86" t="s">
        <v>244</v>
      </c>
      <c r="W13" s="84" t="s">
        <v>357</v>
      </c>
      <c r="X13" s="86">
        <v>2018</v>
      </c>
      <c r="Y13" s="100" t="s">
        <v>404</v>
      </c>
      <c r="Z13" s="74"/>
    </row>
    <row r="14" spans="1:26" ht="40.5" hidden="1" customHeight="1" outlineLevel="1" x14ac:dyDescent="0.5">
      <c r="A14" s="312"/>
      <c r="C14" s="548" t="s">
        <v>401</v>
      </c>
      <c r="D14" s="528" t="s">
        <v>395</v>
      </c>
      <c r="E14" s="549" t="s">
        <v>402</v>
      </c>
      <c r="F14" s="218">
        <f t="shared" si="3"/>
        <v>2060</v>
      </c>
      <c r="G14" s="165"/>
      <c r="H14" s="166">
        <v>2060</v>
      </c>
      <c r="I14" s="165"/>
      <c r="J14" s="180" t="s">
        <v>403</v>
      </c>
      <c r="K14" s="218">
        <f t="shared" si="0"/>
        <v>2400</v>
      </c>
      <c r="L14" s="165"/>
      <c r="M14" s="166">
        <f t="shared" ref="M14" si="6">ROUND((H14*(_202021/_201516)),-2)</f>
        <v>2400</v>
      </c>
      <c r="N14" s="219"/>
      <c r="O14" s="233"/>
      <c r="P14" s="165"/>
      <c r="Q14" s="165"/>
      <c r="R14" s="219"/>
      <c r="S14" s="232" t="s">
        <v>119</v>
      </c>
      <c r="T14" s="230"/>
      <c r="U14" s="87" t="s">
        <v>335</v>
      </c>
      <c r="V14" s="86" t="s">
        <v>244</v>
      </c>
      <c r="W14" s="84" t="s">
        <v>357</v>
      </c>
      <c r="X14" s="86">
        <v>2018</v>
      </c>
      <c r="Y14" s="100" t="s">
        <v>404</v>
      </c>
      <c r="Z14" s="74"/>
    </row>
    <row r="15" spans="1:26" ht="40.5" hidden="1" customHeight="1" outlineLevel="1" x14ac:dyDescent="0.5">
      <c r="A15" s="312"/>
      <c r="C15" s="548" t="s">
        <v>401</v>
      </c>
      <c r="D15" s="528" t="s">
        <v>396</v>
      </c>
      <c r="E15" s="549" t="s">
        <v>402</v>
      </c>
      <c r="F15" s="218">
        <f t="shared" si="3"/>
        <v>7270.5882352941171</v>
      </c>
      <c r="G15" s="165"/>
      <c r="H15" s="165"/>
      <c r="I15" s="166">
        <v>7270.5882352941171</v>
      </c>
      <c r="J15" s="180" t="s">
        <v>403</v>
      </c>
      <c r="K15" s="218">
        <f t="shared" si="0"/>
        <v>7300</v>
      </c>
      <c r="L15" s="165"/>
      <c r="M15" s="165"/>
      <c r="N15" s="220">
        <f>ROUND(I15,-2)</f>
        <v>7300</v>
      </c>
      <c r="O15" s="233"/>
      <c r="P15" s="165"/>
      <c r="Q15" s="165"/>
      <c r="R15" s="219"/>
      <c r="S15" s="232" t="s">
        <v>307</v>
      </c>
      <c r="T15" s="230"/>
      <c r="U15" s="87" t="s">
        <v>335</v>
      </c>
      <c r="V15" s="86" t="s">
        <v>244</v>
      </c>
      <c r="W15" s="84" t="s">
        <v>357</v>
      </c>
      <c r="X15" s="86">
        <v>2018</v>
      </c>
      <c r="Y15" s="100" t="s">
        <v>404</v>
      </c>
      <c r="Z15" s="74" t="s">
        <v>397</v>
      </c>
    </row>
    <row r="16" spans="1:26" ht="40.5" hidden="1" customHeight="1" outlineLevel="1" x14ac:dyDescent="0.5">
      <c r="A16" s="312"/>
      <c r="C16" s="548" t="s">
        <v>401</v>
      </c>
      <c r="D16" s="528" t="s">
        <v>405</v>
      </c>
      <c r="E16" s="549" t="s">
        <v>402</v>
      </c>
      <c r="F16" s="218">
        <f t="shared" si="3"/>
        <v>2500</v>
      </c>
      <c r="G16" s="166">
        <v>2500</v>
      </c>
      <c r="H16" s="165"/>
      <c r="I16" s="165"/>
      <c r="J16" s="180" t="s">
        <v>403</v>
      </c>
      <c r="K16" s="218">
        <f t="shared" si="0"/>
        <v>2900</v>
      </c>
      <c r="L16" s="166">
        <f t="shared" ref="L16" si="7">ROUND((G16*(_202021/_201516)),-2)</f>
        <v>2900</v>
      </c>
      <c r="M16" s="165"/>
      <c r="N16" s="219"/>
      <c r="O16" s="233"/>
      <c r="P16" s="165"/>
      <c r="Q16" s="165"/>
      <c r="R16" s="219"/>
      <c r="S16" s="232" t="s">
        <v>399</v>
      </c>
      <c r="T16" s="230"/>
      <c r="U16" s="87" t="s">
        <v>335</v>
      </c>
      <c r="V16" s="86" t="s">
        <v>244</v>
      </c>
      <c r="W16" s="84" t="s">
        <v>357</v>
      </c>
      <c r="X16" s="86">
        <v>2018</v>
      </c>
      <c r="Y16" s="100" t="s">
        <v>404</v>
      </c>
      <c r="Z16" s="74"/>
    </row>
    <row r="17" spans="1:26" ht="40.5" hidden="1" customHeight="1" outlineLevel="1" x14ac:dyDescent="0.5">
      <c r="A17" s="312"/>
      <c r="C17" s="548" t="s">
        <v>401</v>
      </c>
      <c r="D17" s="528" t="s">
        <v>406</v>
      </c>
      <c r="E17" s="549" t="s">
        <v>402</v>
      </c>
      <c r="F17" s="231">
        <f t="shared" ref="F17" si="8">SUM(G17:I17)</f>
        <v>340</v>
      </c>
      <c r="G17" s="165"/>
      <c r="H17" s="166">
        <v>340</v>
      </c>
      <c r="I17" s="165"/>
      <c r="J17" s="180" t="s">
        <v>403</v>
      </c>
      <c r="K17" s="218">
        <f t="shared" si="0"/>
        <v>400</v>
      </c>
      <c r="L17" s="165"/>
      <c r="M17" s="166">
        <f t="shared" ref="M17:M18" si="9">ROUND((H17*(_202021/_201516)),-2)</f>
        <v>400</v>
      </c>
      <c r="N17" s="219"/>
      <c r="O17" s="233"/>
      <c r="P17" s="165"/>
      <c r="Q17" s="165"/>
      <c r="R17" s="219"/>
      <c r="S17" s="232" t="s">
        <v>243</v>
      </c>
      <c r="T17" s="230"/>
      <c r="U17" s="87" t="s">
        <v>335</v>
      </c>
      <c r="V17" s="86" t="s">
        <v>244</v>
      </c>
      <c r="W17" s="84" t="s">
        <v>357</v>
      </c>
      <c r="X17" s="86">
        <v>2018</v>
      </c>
      <c r="Y17" s="100" t="s">
        <v>404</v>
      </c>
      <c r="Z17" s="74"/>
    </row>
    <row r="18" spans="1:26" ht="40.5" customHeight="1" collapsed="1" x14ac:dyDescent="0.5">
      <c r="A18" s="312"/>
      <c r="C18" s="126" t="s">
        <v>407</v>
      </c>
      <c r="D18" s="138" t="s">
        <v>266</v>
      </c>
      <c r="E18" s="225" t="s">
        <v>402</v>
      </c>
      <c r="F18" s="234">
        <f t="shared" ref="F18:F22" si="10">SUM(G18:I18)</f>
        <v>5609.411764705882</v>
      </c>
      <c r="G18" s="164">
        <f>'Crime cost calcs'!I38</f>
        <v>2340</v>
      </c>
      <c r="H18" s="164">
        <f>'Crime cost calcs'!G38</f>
        <v>790</v>
      </c>
      <c r="I18" s="164">
        <f>'Crime cost calcs'!H38</f>
        <v>2479.411764705882</v>
      </c>
      <c r="J18" s="196" t="s">
        <v>403</v>
      </c>
      <c r="K18" s="221">
        <f t="shared" ref="K18:K23" si="11">SUM(L18:N18)</f>
        <v>6100</v>
      </c>
      <c r="L18" s="164">
        <f t="shared" ref="L18:L19" si="12">ROUND((G18*(_202021/_201516)),-2)</f>
        <v>2700</v>
      </c>
      <c r="M18" s="164">
        <f t="shared" si="9"/>
        <v>900</v>
      </c>
      <c r="N18" s="222">
        <f>ROUND(I18,-2)</f>
        <v>2500</v>
      </c>
      <c r="O18" s="233"/>
      <c r="P18" s="165"/>
      <c r="Q18" s="165"/>
      <c r="R18" s="219"/>
      <c r="S18" s="175" t="s">
        <v>243</v>
      </c>
      <c r="T18" s="230"/>
      <c r="U18" s="87" t="s">
        <v>335</v>
      </c>
      <c r="V18" s="86" t="s">
        <v>244</v>
      </c>
      <c r="W18" s="84" t="s">
        <v>826</v>
      </c>
      <c r="X18" s="86">
        <v>2018</v>
      </c>
      <c r="Y18" s="100" t="s">
        <v>404</v>
      </c>
      <c r="Z18" s="74" t="s">
        <v>397</v>
      </c>
    </row>
    <row r="19" spans="1:26" ht="40.5" hidden="1" customHeight="1" outlineLevel="1" x14ac:dyDescent="0.5">
      <c r="A19" s="312"/>
      <c r="C19" s="548" t="s">
        <v>407</v>
      </c>
      <c r="D19" s="528" t="s">
        <v>110</v>
      </c>
      <c r="E19" s="549" t="s">
        <v>402</v>
      </c>
      <c r="F19" s="218">
        <f t="shared" si="10"/>
        <v>270</v>
      </c>
      <c r="G19" s="166">
        <f>'Crime cost calcs'!L8</f>
        <v>270</v>
      </c>
      <c r="H19" s="165"/>
      <c r="I19" s="165"/>
      <c r="J19" s="180" t="s">
        <v>403</v>
      </c>
      <c r="K19" s="218">
        <f t="shared" si="11"/>
        <v>300</v>
      </c>
      <c r="L19" s="166">
        <f t="shared" si="12"/>
        <v>300</v>
      </c>
      <c r="M19" s="165"/>
      <c r="N19" s="219"/>
      <c r="O19" s="233"/>
      <c r="P19" s="165"/>
      <c r="Q19" s="165"/>
      <c r="R19" s="219"/>
      <c r="S19" s="232" t="s">
        <v>110</v>
      </c>
      <c r="T19" s="230"/>
      <c r="U19" s="87" t="s">
        <v>335</v>
      </c>
      <c r="V19" s="86" t="s">
        <v>244</v>
      </c>
      <c r="W19" s="84" t="s">
        <v>357</v>
      </c>
      <c r="X19" s="86">
        <v>2018</v>
      </c>
      <c r="Y19" s="100" t="s">
        <v>404</v>
      </c>
      <c r="Z19" s="74"/>
    </row>
    <row r="20" spans="1:26" ht="40.5" hidden="1" customHeight="1" outlineLevel="1" x14ac:dyDescent="0.5">
      <c r="A20" s="312"/>
      <c r="C20" s="548" t="s">
        <v>407</v>
      </c>
      <c r="D20" s="528" t="s">
        <v>395</v>
      </c>
      <c r="E20" s="549" t="s">
        <v>402</v>
      </c>
      <c r="F20" s="218">
        <f t="shared" si="10"/>
        <v>670</v>
      </c>
      <c r="G20" s="165"/>
      <c r="H20" s="166">
        <f>'Crime cost calcs'!K8</f>
        <v>670</v>
      </c>
      <c r="I20" s="165"/>
      <c r="J20" s="180" t="s">
        <v>403</v>
      </c>
      <c r="K20" s="218">
        <f t="shared" si="11"/>
        <v>800</v>
      </c>
      <c r="L20" s="165"/>
      <c r="M20" s="166">
        <f t="shared" ref="M20" si="13">ROUND((H20*(_202021/_201516)),-2)</f>
        <v>800</v>
      </c>
      <c r="N20" s="219"/>
      <c r="O20" s="233"/>
      <c r="P20" s="165"/>
      <c r="Q20" s="165"/>
      <c r="R20" s="219"/>
      <c r="S20" s="232" t="s">
        <v>119</v>
      </c>
      <c r="T20" s="230"/>
      <c r="U20" s="87" t="s">
        <v>335</v>
      </c>
      <c r="V20" s="86" t="s">
        <v>244</v>
      </c>
      <c r="W20" s="84" t="s">
        <v>357</v>
      </c>
      <c r="X20" s="86">
        <v>2018</v>
      </c>
      <c r="Y20" s="100" t="s">
        <v>404</v>
      </c>
      <c r="Z20" s="74"/>
    </row>
    <row r="21" spans="1:26" ht="40.5" hidden="1" customHeight="1" outlineLevel="1" x14ac:dyDescent="0.5">
      <c r="A21" s="312"/>
      <c r="C21" s="548" t="s">
        <v>407</v>
      </c>
      <c r="D21" s="528" t="s">
        <v>396</v>
      </c>
      <c r="E21" s="549" t="s">
        <v>402</v>
      </c>
      <c r="F21" s="218">
        <f t="shared" si="10"/>
        <v>2479.411764705882</v>
      </c>
      <c r="G21" s="165"/>
      <c r="H21" s="165"/>
      <c r="I21" s="166">
        <f>'Crime cost calcs'!H38</f>
        <v>2479.411764705882</v>
      </c>
      <c r="J21" s="180" t="s">
        <v>403</v>
      </c>
      <c r="K21" s="218">
        <f t="shared" si="11"/>
        <v>2500</v>
      </c>
      <c r="L21" s="165"/>
      <c r="M21" s="165"/>
      <c r="N21" s="220">
        <f>ROUND(I21,-2)</f>
        <v>2500</v>
      </c>
      <c r="O21" s="233"/>
      <c r="P21" s="165"/>
      <c r="Q21" s="165"/>
      <c r="R21" s="219"/>
      <c r="S21" s="232" t="s">
        <v>307</v>
      </c>
      <c r="T21" s="230"/>
      <c r="U21" s="87" t="s">
        <v>335</v>
      </c>
      <c r="V21" s="86" t="s">
        <v>244</v>
      </c>
      <c r="W21" s="84" t="s">
        <v>357</v>
      </c>
      <c r="X21" s="86">
        <v>2018</v>
      </c>
      <c r="Y21" s="100" t="s">
        <v>404</v>
      </c>
      <c r="Z21" s="74" t="s">
        <v>397</v>
      </c>
    </row>
    <row r="22" spans="1:26" ht="40.5" hidden="1" customHeight="1" outlineLevel="1" x14ac:dyDescent="0.5">
      <c r="A22" s="312"/>
      <c r="C22" s="548" t="s">
        <v>407</v>
      </c>
      <c r="D22" s="528" t="s">
        <v>405</v>
      </c>
      <c r="E22" s="549" t="s">
        <v>402</v>
      </c>
      <c r="F22" s="218">
        <f t="shared" si="10"/>
        <v>2070</v>
      </c>
      <c r="G22" s="166">
        <f>'Crime cost calcs'!N8+'Crime cost calcs'!O8+'Crime cost calcs'!P8</f>
        <v>2070</v>
      </c>
      <c r="H22" s="165"/>
      <c r="I22" s="165"/>
      <c r="J22" s="180" t="s">
        <v>403</v>
      </c>
      <c r="K22" s="218">
        <f t="shared" si="11"/>
        <v>2400</v>
      </c>
      <c r="L22" s="166">
        <f t="shared" ref="L22" si="14">ROUND((G22*(_202021/_201516)),-2)</f>
        <v>2400</v>
      </c>
      <c r="M22" s="165"/>
      <c r="N22" s="219"/>
      <c r="O22" s="233"/>
      <c r="P22" s="165"/>
      <c r="Q22" s="165"/>
      <c r="R22" s="219"/>
      <c r="S22" s="232" t="s">
        <v>399</v>
      </c>
      <c r="T22" s="230"/>
      <c r="U22" s="87" t="s">
        <v>335</v>
      </c>
      <c r="V22" s="86" t="s">
        <v>244</v>
      </c>
      <c r="W22" s="84" t="s">
        <v>357</v>
      </c>
      <c r="X22" s="86">
        <v>2018</v>
      </c>
      <c r="Y22" s="100" t="s">
        <v>404</v>
      </c>
      <c r="Z22" s="74"/>
    </row>
    <row r="23" spans="1:26" ht="40.5" hidden="1" customHeight="1" outlineLevel="1" x14ac:dyDescent="0.5">
      <c r="A23" s="312"/>
      <c r="C23" s="548" t="s">
        <v>407</v>
      </c>
      <c r="D23" s="528" t="s">
        <v>406</v>
      </c>
      <c r="E23" s="549" t="s">
        <v>402</v>
      </c>
      <c r="F23" s="231">
        <f t="shared" ref="F23" si="15">SUM(G23:I23)</f>
        <v>120</v>
      </c>
      <c r="G23" s="165"/>
      <c r="H23" s="166">
        <f>H18-H19-H20-H21-H22</f>
        <v>120</v>
      </c>
      <c r="I23" s="165"/>
      <c r="J23" s="180" t="s">
        <v>403</v>
      </c>
      <c r="K23" s="218">
        <f t="shared" si="11"/>
        <v>100</v>
      </c>
      <c r="L23" s="165"/>
      <c r="M23" s="166">
        <f t="shared" ref="M23" si="16">ROUND((H23*(_202021/_201516)),-2)</f>
        <v>100</v>
      </c>
      <c r="N23" s="219"/>
      <c r="O23" s="233"/>
      <c r="P23" s="165"/>
      <c r="Q23" s="165"/>
      <c r="R23" s="219"/>
      <c r="S23" s="232" t="s">
        <v>243</v>
      </c>
      <c r="T23" s="230"/>
      <c r="U23" s="87" t="s">
        <v>335</v>
      </c>
      <c r="V23" s="86" t="s">
        <v>244</v>
      </c>
      <c r="W23" s="84" t="s">
        <v>357</v>
      </c>
      <c r="X23" s="86">
        <v>2018</v>
      </c>
      <c r="Y23" s="100" t="s">
        <v>404</v>
      </c>
      <c r="Z23" s="74"/>
    </row>
    <row r="24" spans="1:26" ht="40.5" customHeight="1" collapsed="1" x14ac:dyDescent="0.5">
      <c r="A24" s="312"/>
      <c r="C24" s="126" t="s">
        <v>139</v>
      </c>
      <c r="D24" s="127" t="s">
        <v>139</v>
      </c>
      <c r="E24" s="225" t="s">
        <v>402</v>
      </c>
      <c r="F24" s="236">
        <v>130</v>
      </c>
      <c r="G24" s="164">
        <v>130</v>
      </c>
      <c r="H24" s="165"/>
      <c r="I24" s="165"/>
      <c r="J24" s="196" t="s">
        <v>403</v>
      </c>
      <c r="K24" s="221">
        <f>ROUND((F24*(_202021/_201516)),-1)</f>
        <v>150</v>
      </c>
      <c r="L24" s="235">
        <f>K24</f>
        <v>150</v>
      </c>
      <c r="M24" s="165"/>
      <c r="N24" s="219"/>
      <c r="O24" s="233"/>
      <c r="P24" s="165"/>
      <c r="Q24" s="165"/>
      <c r="R24" s="219"/>
      <c r="S24" s="175" t="s">
        <v>243</v>
      </c>
      <c r="T24" s="230"/>
      <c r="U24" s="87" t="s">
        <v>335</v>
      </c>
      <c r="V24" s="86" t="s">
        <v>244</v>
      </c>
      <c r="W24" s="84" t="s">
        <v>408</v>
      </c>
      <c r="X24" s="86">
        <v>2019</v>
      </c>
      <c r="Y24" s="100" t="s">
        <v>409</v>
      </c>
      <c r="Z24" s="74" t="s">
        <v>410</v>
      </c>
    </row>
    <row r="25" spans="1:26" ht="40.5" customHeight="1" x14ac:dyDescent="0.5">
      <c r="A25" s="312"/>
      <c r="C25" s="126" t="s">
        <v>140</v>
      </c>
      <c r="D25" s="138" t="s">
        <v>266</v>
      </c>
      <c r="E25" s="225" t="s">
        <v>402</v>
      </c>
      <c r="F25" s="236">
        <f t="shared" ref="F25:F39" si="17">SUM(G25:I25)</f>
        <v>9867.6470588235297</v>
      </c>
      <c r="G25" s="164">
        <f>'Crime cost calcs'!I41</f>
        <v>5450</v>
      </c>
      <c r="H25" s="164">
        <f>'Crime cost calcs'!G41</f>
        <v>1250</v>
      </c>
      <c r="I25" s="164">
        <f>'Crime cost calcs'!H41</f>
        <v>3167.6470588235293</v>
      </c>
      <c r="J25" s="196" t="s">
        <v>403</v>
      </c>
      <c r="K25" s="221">
        <f t="shared" ref="K25:K37" si="18">SUM(L25:N25)</f>
        <v>11100</v>
      </c>
      <c r="L25" s="164">
        <f t="shared" ref="L25:M30" si="19">ROUND((G25*(_202021/_201516)),-2)</f>
        <v>6400</v>
      </c>
      <c r="M25" s="164">
        <f t="shared" si="19"/>
        <v>1500</v>
      </c>
      <c r="N25" s="222">
        <f>ROUND(I25,-2)</f>
        <v>3200</v>
      </c>
      <c r="O25" s="233"/>
      <c r="P25" s="165"/>
      <c r="Q25" s="165"/>
      <c r="R25" s="219"/>
      <c r="S25" s="175" t="s">
        <v>243</v>
      </c>
      <c r="T25" s="230"/>
      <c r="U25" s="87" t="s">
        <v>335</v>
      </c>
      <c r="V25" s="86" t="s">
        <v>244</v>
      </c>
      <c r="W25" s="84" t="s">
        <v>826</v>
      </c>
      <c r="X25" s="86">
        <v>2018</v>
      </c>
      <c r="Y25" s="100" t="s">
        <v>404</v>
      </c>
      <c r="Z25" s="74" t="s">
        <v>397</v>
      </c>
    </row>
    <row r="26" spans="1:26" ht="40.5" hidden="1" customHeight="1" outlineLevel="1" x14ac:dyDescent="0.5">
      <c r="A26" s="312"/>
      <c r="C26" s="548" t="s">
        <v>140</v>
      </c>
      <c r="D26" s="528" t="s">
        <v>110</v>
      </c>
      <c r="E26" s="549" t="s">
        <v>402</v>
      </c>
      <c r="F26" s="231">
        <f t="shared" si="17"/>
        <v>760</v>
      </c>
      <c r="G26" s="166">
        <v>760</v>
      </c>
      <c r="H26" s="165"/>
      <c r="I26" s="165"/>
      <c r="J26" s="180" t="s">
        <v>403</v>
      </c>
      <c r="K26" s="218">
        <f t="shared" si="18"/>
        <v>900</v>
      </c>
      <c r="L26" s="166">
        <f t="shared" si="19"/>
        <v>900</v>
      </c>
      <c r="M26" s="165"/>
      <c r="N26" s="219"/>
      <c r="O26" s="233"/>
      <c r="P26" s="165"/>
      <c r="Q26" s="165"/>
      <c r="R26" s="219"/>
      <c r="S26" s="232" t="s">
        <v>110</v>
      </c>
      <c r="T26" s="230"/>
      <c r="U26" s="87" t="s">
        <v>335</v>
      </c>
      <c r="V26" s="86" t="s">
        <v>244</v>
      </c>
      <c r="W26" s="84" t="s">
        <v>357</v>
      </c>
      <c r="X26" s="86">
        <v>2018</v>
      </c>
      <c r="Y26" s="100" t="s">
        <v>404</v>
      </c>
      <c r="Z26" s="74"/>
    </row>
    <row r="27" spans="1:26" ht="40.5" hidden="1" customHeight="1" outlineLevel="1" x14ac:dyDescent="0.5">
      <c r="A27" s="312"/>
      <c r="C27" s="548" t="s">
        <v>140</v>
      </c>
      <c r="D27" s="528" t="s">
        <v>395</v>
      </c>
      <c r="E27" s="549" t="s">
        <v>402</v>
      </c>
      <c r="F27" s="231">
        <f t="shared" si="17"/>
        <v>920</v>
      </c>
      <c r="G27" s="165"/>
      <c r="H27" s="166">
        <v>920</v>
      </c>
      <c r="I27" s="165"/>
      <c r="J27" s="180" t="s">
        <v>403</v>
      </c>
      <c r="K27" s="218">
        <f t="shared" si="18"/>
        <v>1100</v>
      </c>
      <c r="L27" s="165"/>
      <c r="M27" s="166">
        <f t="shared" si="19"/>
        <v>1100</v>
      </c>
      <c r="N27" s="219"/>
      <c r="O27" s="233"/>
      <c r="P27" s="165"/>
      <c r="Q27" s="165"/>
      <c r="R27" s="219"/>
      <c r="S27" s="232" t="s">
        <v>119</v>
      </c>
      <c r="T27" s="230"/>
      <c r="U27" s="87" t="s">
        <v>335</v>
      </c>
      <c r="V27" s="86" t="s">
        <v>244</v>
      </c>
      <c r="W27" s="84" t="s">
        <v>357</v>
      </c>
      <c r="X27" s="86">
        <v>2018</v>
      </c>
      <c r="Y27" s="100" t="s">
        <v>404</v>
      </c>
      <c r="Z27" s="74"/>
    </row>
    <row r="28" spans="1:26" ht="40.5" hidden="1" customHeight="1" outlineLevel="1" x14ac:dyDescent="0.5">
      <c r="A28" s="312"/>
      <c r="C28" s="548" t="s">
        <v>140</v>
      </c>
      <c r="D28" s="528" t="s">
        <v>396</v>
      </c>
      <c r="E28" s="549" t="s">
        <v>402</v>
      </c>
      <c r="F28" s="231">
        <f t="shared" si="17"/>
        <v>3167.6470588235293</v>
      </c>
      <c r="G28" s="165"/>
      <c r="H28" s="165"/>
      <c r="I28" s="166">
        <v>3167.6470588235293</v>
      </c>
      <c r="J28" s="180" t="s">
        <v>403</v>
      </c>
      <c r="K28" s="218">
        <f t="shared" si="18"/>
        <v>3200</v>
      </c>
      <c r="L28" s="165"/>
      <c r="M28" s="165"/>
      <c r="N28" s="220">
        <f>ROUND(I28,-2)</f>
        <v>3200</v>
      </c>
      <c r="O28" s="233"/>
      <c r="P28" s="165"/>
      <c r="Q28" s="165"/>
      <c r="R28" s="219"/>
      <c r="S28" s="232" t="s">
        <v>307</v>
      </c>
      <c r="T28" s="230"/>
      <c r="U28" s="87" t="s">
        <v>335</v>
      </c>
      <c r="V28" s="86" t="s">
        <v>244</v>
      </c>
      <c r="W28" s="84" t="s">
        <v>357</v>
      </c>
      <c r="X28" s="86">
        <v>2018</v>
      </c>
      <c r="Y28" s="100" t="s">
        <v>404</v>
      </c>
      <c r="Z28" s="74" t="s">
        <v>397</v>
      </c>
    </row>
    <row r="29" spans="1:26" ht="40.5" hidden="1" customHeight="1" outlineLevel="1" x14ac:dyDescent="0.5">
      <c r="A29" s="312"/>
      <c r="C29" s="548" t="s">
        <v>140</v>
      </c>
      <c r="D29" s="528" t="s">
        <v>405</v>
      </c>
      <c r="E29" s="549" t="s">
        <v>402</v>
      </c>
      <c r="F29" s="231">
        <f t="shared" si="17"/>
        <v>4690</v>
      </c>
      <c r="G29" s="166">
        <v>4690</v>
      </c>
      <c r="H29" s="165"/>
      <c r="I29" s="165"/>
      <c r="J29" s="180" t="s">
        <v>403</v>
      </c>
      <c r="K29" s="218">
        <f t="shared" si="18"/>
        <v>5500</v>
      </c>
      <c r="L29" s="166">
        <f t="shared" si="19"/>
        <v>5500</v>
      </c>
      <c r="M29" s="165"/>
      <c r="N29" s="219"/>
      <c r="O29" s="233"/>
      <c r="P29" s="165"/>
      <c r="Q29" s="165"/>
      <c r="R29" s="219"/>
      <c r="S29" s="232" t="s">
        <v>399</v>
      </c>
      <c r="T29" s="230"/>
      <c r="U29" s="87" t="s">
        <v>335</v>
      </c>
      <c r="V29" s="86" t="s">
        <v>244</v>
      </c>
      <c r="W29" s="84" t="s">
        <v>357</v>
      </c>
      <c r="X29" s="86">
        <v>2018</v>
      </c>
      <c r="Y29" s="100" t="s">
        <v>404</v>
      </c>
      <c r="Z29" s="74"/>
    </row>
    <row r="30" spans="1:26" ht="40.5" hidden="1" customHeight="1" outlineLevel="1" x14ac:dyDescent="0.5">
      <c r="A30" s="312"/>
      <c r="C30" s="548" t="s">
        <v>140</v>
      </c>
      <c r="D30" s="528" t="s">
        <v>406</v>
      </c>
      <c r="E30" s="549" t="s">
        <v>402</v>
      </c>
      <c r="F30" s="231">
        <f t="shared" si="17"/>
        <v>330</v>
      </c>
      <c r="G30" s="165"/>
      <c r="H30" s="166">
        <v>330</v>
      </c>
      <c r="I30" s="165"/>
      <c r="J30" s="180" t="s">
        <v>403</v>
      </c>
      <c r="K30" s="218">
        <f t="shared" si="18"/>
        <v>400</v>
      </c>
      <c r="L30" s="165"/>
      <c r="M30" s="166">
        <f t="shared" si="19"/>
        <v>400</v>
      </c>
      <c r="N30" s="219"/>
      <c r="O30" s="233"/>
      <c r="P30" s="165"/>
      <c r="Q30" s="165"/>
      <c r="R30" s="219"/>
      <c r="S30" s="232" t="s">
        <v>243</v>
      </c>
      <c r="T30" s="230"/>
      <c r="U30" s="87" t="s">
        <v>335</v>
      </c>
      <c r="V30" s="86" t="s">
        <v>244</v>
      </c>
      <c r="W30" s="84" t="s">
        <v>357</v>
      </c>
      <c r="X30" s="86">
        <v>2018</v>
      </c>
      <c r="Y30" s="100" t="s">
        <v>404</v>
      </c>
      <c r="Z30" s="74"/>
    </row>
    <row r="31" spans="1:26" ht="40.5" customHeight="1" collapsed="1" x14ac:dyDescent="0.5">
      <c r="A31" s="312"/>
      <c r="C31" s="126" t="s">
        <v>141</v>
      </c>
      <c r="D31" s="138" t="s">
        <v>266</v>
      </c>
      <c r="E31" s="225" t="s">
        <v>402</v>
      </c>
      <c r="F31" s="236">
        <f t="shared" si="17"/>
        <v>4380</v>
      </c>
      <c r="G31" s="164">
        <f>'Crime cost calcs'!I42</f>
        <v>2180</v>
      </c>
      <c r="H31" s="164">
        <f>'Crime cost calcs'!G42</f>
        <v>1150</v>
      </c>
      <c r="I31" s="164">
        <f>'Crime cost calcs'!H42</f>
        <v>1050</v>
      </c>
      <c r="J31" s="196" t="s">
        <v>403</v>
      </c>
      <c r="K31" s="221">
        <f t="shared" si="18"/>
        <v>4900</v>
      </c>
      <c r="L31" s="164">
        <f>ROUND((G31*(_202021/_201516)),-2)</f>
        <v>2500</v>
      </c>
      <c r="M31" s="164">
        <f>ROUND((H31*(_202021/_201516)),-2)</f>
        <v>1300</v>
      </c>
      <c r="N31" s="222">
        <f>ROUND(I31,-2)</f>
        <v>1100</v>
      </c>
      <c r="O31" s="233"/>
      <c r="P31" s="165"/>
      <c r="Q31" s="165"/>
      <c r="R31" s="219"/>
      <c r="S31" s="175" t="s">
        <v>243</v>
      </c>
      <c r="T31" s="230"/>
      <c r="U31" s="87" t="s">
        <v>335</v>
      </c>
      <c r="V31" s="86" t="s">
        <v>244</v>
      </c>
      <c r="W31" s="84" t="s">
        <v>826</v>
      </c>
      <c r="X31" s="86">
        <v>2018</v>
      </c>
      <c r="Y31" s="100" t="s">
        <v>404</v>
      </c>
      <c r="Z31" s="74" t="s">
        <v>397</v>
      </c>
    </row>
    <row r="32" spans="1:26" ht="40.5" hidden="1" customHeight="1" outlineLevel="1" x14ac:dyDescent="0.5">
      <c r="A32" s="312"/>
      <c r="C32" s="548" t="s">
        <v>141</v>
      </c>
      <c r="D32" s="528" t="s">
        <v>110</v>
      </c>
      <c r="E32" s="549" t="s">
        <v>402</v>
      </c>
      <c r="F32" s="231">
        <f t="shared" si="17"/>
        <v>380</v>
      </c>
      <c r="G32" s="166">
        <v>380</v>
      </c>
      <c r="H32" s="165"/>
      <c r="I32" s="165"/>
      <c r="J32" s="180" t="s">
        <v>403</v>
      </c>
      <c r="K32" s="218">
        <f t="shared" si="18"/>
        <v>400</v>
      </c>
      <c r="L32" s="166">
        <f t="shared" ref="L32:M33" si="20">ROUND((G32*(_202021/_201516)),-2)</f>
        <v>400</v>
      </c>
      <c r="M32" s="165"/>
      <c r="N32" s="219"/>
      <c r="O32" s="233"/>
      <c r="P32" s="165"/>
      <c r="Q32" s="165"/>
      <c r="R32" s="219"/>
      <c r="S32" s="232" t="s">
        <v>110</v>
      </c>
      <c r="T32" s="230"/>
      <c r="U32" s="87" t="s">
        <v>335</v>
      </c>
      <c r="V32" s="86" t="s">
        <v>244</v>
      </c>
      <c r="W32" s="84" t="s">
        <v>357</v>
      </c>
      <c r="X32" s="86">
        <v>2018</v>
      </c>
      <c r="Y32" s="100" t="s">
        <v>404</v>
      </c>
      <c r="Z32" s="74"/>
    </row>
    <row r="33" spans="1:26" ht="40.5" hidden="1" customHeight="1" outlineLevel="1" x14ac:dyDescent="0.5">
      <c r="A33" s="312"/>
      <c r="C33" s="548" t="s">
        <v>141</v>
      </c>
      <c r="D33" s="528" t="s">
        <v>395</v>
      </c>
      <c r="E33" s="549" t="s">
        <v>402</v>
      </c>
      <c r="F33" s="231">
        <f t="shared" si="17"/>
        <v>440</v>
      </c>
      <c r="G33" s="165"/>
      <c r="H33" s="166">
        <v>440</v>
      </c>
      <c r="I33" s="165"/>
      <c r="J33" s="180" t="s">
        <v>403</v>
      </c>
      <c r="K33" s="218">
        <f t="shared" si="18"/>
        <v>500</v>
      </c>
      <c r="L33" s="165"/>
      <c r="M33" s="166">
        <f t="shared" si="20"/>
        <v>500</v>
      </c>
      <c r="N33" s="219"/>
      <c r="O33" s="233"/>
      <c r="P33" s="165"/>
      <c r="Q33" s="165"/>
      <c r="R33" s="219"/>
      <c r="S33" s="232" t="s">
        <v>119</v>
      </c>
      <c r="T33" s="230"/>
      <c r="U33" s="87" t="s">
        <v>335</v>
      </c>
      <c r="V33" s="86" t="s">
        <v>244</v>
      </c>
      <c r="W33" s="84" t="s">
        <v>357</v>
      </c>
      <c r="X33" s="86">
        <v>2018</v>
      </c>
      <c r="Y33" s="100" t="s">
        <v>404</v>
      </c>
      <c r="Z33" s="74"/>
    </row>
    <row r="34" spans="1:26" ht="40.5" hidden="1" customHeight="1" outlineLevel="1" x14ac:dyDescent="0.5">
      <c r="A34" s="312"/>
      <c r="C34" s="548" t="s">
        <v>141</v>
      </c>
      <c r="D34" s="528" t="s">
        <v>396</v>
      </c>
      <c r="E34" s="549" t="s">
        <v>402</v>
      </c>
      <c r="F34" s="231">
        <f t="shared" si="17"/>
        <v>1050</v>
      </c>
      <c r="G34" s="165"/>
      <c r="H34" s="165"/>
      <c r="I34" s="166">
        <v>1050</v>
      </c>
      <c r="J34" s="180" t="s">
        <v>403</v>
      </c>
      <c r="K34" s="218">
        <f t="shared" si="18"/>
        <v>1100</v>
      </c>
      <c r="L34" s="165"/>
      <c r="M34" s="165"/>
      <c r="N34" s="220">
        <f>ROUND(I34,-2)</f>
        <v>1100</v>
      </c>
      <c r="O34" s="233"/>
      <c r="P34" s="165"/>
      <c r="Q34" s="165"/>
      <c r="R34" s="219"/>
      <c r="S34" s="232" t="s">
        <v>307</v>
      </c>
      <c r="T34" s="230"/>
      <c r="U34" s="87" t="s">
        <v>335</v>
      </c>
      <c r="V34" s="86" t="s">
        <v>244</v>
      </c>
      <c r="W34" s="84" t="s">
        <v>357</v>
      </c>
      <c r="X34" s="86">
        <v>2018</v>
      </c>
      <c r="Y34" s="100" t="s">
        <v>404</v>
      </c>
      <c r="Z34" s="74" t="s">
        <v>397</v>
      </c>
    </row>
    <row r="35" spans="1:26" ht="40.5" hidden="1" customHeight="1" outlineLevel="1" x14ac:dyDescent="0.5">
      <c r="A35" s="312"/>
      <c r="C35" s="548" t="s">
        <v>141</v>
      </c>
      <c r="D35" s="528" t="s">
        <v>405</v>
      </c>
      <c r="E35" s="549" t="s">
        <v>402</v>
      </c>
      <c r="F35" s="231">
        <f t="shared" si="17"/>
        <v>1800</v>
      </c>
      <c r="G35" s="166">
        <v>1800</v>
      </c>
      <c r="H35" s="165"/>
      <c r="I35" s="165"/>
      <c r="J35" s="180" t="s">
        <v>403</v>
      </c>
      <c r="K35" s="218">
        <f t="shared" si="18"/>
        <v>2100</v>
      </c>
      <c r="L35" s="166">
        <f>ROUND((G35*(_202021/_201516)),-2)</f>
        <v>2100</v>
      </c>
      <c r="M35" s="165"/>
      <c r="N35" s="219"/>
      <c r="O35" s="233"/>
      <c r="P35" s="165"/>
      <c r="Q35" s="165"/>
      <c r="R35" s="219"/>
      <c r="S35" s="232" t="s">
        <v>399</v>
      </c>
      <c r="T35" s="230"/>
      <c r="U35" s="87" t="s">
        <v>335</v>
      </c>
      <c r="V35" s="86" t="s">
        <v>244</v>
      </c>
      <c r="W35" s="84" t="s">
        <v>357</v>
      </c>
      <c r="X35" s="86">
        <v>2018</v>
      </c>
      <c r="Y35" s="100" t="s">
        <v>404</v>
      </c>
      <c r="Z35" s="74"/>
    </row>
    <row r="36" spans="1:26" ht="40.5" hidden="1" customHeight="1" outlineLevel="1" x14ac:dyDescent="0.5">
      <c r="A36" s="312"/>
      <c r="C36" s="548" t="s">
        <v>141</v>
      </c>
      <c r="D36" s="528" t="s">
        <v>406</v>
      </c>
      <c r="E36" s="549" t="s">
        <v>402</v>
      </c>
      <c r="F36" s="231">
        <f t="shared" si="17"/>
        <v>710</v>
      </c>
      <c r="G36" s="165"/>
      <c r="H36" s="166">
        <v>710</v>
      </c>
      <c r="I36" s="165"/>
      <c r="J36" s="180" t="s">
        <v>403</v>
      </c>
      <c r="K36" s="218">
        <f t="shared" si="18"/>
        <v>800</v>
      </c>
      <c r="L36" s="165"/>
      <c r="M36" s="166">
        <f>M31-M32-M33-M34-M35</f>
        <v>800</v>
      </c>
      <c r="N36" s="219"/>
      <c r="O36" s="233"/>
      <c r="P36" s="165"/>
      <c r="Q36" s="165"/>
      <c r="R36" s="219"/>
      <c r="S36" s="232" t="s">
        <v>243</v>
      </c>
      <c r="T36" s="230"/>
      <c r="U36" s="87" t="s">
        <v>335</v>
      </c>
      <c r="V36" s="86" t="s">
        <v>244</v>
      </c>
      <c r="W36" s="84" t="s">
        <v>357</v>
      </c>
      <c r="X36" s="86">
        <v>2018</v>
      </c>
      <c r="Y36" s="100" t="s">
        <v>404</v>
      </c>
      <c r="Z36" s="74"/>
    </row>
    <row r="37" spans="1:26" ht="40.5" customHeight="1" collapsed="1" x14ac:dyDescent="0.5">
      <c r="A37" s="312"/>
      <c r="C37" s="126" t="s">
        <v>411</v>
      </c>
      <c r="D37" s="127" t="str">
        <f>C37</f>
        <v>Criminal damage</v>
      </c>
      <c r="E37" s="225" t="s">
        <v>402</v>
      </c>
      <c r="F37" s="236">
        <f t="shared" si="17"/>
        <v>1098.2352941176471</v>
      </c>
      <c r="G37" s="164">
        <f>'Crime cost calcs'!I46</f>
        <v>720</v>
      </c>
      <c r="H37" s="164">
        <f>'Crime cost calcs'!G46</f>
        <v>140</v>
      </c>
      <c r="I37" s="164">
        <f>'Crime cost calcs'!H46</f>
        <v>238.23529411764704</v>
      </c>
      <c r="J37" s="196" t="s">
        <v>403</v>
      </c>
      <c r="K37" s="221">
        <f t="shared" si="18"/>
        <v>1200</v>
      </c>
      <c r="L37" s="164">
        <f>ROUND((G37*(_202021/_201516)),-2)</f>
        <v>800</v>
      </c>
      <c r="M37" s="164">
        <f>ROUND((H37*(_202021/_201516)),-2)</f>
        <v>200</v>
      </c>
      <c r="N37" s="222">
        <f>ROUND(I37,-2)</f>
        <v>200</v>
      </c>
      <c r="O37" s="233"/>
      <c r="P37" s="165"/>
      <c r="Q37" s="165"/>
      <c r="R37" s="219"/>
      <c r="S37" s="175" t="s">
        <v>243</v>
      </c>
      <c r="T37" s="230"/>
      <c r="U37" s="87" t="s">
        <v>335</v>
      </c>
      <c r="V37" s="86" t="s">
        <v>244</v>
      </c>
      <c r="W37" s="73" t="s">
        <v>796</v>
      </c>
      <c r="X37" s="72">
        <v>2019</v>
      </c>
      <c r="Y37" s="91" t="s">
        <v>263</v>
      </c>
      <c r="Z37" s="74"/>
    </row>
    <row r="38" spans="1:26" ht="40.5" customHeight="1" x14ac:dyDescent="0.5">
      <c r="A38" s="312"/>
      <c r="C38" s="126" t="s">
        <v>412</v>
      </c>
      <c r="D38" s="138" t="s">
        <v>266</v>
      </c>
      <c r="E38" s="225" t="s">
        <v>402</v>
      </c>
      <c r="F38" s="236">
        <f t="shared" si="17"/>
        <v>6118.2352941176468</v>
      </c>
      <c r="G38" s="164">
        <f>'Crime cost calcs'!I43</f>
        <v>4000</v>
      </c>
      <c r="H38" s="164">
        <f>'Crime cost calcs'!G43</f>
        <v>1880</v>
      </c>
      <c r="I38" s="164">
        <f>'Crime cost calcs'!H43</f>
        <v>238.23529411764704</v>
      </c>
      <c r="J38" s="196" t="s">
        <v>403</v>
      </c>
      <c r="K38" s="221">
        <f t="shared" ref="K38" si="21">SUM(L38:N38)</f>
        <v>7100</v>
      </c>
      <c r="L38" s="164">
        <f>ROUND((G38*(_202021/_201516)),-2)</f>
        <v>4700</v>
      </c>
      <c r="M38" s="164">
        <f>ROUND((H38*(_202021/_201516)),-2)</f>
        <v>2200</v>
      </c>
      <c r="N38" s="222">
        <f>ROUND(I38,-2)</f>
        <v>200</v>
      </c>
      <c r="O38" s="233"/>
      <c r="P38" s="165"/>
      <c r="Q38" s="165"/>
      <c r="R38" s="219"/>
      <c r="S38" s="175" t="s">
        <v>243</v>
      </c>
      <c r="T38" s="230"/>
      <c r="U38" s="87" t="s">
        <v>335</v>
      </c>
      <c r="V38" s="86" t="s">
        <v>244</v>
      </c>
      <c r="W38" s="84" t="s">
        <v>826</v>
      </c>
      <c r="X38" s="86">
        <v>2018</v>
      </c>
      <c r="Y38" s="100" t="s">
        <v>404</v>
      </c>
      <c r="Z38" s="74" t="s">
        <v>397</v>
      </c>
    </row>
    <row r="39" spans="1:26" ht="40.5" hidden="1" customHeight="1" outlineLevel="1" x14ac:dyDescent="0.5">
      <c r="A39" s="312"/>
      <c r="C39" s="54" t="s">
        <v>412</v>
      </c>
      <c r="D39" s="528" t="s">
        <v>110</v>
      </c>
      <c r="E39" s="549" t="s">
        <v>402</v>
      </c>
      <c r="F39" s="231">
        <f t="shared" si="17"/>
        <v>100</v>
      </c>
      <c r="G39" s="166">
        <v>100</v>
      </c>
      <c r="H39" s="165"/>
      <c r="I39" s="165"/>
      <c r="J39" s="180" t="s">
        <v>403</v>
      </c>
      <c r="K39" s="218">
        <f t="shared" ref="K39" si="22">SUM(L39:N39)</f>
        <v>100</v>
      </c>
      <c r="L39" s="166">
        <f>ROUND((G39*(_202021/_201516)),-2)</f>
        <v>100</v>
      </c>
      <c r="M39" s="165"/>
      <c r="N39" s="219"/>
      <c r="O39" s="233"/>
      <c r="P39" s="165"/>
      <c r="Q39" s="165"/>
      <c r="R39" s="219"/>
      <c r="S39" s="232" t="s">
        <v>110</v>
      </c>
      <c r="T39" s="230"/>
      <c r="U39" s="87" t="s">
        <v>335</v>
      </c>
      <c r="V39" s="86" t="s">
        <v>244</v>
      </c>
      <c r="W39" s="84" t="s">
        <v>357</v>
      </c>
      <c r="X39" s="86">
        <v>2018</v>
      </c>
      <c r="Y39" s="100" t="s">
        <v>404</v>
      </c>
      <c r="Z39" s="74"/>
    </row>
    <row r="40" spans="1:26" ht="40.5" hidden="1" customHeight="1" outlineLevel="1" x14ac:dyDescent="0.5">
      <c r="A40" s="312"/>
      <c r="C40" s="54" t="s">
        <v>412</v>
      </c>
      <c r="D40" s="528" t="s">
        <v>395</v>
      </c>
      <c r="E40" s="549" t="s">
        <v>402</v>
      </c>
      <c r="F40" s="231">
        <f t="shared" ref="F40:F42" si="23">SUM(G40:I40)</f>
        <v>150</v>
      </c>
      <c r="G40" s="165"/>
      <c r="H40" s="166">
        <v>150</v>
      </c>
      <c r="I40" s="165"/>
      <c r="J40" s="180" t="s">
        <v>403</v>
      </c>
      <c r="K40" s="218">
        <f t="shared" ref="K40" si="24">SUM(L40:N40)</f>
        <v>200</v>
      </c>
      <c r="L40" s="165"/>
      <c r="M40" s="166">
        <f t="shared" ref="M40" si="25">ROUND((H40*(_202021/_201516)),-2)</f>
        <v>200</v>
      </c>
      <c r="N40" s="219"/>
      <c r="O40" s="233"/>
      <c r="P40" s="165"/>
      <c r="Q40" s="165"/>
      <c r="R40" s="219"/>
      <c r="S40" s="232" t="s">
        <v>119</v>
      </c>
      <c r="T40" s="230"/>
      <c r="U40" s="87" t="s">
        <v>335</v>
      </c>
      <c r="V40" s="86" t="s">
        <v>244</v>
      </c>
      <c r="W40" s="84" t="s">
        <v>357</v>
      </c>
      <c r="X40" s="86">
        <v>2018</v>
      </c>
      <c r="Y40" s="100" t="s">
        <v>404</v>
      </c>
      <c r="Z40" s="74"/>
    </row>
    <row r="41" spans="1:26" ht="40.5" hidden="1" customHeight="1" outlineLevel="1" x14ac:dyDescent="0.5">
      <c r="A41" s="312"/>
      <c r="C41" s="54" t="s">
        <v>412</v>
      </c>
      <c r="D41" s="528" t="s">
        <v>396</v>
      </c>
      <c r="E41" s="549" t="s">
        <v>402</v>
      </c>
      <c r="F41" s="231">
        <f t="shared" si="23"/>
        <v>238.23529411764704</v>
      </c>
      <c r="G41" s="165"/>
      <c r="H41" s="165"/>
      <c r="I41" s="166">
        <v>238.23529411764704</v>
      </c>
      <c r="J41" s="180" t="s">
        <v>403</v>
      </c>
      <c r="K41" s="218">
        <f t="shared" ref="K41:K42" si="26">SUM(L41:N41)</f>
        <v>200</v>
      </c>
      <c r="L41" s="165"/>
      <c r="M41" s="165"/>
      <c r="N41" s="220">
        <f>ROUND(I41,-2)</f>
        <v>200</v>
      </c>
      <c r="O41" s="233"/>
      <c r="P41" s="165"/>
      <c r="Q41" s="165"/>
      <c r="R41" s="219"/>
      <c r="S41" s="232" t="s">
        <v>307</v>
      </c>
      <c r="T41" s="230"/>
      <c r="U41" s="87" t="s">
        <v>335</v>
      </c>
      <c r="V41" s="86" t="s">
        <v>244</v>
      </c>
      <c r="W41" s="84" t="s">
        <v>357</v>
      </c>
      <c r="X41" s="86">
        <v>2018</v>
      </c>
      <c r="Y41" s="100" t="s">
        <v>404</v>
      </c>
      <c r="Z41" s="74" t="s">
        <v>397</v>
      </c>
    </row>
    <row r="42" spans="1:26" ht="40.5" hidden="1" customHeight="1" outlineLevel="1" x14ac:dyDescent="0.5">
      <c r="A42" s="312"/>
      <c r="C42" s="54" t="s">
        <v>412</v>
      </c>
      <c r="D42" s="528" t="s">
        <v>405</v>
      </c>
      <c r="E42" s="549" t="s">
        <v>402</v>
      </c>
      <c r="F42" s="231">
        <f t="shared" si="23"/>
        <v>3900</v>
      </c>
      <c r="G42" s="166">
        <v>3900</v>
      </c>
      <c r="H42" s="165"/>
      <c r="I42" s="165"/>
      <c r="J42" s="180" t="s">
        <v>403</v>
      </c>
      <c r="K42" s="218">
        <f t="shared" si="26"/>
        <v>4600</v>
      </c>
      <c r="L42" s="166">
        <f>ROUND((G42*(_202021/_201516)),-2)</f>
        <v>4600</v>
      </c>
      <c r="M42" s="165"/>
      <c r="N42" s="219"/>
      <c r="O42" s="233"/>
      <c r="P42" s="165"/>
      <c r="Q42" s="165"/>
      <c r="R42" s="219"/>
      <c r="S42" s="232" t="s">
        <v>399</v>
      </c>
      <c r="T42" s="230"/>
      <c r="U42" s="87" t="s">
        <v>335</v>
      </c>
      <c r="V42" s="86" t="s">
        <v>244</v>
      </c>
      <c r="W42" s="84" t="s">
        <v>357</v>
      </c>
      <c r="X42" s="86">
        <v>2018</v>
      </c>
      <c r="Y42" s="100" t="s">
        <v>404</v>
      </c>
      <c r="Z42" s="74"/>
    </row>
    <row r="43" spans="1:26" ht="40.5" hidden="1" customHeight="1" outlineLevel="1" x14ac:dyDescent="0.55000000000000004">
      <c r="C43" s="54" t="s">
        <v>412</v>
      </c>
      <c r="D43" s="528" t="s">
        <v>406</v>
      </c>
      <c r="E43" s="549" t="s">
        <v>402</v>
      </c>
      <c r="F43" s="231">
        <f>SUM(G43:I43)</f>
        <v>1730</v>
      </c>
      <c r="G43" s="165"/>
      <c r="H43" s="166">
        <v>1730</v>
      </c>
      <c r="I43" s="165"/>
      <c r="J43" s="180" t="s">
        <v>403</v>
      </c>
      <c r="K43" s="218">
        <f>SUM(L43:N43)</f>
        <v>2000</v>
      </c>
      <c r="L43" s="165"/>
      <c r="M43" s="166">
        <f>M38-M39-M40-M41-M42</f>
        <v>2000</v>
      </c>
      <c r="N43" s="219"/>
      <c r="O43" s="233"/>
      <c r="P43" s="165"/>
      <c r="Q43" s="165"/>
      <c r="R43" s="219"/>
      <c r="S43" s="232" t="s">
        <v>243</v>
      </c>
      <c r="T43" s="230"/>
      <c r="U43" s="87" t="s">
        <v>335</v>
      </c>
      <c r="V43" s="86" t="s">
        <v>244</v>
      </c>
      <c r="W43" s="84" t="s">
        <v>357</v>
      </c>
      <c r="X43" s="86">
        <v>2018</v>
      </c>
      <c r="Y43" s="100" t="s">
        <v>404</v>
      </c>
      <c r="Z43" s="74"/>
    </row>
    <row r="44" spans="1:26" ht="40.5" customHeight="1" collapsed="1" x14ac:dyDescent="0.55000000000000004">
      <c r="C44" s="126" t="s">
        <v>142</v>
      </c>
      <c r="D44" s="127" t="s">
        <v>142</v>
      </c>
      <c r="E44" s="225" t="s">
        <v>402</v>
      </c>
      <c r="F44" s="221">
        <v>500</v>
      </c>
      <c r="G44" s="164">
        <v>500</v>
      </c>
      <c r="H44" s="164"/>
      <c r="I44" s="164"/>
      <c r="J44" s="196" t="s">
        <v>403</v>
      </c>
      <c r="K44" s="221">
        <v>500</v>
      </c>
      <c r="L44" s="164">
        <v>500</v>
      </c>
      <c r="M44" s="164"/>
      <c r="N44" s="222"/>
      <c r="O44" s="233"/>
      <c r="P44" s="165"/>
      <c r="Q44" s="165"/>
      <c r="R44" s="219"/>
      <c r="S44" s="175" t="str">
        <f>S42</f>
        <v>Criminal justice system</v>
      </c>
      <c r="T44" s="230"/>
      <c r="U44" s="87" t="s">
        <v>119</v>
      </c>
      <c r="V44" s="86" t="s">
        <v>244</v>
      </c>
      <c r="W44" s="84" t="s">
        <v>413</v>
      </c>
      <c r="X44" s="86">
        <v>2020</v>
      </c>
      <c r="Y44" s="100"/>
      <c r="Z44" s="74"/>
    </row>
  </sheetData>
  <autoFilter ref="C4:D5" xr:uid="{C38B39C5-B276-4522-9CC0-C04E0FC7B738}"/>
  <mergeCells count="13">
    <mergeCell ref="C3:N3"/>
    <mergeCell ref="V4:V5"/>
    <mergeCell ref="Z4:Z5"/>
    <mergeCell ref="C4:C5"/>
    <mergeCell ref="W4:Y4"/>
    <mergeCell ref="U4:U5"/>
    <mergeCell ref="D4:D5"/>
    <mergeCell ref="E4:E5"/>
    <mergeCell ref="S4:S5"/>
    <mergeCell ref="F4:I4"/>
    <mergeCell ref="K4:N4"/>
    <mergeCell ref="J4:J5"/>
    <mergeCell ref="O4:R4"/>
  </mergeCells>
  <phoneticPr fontId="21" type="noConversion"/>
  <hyperlinks>
    <hyperlink ref="Y7" r:id="rId1" xr:uid="{3AC60C5A-665B-45E4-BD67-2370D655F702}"/>
    <hyperlink ref="Y8" r:id="rId2" xr:uid="{B03C70EF-5118-4533-B436-155B4BCEAA07}"/>
    <hyperlink ref="Y9" r:id="rId3" xr:uid="{41CCD846-4AC0-4CF6-B0F9-5047ADF4299D}"/>
    <hyperlink ref="Y10" r:id="rId4" xr:uid="{05566E28-8A9B-4DE6-8DA3-AFC1D8EA6D1D}"/>
    <hyperlink ref="Y11" r:id="rId5" xr:uid="{D4239A6E-D5BB-421D-B75C-115D90E5EE19}"/>
    <hyperlink ref="Y25" r:id="rId6" xr:uid="{7E2F09B6-BF17-4494-A736-5E34804559A4}"/>
    <hyperlink ref="Y24" r:id="rId7" xr:uid="{84449220-351A-4953-B364-75F3E8FCE3CB}"/>
    <hyperlink ref="Y26" r:id="rId8" xr:uid="{279F0E22-CFED-4984-B5C8-4B3D66B70405}"/>
    <hyperlink ref="Y27" r:id="rId9" xr:uid="{F0550D59-54A3-4A76-B3A4-0DC68E88E55B}"/>
    <hyperlink ref="Y28" r:id="rId10" xr:uid="{665D28B6-D03A-4404-A2B4-70AB329D7323}"/>
    <hyperlink ref="Y29" r:id="rId11" xr:uid="{8D944DC9-2589-4996-BDD1-EEEA5ACC76A3}"/>
    <hyperlink ref="Y30" r:id="rId12" xr:uid="{F3B6A37C-F4D6-4926-A5A9-285446FC6B8E}"/>
    <hyperlink ref="Y31" r:id="rId13" xr:uid="{38A14AC5-D5E3-432E-9094-6FC44151DD1D}"/>
    <hyperlink ref="Y32" r:id="rId14" xr:uid="{4F294171-FED7-4045-99BB-2044C84A813D}"/>
    <hyperlink ref="Y33" r:id="rId15" xr:uid="{C7F0BBBE-152B-45D9-8AA5-B96BA2DAC692}"/>
    <hyperlink ref="Y34" r:id="rId16" xr:uid="{74433DC6-F5BE-4607-9089-2A4029849C10}"/>
    <hyperlink ref="Y35" r:id="rId17" xr:uid="{C3AC025C-B7D3-4E7F-99E6-F45B16180A1B}"/>
    <hyperlink ref="Y36" r:id="rId18" xr:uid="{7D9D8952-A800-4194-9742-C43DE8057948}"/>
    <hyperlink ref="Y38:Y43" r:id="rId19" display="https://assets.publishing.service.gov.uk/government/uploads/system/uploads/attachment_data/file/732110/the-economic-and-social-costs-of-crime-horr99.pdf" xr:uid="{EC7DDA56-16FC-4B3F-BB7B-EB411F574BCE}"/>
    <hyperlink ref="Y12" r:id="rId20" xr:uid="{5DD544A2-D1B8-4124-83C2-80439EDA69B7}"/>
    <hyperlink ref="Y13" r:id="rId21" xr:uid="{A496804E-357C-4CB6-93FC-018656BDC617}"/>
    <hyperlink ref="Y14" r:id="rId22" xr:uid="{80687AB2-E9ED-4079-8ABF-29BAF29AC233}"/>
    <hyperlink ref="Y15" r:id="rId23" xr:uid="{63C33789-6A04-4F28-883F-6829D1E822E7}"/>
    <hyperlink ref="Y16" r:id="rId24" xr:uid="{4B4D40DB-DECD-43F2-8F79-346F0F2A3E91}"/>
    <hyperlink ref="Y17" r:id="rId25" xr:uid="{981EE4A7-7D7C-4F13-AFBB-FB93D3B2B125}"/>
    <hyperlink ref="Y18" r:id="rId26" xr:uid="{D7D2BA6E-4732-4EE8-AB2B-4C6249DE05AB}"/>
    <hyperlink ref="Y19" r:id="rId27" xr:uid="{B344550E-DBA3-4977-8875-EB119114DEF5}"/>
    <hyperlink ref="Y20" r:id="rId28" xr:uid="{3922C8C1-BC56-4CCC-B6A2-5B4508BF96AD}"/>
    <hyperlink ref="Y21" r:id="rId29" xr:uid="{B85A9DD9-5765-43AF-A61B-6469C47E7BF2}"/>
    <hyperlink ref="Y22" r:id="rId30" xr:uid="{2AFD3AF6-8C6E-4C94-B26A-D5735EA923FA}"/>
    <hyperlink ref="Y23" r:id="rId31" xr:uid="{3F005C94-E157-4DD0-8EDB-081A60874A90}"/>
    <hyperlink ref="Y6" r:id="rId32" xr:uid="{86CC6454-B418-47B0-AD64-25BCA530DF19}"/>
  </hyperlinks>
  <pageMargins left="0.7" right="0.7" top="0.75" bottom="0.75" header="0.3" footer="0.3"/>
  <pageSetup paperSize="9" orientation="portrait" r:id="rId33"/>
  <drawing r:id="rId34"/>
  <legacyDrawing r:id="rId3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114EE-C9D3-40A4-BB59-8FAAC9E24BA0}">
  <sheetPr codeName="Sheet19">
    <tabColor rgb="FF98002E"/>
  </sheetPr>
  <dimension ref="A2:AH44"/>
  <sheetViews>
    <sheetView workbookViewId="0"/>
  </sheetViews>
  <sheetFormatPr defaultRowHeight="14.4" x14ac:dyDescent="0.55000000000000004"/>
  <cols>
    <col min="1" max="1" width="34.5234375" style="313" customWidth="1"/>
    <col min="2" max="3" width="2.20703125" style="39" customWidth="1"/>
    <col min="4" max="4" width="38.20703125" style="39" customWidth="1"/>
    <col min="5" max="5" width="29.20703125" style="39" customWidth="1"/>
    <col min="6" max="6" width="26.20703125" style="39" customWidth="1"/>
    <col min="7" max="7" width="42" style="39" customWidth="1"/>
    <col min="8" max="34" width="9.20703125" style="39"/>
  </cols>
  <sheetData>
    <row r="2" spans="1:11" ht="32.700000000000003" x14ac:dyDescent="0.55000000000000004">
      <c r="A2" s="310"/>
      <c r="D2" s="309" t="s">
        <v>94</v>
      </c>
    </row>
    <row r="3" spans="1:11" ht="15.3" x14ac:dyDescent="0.55000000000000004">
      <c r="A3" s="310"/>
      <c r="D3" s="46"/>
    </row>
    <row r="4" spans="1:11" ht="15" x14ac:dyDescent="0.55000000000000004">
      <c r="A4" s="310"/>
      <c r="D4" s="571"/>
      <c r="E4" s="571"/>
      <c r="F4" s="571"/>
      <c r="G4" s="571"/>
      <c r="H4" s="571"/>
      <c r="I4" s="571"/>
      <c r="J4" s="571"/>
      <c r="K4" s="571"/>
    </row>
    <row r="5" spans="1:11" ht="19.8" x14ac:dyDescent="0.65">
      <c r="A5" s="310"/>
      <c r="D5" s="49" t="s">
        <v>96</v>
      </c>
      <c r="E5" s="46"/>
      <c r="F5" s="46"/>
    </row>
    <row r="6" spans="1:11" ht="15.3" x14ac:dyDescent="0.55000000000000004">
      <c r="A6" s="310"/>
      <c r="D6" s="46"/>
      <c r="E6" s="47"/>
      <c r="F6" s="47"/>
    </row>
    <row r="7" spans="1:11" ht="15.3" x14ac:dyDescent="0.55000000000000004">
      <c r="A7" s="310"/>
      <c r="D7" s="47" t="s">
        <v>414</v>
      </c>
      <c r="E7" s="47" t="s">
        <v>98</v>
      </c>
      <c r="F7" s="47" t="s">
        <v>105</v>
      </c>
    </row>
    <row r="8" spans="1:11" ht="15.3" x14ac:dyDescent="0.55000000000000004">
      <c r="A8" s="310"/>
      <c r="D8" s="46" t="s">
        <v>415</v>
      </c>
      <c r="E8" s="377" t="s">
        <v>61</v>
      </c>
      <c r="F8" s="379" t="s">
        <v>808</v>
      </c>
    </row>
    <row r="9" spans="1:11" ht="15.3" x14ac:dyDescent="0.55000000000000004">
      <c r="A9" s="310"/>
      <c r="D9" s="46" t="s">
        <v>416</v>
      </c>
      <c r="E9" s="377" t="s">
        <v>417</v>
      </c>
      <c r="F9" s="379" t="s">
        <v>418</v>
      </c>
    </row>
    <row r="10" spans="1:11" ht="15.3" x14ac:dyDescent="0.55000000000000004">
      <c r="A10" s="311"/>
      <c r="D10" s="46" t="s">
        <v>419</v>
      </c>
      <c r="E10" s="377" t="s">
        <v>420</v>
      </c>
      <c r="F10" s="379" t="s">
        <v>809</v>
      </c>
    </row>
    <row r="11" spans="1:11" ht="15.3" x14ac:dyDescent="0.55000000000000004">
      <c r="A11" s="311"/>
      <c r="D11" s="46"/>
      <c r="E11" s="378"/>
      <c r="F11" s="378"/>
    </row>
    <row r="12" spans="1:11" ht="15.3" x14ac:dyDescent="0.55000000000000004">
      <c r="A12" s="311"/>
      <c r="D12" s="46"/>
      <c r="E12" s="378"/>
      <c r="F12" s="378"/>
    </row>
    <row r="13" spans="1:11" ht="15.3" x14ac:dyDescent="0.55000000000000004">
      <c r="A13" s="311"/>
      <c r="D13" s="46"/>
      <c r="E13" s="378"/>
      <c r="F13" s="378"/>
    </row>
    <row r="14" spans="1:11" ht="15.3" x14ac:dyDescent="0.55000000000000004">
      <c r="A14" s="312"/>
      <c r="D14" s="46"/>
      <c r="E14" s="378"/>
      <c r="F14" s="378"/>
    </row>
    <row r="15" spans="1:11" ht="15.3" x14ac:dyDescent="0.55000000000000004">
      <c r="A15" s="312"/>
      <c r="D15" s="46"/>
      <c r="E15" s="378"/>
      <c r="F15" s="378"/>
    </row>
    <row r="16" spans="1:11" ht="15.3" x14ac:dyDescent="0.55000000000000004">
      <c r="A16" s="312"/>
      <c r="D16" s="46"/>
      <c r="E16" s="378"/>
      <c r="F16" s="378"/>
    </row>
    <row r="17" spans="1:11" ht="15.3" x14ac:dyDescent="0.55000000000000004">
      <c r="A17" s="312"/>
      <c r="D17" s="46"/>
      <c r="E17" s="378"/>
      <c r="F17" s="378"/>
    </row>
    <row r="18" spans="1:11" ht="15.3" x14ac:dyDescent="0.55000000000000004">
      <c r="A18" s="312"/>
      <c r="D18" s="46"/>
      <c r="E18" s="378"/>
      <c r="F18" s="378"/>
    </row>
    <row r="19" spans="1:11" ht="15.3" x14ac:dyDescent="0.55000000000000004">
      <c r="A19" s="312"/>
      <c r="D19" s="46"/>
      <c r="E19" s="378"/>
      <c r="F19" s="378"/>
    </row>
    <row r="20" spans="1:11" ht="15.3" x14ac:dyDescent="0.55000000000000004">
      <c r="A20" s="312"/>
      <c r="D20" s="46"/>
      <c r="E20" s="378"/>
      <c r="F20" s="378"/>
    </row>
    <row r="21" spans="1:11" ht="15.3" x14ac:dyDescent="0.55000000000000004">
      <c r="A21" s="312"/>
    </row>
    <row r="22" spans="1:11" ht="15.3" x14ac:dyDescent="0.55000000000000004">
      <c r="A22" s="312"/>
    </row>
    <row r="23" spans="1:11" ht="15.3" x14ac:dyDescent="0.55000000000000004">
      <c r="A23" s="312"/>
      <c r="D23" s="729"/>
      <c r="E23" s="729"/>
      <c r="F23" s="729"/>
      <c r="G23" s="729"/>
      <c r="H23" s="729"/>
      <c r="I23" s="729"/>
      <c r="J23" s="729"/>
      <c r="K23" s="729"/>
    </row>
    <row r="24" spans="1:11" ht="15.3" x14ac:dyDescent="0.55000000000000004">
      <c r="A24" s="312"/>
    </row>
    <row r="25" spans="1:11" ht="15.3" x14ac:dyDescent="0.55000000000000004">
      <c r="A25" s="312"/>
      <c r="D25" s="729"/>
      <c r="E25" s="729"/>
      <c r="F25" s="729"/>
      <c r="G25" s="729"/>
      <c r="H25" s="729"/>
      <c r="I25" s="729"/>
      <c r="J25" s="729"/>
      <c r="K25" s="729"/>
    </row>
    <row r="26" spans="1:11" ht="15.3" x14ac:dyDescent="0.55000000000000004">
      <c r="A26" s="312"/>
    </row>
    <row r="27" spans="1:11" ht="15.3" x14ac:dyDescent="0.55000000000000004">
      <c r="A27" s="312"/>
    </row>
    <row r="28" spans="1:11" ht="15.3" x14ac:dyDescent="0.55000000000000004">
      <c r="A28" s="312"/>
    </row>
    <row r="29" spans="1:11" ht="15.3" x14ac:dyDescent="0.55000000000000004">
      <c r="A29" s="312"/>
    </row>
    <row r="30" spans="1:11" ht="15.3" x14ac:dyDescent="0.55000000000000004">
      <c r="A30" s="312"/>
    </row>
    <row r="31" spans="1:11" ht="15.3" x14ac:dyDescent="0.55000000000000004">
      <c r="A31" s="312"/>
    </row>
    <row r="32" spans="1:11" ht="15.3" x14ac:dyDescent="0.55000000000000004">
      <c r="A32" s="312"/>
    </row>
    <row r="33" spans="1:1" ht="15.3" x14ac:dyDescent="0.55000000000000004">
      <c r="A33" s="312"/>
    </row>
    <row r="34" spans="1:1" ht="15.3" x14ac:dyDescent="0.55000000000000004">
      <c r="A34" s="312"/>
    </row>
    <row r="35" spans="1:1" ht="15.3" x14ac:dyDescent="0.55000000000000004">
      <c r="A35" s="312"/>
    </row>
    <row r="36" spans="1:1" ht="15.3" x14ac:dyDescent="0.55000000000000004">
      <c r="A36" s="312"/>
    </row>
    <row r="37" spans="1:1" ht="15.3" x14ac:dyDescent="0.55000000000000004">
      <c r="A37" s="312"/>
    </row>
    <row r="38" spans="1:1" ht="15.3" x14ac:dyDescent="0.55000000000000004">
      <c r="A38" s="312"/>
    </row>
    <row r="39" spans="1:1" ht="15.3" x14ac:dyDescent="0.55000000000000004">
      <c r="A39" s="312"/>
    </row>
    <row r="40" spans="1:1" ht="15.3" x14ac:dyDescent="0.55000000000000004">
      <c r="A40" s="312"/>
    </row>
    <row r="41" spans="1:1" ht="15.3" x14ac:dyDescent="0.55000000000000004">
      <c r="A41" s="312"/>
    </row>
    <row r="42" spans="1:1" ht="15.3" x14ac:dyDescent="0.55000000000000004">
      <c r="A42" s="312"/>
    </row>
    <row r="43" spans="1:1" ht="15.3" x14ac:dyDescent="0.55000000000000004">
      <c r="A43" s="312"/>
    </row>
    <row r="44" spans="1:1" ht="15.3" x14ac:dyDescent="0.55000000000000004">
      <c r="A44" s="312"/>
    </row>
  </sheetData>
  <mergeCells count="3">
    <mergeCell ref="D4:K4"/>
    <mergeCell ref="D25:K25"/>
    <mergeCell ref="D23:K23"/>
  </mergeCells>
  <hyperlinks>
    <hyperlink ref="E8" location="'A1 GDP deflator'!Print_Area" display="A1 GDP deflator" xr:uid="{86B883B7-ED0D-4F57-8E23-220B886563D0}"/>
    <hyperlink ref="E9" location="'A2 Discount'!A1" display="A2 Discount" xr:uid="{63B65EC0-0976-4BD4-8839-414F3E043303}"/>
    <hyperlink ref="E10" location="'A3 Market forces'!A1" display="A3 Market forces" xr:uid="{9537391B-3C1F-40A1-A942-EF039ECF0E64}"/>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84AD4-AF65-4DDD-A3D1-91D77CDD7C6A}">
  <sheetPr codeName="Sheet10">
    <tabColor theme="2" tint="-0.249977111117893"/>
    <pageSetUpPr fitToPage="1"/>
  </sheetPr>
  <dimension ref="A2:N106"/>
  <sheetViews>
    <sheetView showGridLines="0" workbookViewId="0">
      <selection activeCell="D9" sqref="D9:E9"/>
    </sheetView>
  </sheetViews>
  <sheetFormatPr defaultColWidth="8.7890625" defaultRowHeight="15.3" x14ac:dyDescent="0.55000000000000004"/>
  <cols>
    <col min="1" max="1" width="34.5234375" style="313" customWidth="1"/>
    <col min="2" max="2" width="4.41796875" style="299" customWidth="1"/>
    <col min="3" max="3" width="17.20703125" style="299" customWidth="1"/>
    <col min="4" max="4" width="17.20703125" style="303" customWidth="1"/>
    <col min="5" max="5" width="17.20703125" style="305" customWidth="1"/>
    <col min="6" max="7" width="17.20703125" style="306" customWidth="1"/>
    <col min="8" max="8" width="5" style="299" customWidth="1"/>
    <col min="9" max="9" width="17.20703125" style="291" customWidth="1"/>
    <col min="10" max="10" width="17.20703125" style="296" customWidth="1"/>
    <col min="11" max="11" width="17.20703125" style="297" customWidth="1"/>
    <col min="12" max="12" width="17.20703125" style="298" customWidth="1"/>
    <col min="13" max="16384" width="8.7890625" style="299"/>
  </cols>
  <sheetData>
    <row r="2" spans="1:13" ht="32.700000000000003" x14ac:dyDescent="0.55000000000000004">
      <c r="A2" s="310"/>
      <c r="C2" s="309" t="s">
        <v>833</v>
      </c>
    </row>
    <row r="3" spans="1:13" ht="12.75" customHeight="1" x14ac:dyDescent="0.55000000000000004">
      <c r="A3" s="310"/>
      <c r="C3" s="314"/>
    </row>
    <row r="4" spans="1:13" x14ac:dyDescent="0.55000000000000004">
      <c r="A4" s="310"/>
      <c r="C4" s="299" t="s">
        <v>811</v>
      </c>
    </row>
    <row r="5" spans="1:13" x14ac:dyDescent="0.55000000000000004">
      <c r="A5" s="310"/>
      <c r="C5" s="292"/>
      <c r="D5" s="293"/>
      <c r="E5" s="294"/>
      <c r="F5" s="295"/>
      <c r="G5" s="295"/>
      <c r="H5" s="291"/>
    </row>
    <row r="6" spans="1:13" x14ac:dyDescent="0.55000000000000004">
      <c r="A6" s="310"/>
      <c r="C6" s="730" t="s">
        <v>421</v>
      </c>
      <c r="D6" s="730"/>
      <c r="E6" s="730"/>
      <c r="F6" s="730"/>
      <c r="G6" s="730"/>
      <c r="H6" s="730"/>
      <c r="I6" s="730"/>
      <c r="J6" s="730"/>
      <c r="K6" s="730"/>
      <c r="L6" s="730"/>
    </row>
    <row r="7" spans="1:13" s="291" customFormat="1" x14ac:dyDescent="0.55000000000000004">
      <c r="A7" s="310"/>
      <c r="C7" s="731"/>
      <c r="D7" s="731"/>
      <c r="E7" s="731"/>
      <c r="F7" s="731"/>
      <c r="G7" s="731"/>
      <c r="H7" s="731"/>
      <c r="I7" s="731"/>
      <c r="J7" s="731"/>
      <c r="K7" s="731"/>
      <c r="L7" s="731"/>
    </row>
    <row r="8" spans="1:13" s="291" customFormat="1" x14ac:dyDescent="0.55000000000000004">
      <c r="A8" s="310"/>
    </row>
    <row r="9" spans="1:13" ht="18" customHeight="1" x14ac:dyDescent="0.55000000000000004">
      <c r="A9" s="310"/>
      <c r="C9" s="419"/>
      <c r="D9" s="732" t="s">
        <v>422</v>
      </c>
      <c r="E9" s="732"/>
      <c r="F9" s="418" t="s">
        <v>904</v>
      </c>
      <c r="G9" s="418"/>
      <c r="H9" s="291"/>
      <c r="I9" s="419"/>
      <c r="J9" s="732" t="s">
        <v>422</v>
      </c>
      <c r="K9" s="732"/>
      <c r="L9" s="418" t="s">
        <v>904</v>
      </c>
    </row>
    <row r="10" spans="1:13" ht="45" x14ac:dyDescent="0.55000000000000004">
      <c r="A10" s="310"/>
      <c r="C10" s="422" t="s">
        <v>423</v>
      </c>
      <c r="D10" s="553" t="s">
        <v>901</v>
      </c>
      <c r="E10" s="550" t="s">
        <v>810</v>
      </c>
      <c r="F10" s="551" t="s">
        <v>424</v>
      </c>
      <c r="G10" s="551" t="s">
        <v>425</v>
      </c>
      <c r="H10" s="300"/>
      <c r="I10" s="422" t="s">
        <v>426</v>
      </c>
      <c r="J10" s="552" t="s">
        <v>427</v>
      </c>
      <c r="K10" s="550" t="s">
        <v>810</v>
      </c>
      <c r="L10" s="551" t="s">
        <v>428</v>
      </c>
    </row>
    <row r="11" spans="1:13" ht="15" x14ac:dyDescent="0.5">
      <c r="A11" s="311"/>
      <c r="C11" s="420" t="s">
        <v>834</v>
      </c>
      <c r="D11" s="301">
        <v>4.0209000000000001</v>
      </c>
      <c r="E11" s="301">
        <v>0</v>
      </c>
      <c r="F11" s="445">
        <v>19565</v>
      </c>
      <c r="G11" s="445">
        <v>19579</v>
      </c>
      <c r="H11" s="302"/>
      <c r="I11" s="423">
        <v>1955</v>
      </c>
      <c r="J11" s="301">
        <v>3.7648999999999999</v>
      </c>
      <c r="K11" s="301">
        <v>0</v>
      </c>
      <c r="L11" s="445">
        <v>19160</v>
      </c>
    </row>
    <row r="12" spans="1:13" s="291" customFormat="1" ht="15" x14ac:dyDescent="0.5">
      <c r="A12" s="311"/>
      <c r="C12" s="420" t="s">
        <v>835</v>
      </c>
      <c r="D12" s="301">
        <v>4.2732250000000001</v>
      </c>
      <c r="E12" s="301">
        <v>6.2753363674799152</v>
      </c>
      <c r="F12" s="445">
        <v>21149</v>
      </c>
      <c r="G12" s="445">
        <v>21125</v>
      </c>
      <c r="H12" s="302"/>
      <c r="I12" s="423">
        <v>1956</v>
      </c>
      <c r="J12" s="301">
        <v>4.0259</v>
      </c>
      <c r="K12" s="301">
        <v>6.9324550452867308</v>
      </c>
      <c r="L12" s="445">
        <v>20832</v>
      </c>
    </row>
    <row r="13" spans="1:13" s="300" customFormat="1" ht="15" x14ac:dyDescent="0.5">
      <c r="A13" s="311"/>
      <c r="C13" s="420" t="s">
        <v>836</v>
      </c>
      <c r="D13" s="301">
        <v>4.4702000000000002</v>
      </c>
      <c r="E13" s="301">
        <v>4.609516231885757</v>
      </c>
      <c r="F13" s="445">
        <v>22499</v>
      </c>
      <c r="G13" s="445">
        <v>22514</v>
      </c>
      <c r="H13" s="302"/>
      <c r="I13" s="423">
        <v>1957</v>
      </c>
      <c r="J13" s="301">
        <v>4.1871</v>
      </c>
      <c r="K13" s="301">
        <v>4.0040736232892025</v>
      </c>
      <c r="L13" s="445">
        <v>22093</v>
      </c>
    </row>
    <row r="14" spans="1:13" s="300" customFormat="1" ht="15" x14ac:dyDescent="0.5">
      <c r="A14" s="311"/>
      <c r="C14" s="420" t="s">
        <v>837</v>
      </c>
      <c r="D14" s="301">
        <v>4.5775000000000006</v>
      </c>
      <c r="E14" s="301">
        <v>2.400340029528889</v>
      </c>
      <c r="F14" s="445">
        <v>23325</v>
      </c>
      <c r="G14" s="445">
        <v>23296</v>
      </c>
      <c r="H14" s="302"/>
      <c r="I14" s="423">
        <v>1958</v>
      </c>
      <c r="J14" s="301">
        <v>4.3403999999999998</v>
      </c>
      <c r="K14" s="301">
        <v>3.6612452532779192</v>
      </c>
      <c r="L14" s="445">
        <v>23210</v>
      </c>
      <c r="M14" s="302"/>
    </row>
    <row r="15" spans="1:13" s="300" customFormat="1" ht="15" x14ac:dyDescent="0.5">
      <c r="A15" s="312"/>
      <c r="C15" s="420" t="s">
        <v>840</v>
      </c>
      <c r="D15" s="301">
        <v>4.6005000000000003</v>
      </c>
      <c r="E15" s="301">
        <v>0.50245767340250536</v>
      </c>
      <c r="F15" s="445">
        <v>24862</v>
      </c>
      <c r="G15" s="445">
        <v>24916</v>
      </c>
      <c r="H15" s="302"/>
      <c r="I15" s="423">
        <v>1959</v>
      </c>
      <c r="J15" s="301">
        <v>4.3719999999999999</v>
      </c>
      <c r="K15" s="301">
        <v>0.72804349829508974</v>
      </c>
      <c r="L15" s="445">
        <v>24378</v>
      </c>
      <c r="M15" s="302"/>
    </row>
    <row r="16" spans="1:13" s="300" customFormat="1" ht="15" x14ac:dyDescent="0.5">
      <c r="A16" s="312"/>
      <c r="C16" s="420" t="s">
        <v>841</v>
      </c>
      <c r="D16" s="301">
        <v>4.694</v>
      </c>
      <c r="E16" s="301">
        <v>2.0323877839365219</v>
      </c>
      <c r="F16" s="445">
        <v>26628</v>
      </c>
      <c r="G16" s="445">
        <v>26646</v>
      </c>
      <c r="H16" s="302"/>
      <c r="I16" s="423">
        <v>1960</v>
      </c>
      <c r="J16" s="301">
        <v>4.4173</v>
      </c>
      <c r="K16" s="301">
        <v>1.0361390667886576</v>
      </c>
      <c r="L16" s="445">
        <v>26189</v>
      </c>
      <c r="M16" s="302"/>
    </row>
    <row r="17" spans="1:13" s="300" customFormat="1" ht="15" x14ac:dyDescent="0.5">
      <c r="A17" s="312"/>
      <c r="C17" s="420" t="s">
        <v>842</v>
      </c>
      <c r="D17" s="301">
        <v>4.8657499999999994</v>
      </c>
      <c r="E17" s="301">
        <v>3.6589262888794076</v>
      </c>
      <c r="F17" s="445">
        <v>28128</v>
      </c>
      <c r="G17" s="445">
        <v>28157</v>
      </c>
      <c r="H17" s="302"/>
      <c r="I17" s="423">
        <v>1961</v>
      </c>
      <c r="J17" s="301">
        <v>4.5845000000000002</v>
      </c>
      <c r="K17" s="301">
        <v>3.7851176057772906</v>
      </c>
      <c r="L17" s="445">
        <v>27905</v>
      </c>
      <c r="M17" s="302"/>
    </row>
    <row r="18" spans="1:13" s="300" customFormat="1" ht="15" x14ac:dyDescent="0.5">
      <c r="A18" s="312"/>
      <c r="C18" s="420" t="s">
        <v>843</v>
      </c>
      <c r="D18" s="301">
        <v>5.0186000000000002</v>
      </c>
      <c r="E18" s="301">
        <v>3.1413451163746768</v>
      </c>
      <c r="F18" s="445">
        <v>29440</v>
      </c>
      <c r="G18" s="445">
        <v>29457</v>
      </c>
      <c r="H18" s="302"/>
      <c r="I18" s="423">
        <v>1962</v>
      </c>
      <c r="J18" s="301">
        <v>4.7497999999999996</v>
      </c>
      <c r="K18" s="301">
        <v>3.6056276584142073</v>
      </c>
      <c r="L18" s="445">
        <v>29224</v>
      </c>
      <c r="M18" s="302"/>
    </row>
    <row r="19" spans="1:13" s="300" customFormat="1" ht="15" x14ac:dyDescent="0.5">
      <c r="A19" s="312"/>
      <c r="C19" s="420" t="s">
        <v>844</v>
      </c>
      <c r="D19" s="301">
        <v>5.1018749999999997</v>
      </c>
      <c r="E19" s="301">
        <v>1.6593273024349331</v>
      </c>
      <c r="F19" s="445">
        <v>31915</v>
      </c>
      <c r="G19" s="445">
        <v>31871</v>
      </c>
      <c r="H19" s="302"/>
      <c r="I19" s="423">
        <v>1963</v>
      </c>
      <c r="J19" s="301">
        <v>4.8193000000000001</v>
      </c>
      <c r="K19" s="301">
        <v>1.4632195039791269</v>
      </c>
      <c r="L19" s="445">
        <v>31091</v>
      </c>
      <c r="M19" s="302"/>
    </row>
    <row r="20" spans="1:13" s="300" customFormat="1" ht="15" x14ac:dyDescent="0.5">
      <c r="A20" s="312"/>
      <c r="C20" s="421" t="s">
        <v>845</v>
      </c>
      <c r="D20" s="301">
        <v>5.3431250000000006</v>
      </c>
      <c r="E20" s="301">
        <v>4.7286536812446576</v>
      </c>
      <c r="F20" s="445">
        <v>34850</v>
      </c>
      <c r="G20" s="445">
        <v>34918</v>
      </c>
      <c r="H20" s="302"/>
      <c r="I20" s="423">
        <v>1964</v>
      </c>
      <c r="J20" s="301">
        <v>4.9922000000000004</v>
      </c>
      <c r="K20" s="301">
        <v>3.5876579586247024</v>
      </c>
      <c r="L20" s="445">
        <v>34043</v>
      </c>
      <c r="M20" s="302"/>
    </row>
    <row r="21" spans="1:13" s="300" customFormat="1" ht="15" x14ac:dyDescent="0.5">
      <c r="A21" s="312"/>
      <c r="C21" s="421" t="s">
        <v>846</v>
      </c>
      <c r="D21" s="301">
        <v>5.6315750000000007</v>
      </c>
      <c r="E21" s="301">
        <v>5.3985261434085867</v>
      </c>
      <c r="F21" s="445">
        <v>37459</v>
      </c>
      <c r="G21" s="445">
        <v>37414</v>
      </c>
      <c r="H21" s="302"/>
      <c r="I21" s="423">
        <v>1965</v>
      </c>
      <c r="J21" s="301">
        <v>5.2893999999999997</v>
      </c>
      <c r="K21" s="301">
        <v>5.9532871279195394</v>
      </c>
      <c r="L21" s="445">
        <v>36826</v>
      </c>
      <c r="M21" s="302"/>
    </row>
    <row r="22" spans="1:13" s="300" customFormat="1" ht="15" x14ac:dyDescent="0.5">
      <c r="A22" s="312"/>
      <c r="C22" s="421" t="s">
        <v>847</v>
      </c>
      <c r="D22" s="301">
        <v>5.9190249999999995</v>
      </c>
      <c r="E22" s="301">
        <v>5.1042559141980499</v>
      </c>
      <c r="F22" s="445">
        <v>39952</v>
      </c>
      <c r="G22" s="445">
        <v>39948</v>
      </c>
      <c r="H22" s="302"/>
      <c r="I22" s="423">
        <v>1966</v>
      </c>
      <c r="J22" s="301">
        <v>5.5721999999999996</v>
      </c>
      <c r="K22" s="301">
        <v>5.3465421408855445</v>
      </c>
      <c r="L22" s="445">
        <v>39394</v>
      </c>
      <c r="M22" s="302"/>
    </row>
    <row r="23" spans="1:13" ht="12.75" customHeight="1" x14ac:dyDescent="0.5">
      <c r="A23" s="312"/>
      <c r="C23" s="421" t="s">
        <v>848</v>
      </c>
      <c r="D23" s="301">
        <v>6.08155</v>
      </c>
      <c r="E23" s="301">
        <v>2.7458069530032478</v>
      </c>
      <c r="F23" s="445">
        <v>42517</v>
      </c>
      <c r="G23" s="445">
        <v>42625</v>
      </c>
      <c r="H23" s="302"/>
      <c r="I23" s="423">
        <v>1967</v>
      </c>
      <c r="J23" s="301">
        <v>5.7373000000000003</v>
      </c>
      <c r="K23" s="301">
        <v>2.9629230824450072</v>
      </c>
      <c r="L23" s="445">
        <v>41684</v>
      </c>
      <c r="M23" s="302"/>
    </row>
    <row r="24" spans="1:13" ht="15" x14ac:dyDescent="0.5">
      <c r="A24" s="312"/>
      <c r="C24" s="421" t="s">
        <v>849</v>
      </c>
      <c r="D24" s="301">
        <v>6.4003499999999995</v>
      </c>
      <c r="E24" s="301">
        <v>5.2420846659157538</v>
      </c>
      <c r="F24" s="445">
        <v>46778</v>
      </c>
      <c r="G24" s="445">
        <v>46800</v>
      </c>
      <c r="H24" s="302"/>
      <c r="I24" s="423">
        <v>1968</v>
      </c>
      <c r="J24" s="301">
        <v>5.9786999999999999</v>
      </c>
      <c r="K24" s="301">
        <v>4.2075540759590675</v>
      </c>
      <c r="L24" s="445">
        <v>45809</v>
      </c>
      <c r="M24" s="302"/>
    </row>
    <row r="25" spans="1:13" ht="15" x14ac:dyDescent="0.5">
      <c r="A25" s="312"/>
      <c r="C25" s="421" t="s">
        <v>850</v>
      </c>
      <c r="D25" s="301">
        <v>6.8428749999999994</v>
      </c>
      <c r="E25" s="301">
        <v>6.9140750115228053</v>
      </c>
      <c r="F25" s="445">
        <v>50866</v>
      </c>
      <c r="G25" s="445">
        <v>50921</v>
      </c>
      <c r="H25" s="302"/>
      <c r="I25" s="423">
        <v>1969</v>
      </c>
      <c r="J25" s="301">
        <v>6.3754999999999997</v>
      </c>
      <c r="K25" s="301">
        <v>6.6368943081271823</v>
      </c>
      <c r="L25" s="445">
        <v>49785</v>
      </c>
      <c r="M25" s="302"/>
    </row>
    <row r="26" spans="1:13" ht="15" x14ac:dyDescent="0.5">
      <c r="A26" s="312"/>
      <c r="C26" s="421" t="s">
        <v>851</v>
      </c>
      <c r="D26" s="301">
        <v>7.5181750000000003</v>
      </c>
      <c r="E26" s="301">
        <v>9.8686590066309989</v>
      </c>
      <c r="F26" s="445">
        <v>57738</v>
      </c>
      <c r="G26" s="445">
        <v>57821</v>
      </c>
      <c r="H26" s="302"/>
      <c r="I26" s="423">
        <v>1970</v>
      </c>
      <c r="J26" s="301">
        <v>6.9885999999999999</v>
      </c>
      <c r="K26" s="301">
        <v>9.6165006666143871</v>
      </c>
      <c r="L26" s="445">
        <v>56057</v>
      </c>
      <c r="M26" s="302"/>
    </row>
    <row r="27" spans="1:13" ht="15" x14ac:dyDescent="0.5">
      <c r="A27" s="312"/>
      <c r="C27" s="421" t="s">
        <v>852</v>
      </c>
      <c r="D27" s="301">
        <v>8.0861750000000008</v>
      </c>
      <c r="E27" s="301">
        <v>7.5550249894422574</v>
      </c>
      <c r="F27" s="445">
        <v>64582</v>
      </c>
      <c r="G27" s="445">
        <v>64489</v>
      </c>
      <c r="H27" s="302"/>
      <c r="I27" s="423">
        <v>1971</v>
      </c>
      <c r="J27" s="301">
        <v>7.5677000000000003</v>
      </c>
      <c r="K27" s="301">
        <v>8.2863520590676298</v>
      </c>
      <c r="L27" s="445">
        <v>62885</v>
      </c>
      <c r="M27" s="302"/>
    </row>
    <row r="28" spans="1:13" ht="15" x14ac:dyDescent="0.5">
      <c r="A28" s="312"/>
      <c r="C28" s="421" t="s">
        <v>853</v>
      </c>
      <c r="D28" s="301">
        <v>8.7730999999999995</v>
      </c>
      <c r="E28" s="301">
        <v>8.495054831239722</v>
      </c>
      <c r="F28" s="445">
        <v>73895</v>
      </c>
      <c r="G28" s="445">
        <v>73997</v>
      </c>
      <c r="H28" s="302"/>
      <c r="I28" s="423">
        <v>1972</v>
      </c>
      <c r="J28" s="301">
        <v>8.1393000000000004</v>
      </c>
      <c r="K28" s="301">
        <v>7.5531535340988691</v>
      </c>
      <c r="L28" s="445">
        <v>70553</v>
      </c>
      <c r="M28" s="302"/>
    </row>
    <row r="29" spans="1:13" ht="15" x14ac:dyDescent="0.5">
      <c r="A29" s="312"/>
      <c r="C29" s="421" t="s">
        <v>854</v>
      </c>
      <c r="D29" s="301">
        <v>9.5455000000000005</v>
      </c>
      <c r="E29" s="301">
        <v>8.8041855216514247</v>
      </c>
      <c r="F29" s="445">
        <v>82801</v>
      </c>
      <c r="G29" s="445">
        <v>82825</v>
      </c>
      <c r="H29" s="302"/>
      <c r="I29" s="423">
        <v>1973</v>
      </c>
      <c r="J29" s="301">
        <v>8.8609000000000009</v>
      </c>
      <c r="K29" s="301">
        <v>8.8656272652439458</v>
      </c>
      <c r="L29" s="445">
        <v>81746</v>
      </c>
      <c r="M29" s="302"/>
    </row>
    <row r="30" spans="1:13" ht="15" x14ac:dyDescent="0.5">
      <c r="A30" s="312"/>
      <c r="C30" s="421" t="s">
        <v>855</v>
      </c>
      <c r="D30" s="301">
        <v>11.4831</v>
      </c>
      <c r="E30" s="301">
        <v>20.298570006809488</v>
      </c>
      <c r="F30" s="445">
        <v>98121</v>
      </c>
      <c r="G30" s="445">
        <v>98292</v>
      </c>
      <c r="H30" s="302"/>
      <c r="I30" s="423">
        <v>1974</v>
      </c>
      <c r="J30" s="301">
        <v>10.2935</v>
      </c>
      <c r="K30" s="301">
        <v>16.167657912853084</v>
      </c>
      <c r="L30" s="445">
        <v>92612</v>
      </c>
      <c r="M30" s="302"/>
    </row>
    <row r="31" spans="1:13" ht="15" x14ac:dyDescent="0.5">
      <c r="A31" s="312"/>
      <c r="C31" s="421" t="s">
        <v>856</v>
      </c>
      <c r="D31" s="301">
        <v>14.29415</v>
      </c>
      <c r="E31" s="301">
        <v>24.479887835166462</v>
      </c>
      <c r="F31" s="445">
        <v>120774</v>
      </c>
      <c r="G31" s="445">
        <v>120658</v>
      </c>
      <c r="H31" s="302"/>
      <c r="I31" s="423">
        <v>1975</v>
      </c>
      <c r="J31" s="301">
        <v>12.983700000000001</v>
      </c>
      <c r="K31" s="301">
        <v>26.134939524942936</v>
      </c>
      <c r="L31" s="445">
        <v>115027</v>
      </c>
      <c r="M31" s="302"/>
    </row>
    <row r="32" spans="1:13" ht="15" x14ac:dyDescent="0.5">
      <c r="A32" s="312"/>
      <c r="C32" s="421" t="s">
        <v>857</v>
      </c>
      <c r="D32" s="301">
        <v>16.283950000000001</v>
      </c>
      <c r="E32" s="301">
        <v>13.920380015600792</v>
      </c>
      <c r="F32" s="445">
        <v>141965</v>
      </c>
      <c r="G32" s="445">
        <v>142478</v>
      </c>
      <c r="H32" s="302"/>
      <c r="I32" s="423">
        <v>1976</v>
      </c>
      <c r="J32" s="301">
        <v>14.991300000000001</v>
      </c>
      <c r="K32" s="301">
        <v>15.462464474687494</v>
      </c>
      <c r="L32" s="445">
        <v>136901</v>
      </c>
      <c r="M32" s="302"/>
    </row>
    <row r="33" spans="1:13" ht="15" x14ac:dyDescent="0.5">
      <c r="A33" s="312"/>
      <c r="C33" s="421" t="s">
        <v>858</v>
      </c>
      <c r="D33" s="301">
        <v>18.52345</v>
      </c>
      <c r="E33" s="301">
        <v>13.752805676755331</v>
      </c>
      <c r="F33" s="445">
        <v>165933</v>
      </c>
      <c r="G33" s="445">
        <v>165716</v>
      </c>
      <c r="H33" s="302"/>
      <c r="I33" s="423">
        <v>1977</v>
      </c>
      <c r="J33" s="301">
        <v>17.068899999999999</v>
      </c>
      <c r="K33" s="301">
        <v>13.85870471540159</v>
      </c>
      <c r="L33" s="445">
        <v>159631</v>
      </c>
      <c r="M33" s="302"/>
    </row>
    <row r="34" spans="1:13" ht="15" x14ac:dyDescent="0.5">
      <c r="A34" s="312"/>
      <c r="C34" s="421" t="s">
        <v>859</v>
      </c>
      <c r="D34" s="301">
        <v>20.608849999999997</v>
      </c>
      <c r="E34" s="301">
        <v>11.258161951472303</v>
      </c>
      <c r="F34" s="445">
        <v>192151</v>
      </c>
      <c r="G34" s="445">
        <v>192270</v>
      </c>
      <c r="H34" s="302"/>
      <c r="I34" s="423">
        <v>1978</v>
      </c>
      <c r="J34" s="301">
        <v>19.084199999999999</v>
      </c>
      <c r="K34" s="301">
        <v>11.806853400043353</v>
      </c>
      <c r="L34" s="445">
        <v>185960</v>
      </c>
      <c r="M34" s="302"/>
    </row>
    <row r="35" spans="1:13" ht="15" x14ac:dyDescent="0.5">
      <c r="A35" s="312"/>
      <c r="C35" s="421" t="s">
        <v>860</v>
      </c>
      <c r="D35" s="301">
        <v>24.082250000000002</v>
      </c>
      <c r="E35" s="301">
        <v>16.853924406262387</v>
      </c>
      <c r="F35" s="445">
        <v>232309</v>
      </c>
      <c r="G35" s="445">
        <v>232344</v>
      </c>
      <c r="H35" s="302"/>
      <c r="I35" s="423">
        <v>1979</v>
      </c>
      <c r="J35" s="301">
        <v>21.839400000000001</v>
      </c>
      <c r="K35" s="301">
        <v>14.437073600150921</v>
      </c>
      <c r="L35" s="445">
        <v>220721</v>
      </c>
      <c r="M35" s="302"/>
    </row>
    <row r="36" spans="1:13" ht="15" x14ac:dyDescent="0.5">
      <c r="A36" s="312"/>
      <c r="C36" s="421" t="s">
        <v>861</v>
      </c>
      <c r="D36" s="301">
        <v>28.68665</v>
      </c>
      <c r="E36" s="301">
        <v>19.119475962586545</v>
      </c>
      <c r="F36" s="445">
        <v>267219</v>
      </c>
      <c r="G36" s="445">
        <v>267501</v>
      </c>
      <c r="H36" s="302"/>
      <c r="I36" s="423">
        <v>1980</v>
      </c>
      <c r="J36" s="301">
        <v>26.252700000000001</v>
      </c>
      <c r="K36" s="301">
        <v>20.207972746504023</v>
      </c>
      <c r="L36" s="445">
        <v>259663</v>
      </c>
      <c r="M36" s="302"/>
    </row>
    <row r="37" spans="1:13" ht="15" x14ac:dyDescent="0.5">
      <c r="A37" s="312"/>
      <c r="C37" s="421" t="s">
        <v>862</v>
      </c>
      <c r="D37" s="301">
        <v>31.708275</v>
      </c>
      <c r="E37" s="301">
        <v>10.533209698588021</v>
      </c>
      <c r="F37" s="445">
        <v>297912</v>
      </c>
      <c r="G37" s="445">
        <v>297358</v>
      </c>
      <c r="H37" s="302"/>
      <c r="I37" s="423">
        <v>1981</v>
      </c>
      <c r="J37" s="301">
        <v>29.489000000000001</v>
      </c>
      <c r="K37" s="301">
        <v>12.327493933957269</v>
      </c>
      <c r="L37" s="445">
        <v>289840</v>
      </c>
      <c r="M37" s="302"/>
    </row>
    <row r="38" spans="1:13" ht="15" x14ac:dyDescent="0.5">
      <c r="A38" s="312"/>
      <c r="C38" s="421" t="s">
        <v>863</v>
      </c>
      <c r="D38" s="301">
        <v>34.042149999999999</v>
      </c>
      <c r="E38" s="301">
        <v>7.3604603214775928</v>
      </c>
      <c r="F38" s="445">
        <v>327113</v>
      </c>
      <c r="G38" s="445">
        <v>327373</v>
      </c>
      <c r="H38" s="302"/>
      <c r="I38" s="423">
        <v>1982</v>
      </c>
      <c r="J38" s="301">
        <v>31.850200000000001</v>
      </c>
      <c r="K38" s="301">
        <v>8.0070534775679079</v>
      </c>
      <c r="L38" s="445">
        <v>319212</v>
      </c>
      <c r="M38" s="302"/>
    </row>
    <row r="39" spans="1:13" ht="15" x14ac:dyDescent="0.5">
      <c r="A39" s="312"/>
      <c r="C39" s="421" t="s">
        <v>864</v>
      </c>
      <c r="D39" s="301">
        <v>35.668500000000002</v>
      </c>
      <c r="E39" s="301">
        <v>4.7774597080384238</v>
      </c>
      <c r="F39" s="445">
        <v>357776</v>
      </c>
      <c r="G39" s="445">
        <v>357033</v>
      </c>
      <c r="H39" s="302"/>
      <c r="I39" s="423">
        <v>1983</v>
      </c>
      <c r="J39" s="301">
        <v>33.6158</v>
      </c>
      <c r="K39" s="301">
        <v>5.5434502766073654</v>
      </c>
      <c r="L39" s="445">
        <v>351051</v>
      </c>
      <c r="M39" s="302"/>
    </row>
    <row r="40" spans="1:13" ht="15" x14ac:dyDescent="0.5">
      <c r="A40" s="312"/>
      <c r="C40" s="421" t="s">
        <v>865</v>
      </c>
      <c r="D40" s="301">
        <v>37.696550000000002</v>
      </c>
      <c r="E40" s="301">
        <v>5.685829233076805</v>
      </c>
      <c r="F40" s="445">
        <v>385702</v>
      </c>
      <c r="G40" s="445">
        <v>384904</v>
      </c>
      <c r="H40" s="302"/>
      <c r="I40" s="423">
        <v>1984</v>
      </c>
      <c r="J40" s="301">
        <v>35.3703</v>
      </c>
      <c r="K40" s="301">
        <v>5.2192718900041051</v>
      </c>
      <c r="L40" s="445">
        <v>377644</v>
      </c>
      <c r="M40" s="302"/>
    </row>
    <row r="41" spans="1:13" ht="15" x14ac:dyDescent="0.5">
      <c r="A41" s="312"/>
      <c r="C41" s="421" t="s">
        <v>866</v>
      </c>
      <c r="D41" s="301">
        <v>39.795000000000002</v>
      </c>
      <c r="E41" s="301">
        <v>5.5666897899144603</v>
      </c>
      <c r="F41" s="445">
        <v>423588</v>
      </c>
      <c r="G41" s="445">
        <v>424157</v>
      </c>
      <c r="H41" s="302"/>
      <c r="I41" s="423">
        <v>1985</v>
      </c>
      <c r="J41" s="301">
        <v>37.274799999999999</v>
      </c>
      <c r="K41" s="301">
        <v>5.3844609743202589</v>
      </c>
      <c r="L41" s="445">
        <v>414428</v>
      </c>
      <c r="M41" s="302"/>
    </row>
    <row r="42" spans="1:13" ht="15" x14ac:dyDescent="0.5">
      <c r="A42" s="312"/>
      <c r="C42" s="421" t="s">
        <v>867</v>
      </c>
      <c r="D42" s="301">
        <v>41.444950000000006</v>
      </c>
      <c r="E42" s="301">
        <v>4.1461238849101747</v>
      </c>
      <c r="F42" s="445">
        <v>455402</v>
      </c>
      <c r="G42" s="445">
        <v>456104</v>
      </c>
      <c r="H42" s="302"/>
      <c r="I42" s="423">
        <v>1986</v>
      </c>
      <c r="J42" s="301">
        <v>38.9465</v>
      </c>
      <c r="K42" s="301">
        <v>4.4847993818880356</v>
      </c>
      <c r="L42" s="445">
        <v>446635</v>
      </c>
      <c r="M42" s="302"/>
    </row>
    <row r="43" spans="1:13" ht="15" x14ac:dyDescent="0.5">
      <c r="A43" s="312"/>
      <c r="C43" s="421" t="s">
        <v>868</v>
      </c>
      <c r="D43" s="301">
        <v>43.763900000000007</v>
      </c>
      <c r="E43" s="301">
        <v>5.5952534627258581</v>
      </c>
      <c r="F43" s="445">
        <v>510969</v>
      </c>
      <c r="G43" s="445">
        <v>511263</v>
      </c>
      <c r="H43" s="302"/>
      <c r="I43" s="423">
        <v>1987</v>
      </c>
      <c r="J43" s="301">
        <v>41.042200000000001</v>
      </c>
      <c r="K43" s="301">
        <v>5.380971332468901</v>
      </c>
      <c r="L43" s="445">
        <v>496140</v>
      </c>
      <c r="M43" s="302"/>
    </row>
    <row r="44" spans="1:13" ht="15" x14ac:dyDescent="0.5">
      <c r="A44" s="312"/>
      <c r="C44" s="421" t="s">
        <v>869</v>
      </c>
      <c r="D44" s="301">
        <v>46.622799999999998</v>
      </c>
      <c r="E44" s="301">
        <v>6.5325530859909442</v>
      </c>
      <c r="F44" s="445">
        <v>570134</v>
      </c>
      <c r="G44" s="445">
        <v>571066</v>
      </c>
      <c r="H44" s="302"/>
      <c r="I44" s="423">
        <v>1988</v>
      </c>
      <c r="J44" s="301">
        <v>43.472499999999997</v>
      </c>
      <c r="K44" s="301">
        <v>5.9214661982057386</v>
      </c>
      <c r="L44" s="445">
        <v>555607</v>
      </c>
      <c r="M44" s="302"/>
    </row>
    <row r="45" spans="1:13" ht="15" x14ac:dyDescent="0.5">
      <c r="A45" s="312"/>
      <c r="C45" s="421" t="s">
        <v>870</v>
      </c>
      <c r="D45" s="301">
        <v>50.236750000000001</v>
      </c>
      <c r="E45" s="301">
        <v>7.7514649484801481</v>
      </c>
      <c r="F45" s="445">
        <v>628400</v>
      </c>
      <c r="G45" s="445">
        <v>628141</v>
      </c>
      <c r="H45" s="302"/>
      <c r="I45" s="423">
        <v>1989</v>
      </c>
      <c r="J45" s="301">
        <v>46.883099999999999</v>
      </c>
      <c r="K45" s="301">
        <v>7.8454195180861523</v>
      </c>
      <c r="L45" s="445">
        <v>614524</v>
      </c>
      <c r="M45" s="302"/>
    </row>
    <row r="46" spans="1:13" x14ac:dyDescent="0.55000000000000004">
      <c r="C46" s="421" t="s">
        <v>871</v>
      </c>
      <c r="D46" s="301">
        <v>54.367025000000005</v>
      </c>
      <c r="E46" s="301">
        <v>8.2216206263343174</v>
      </c>
      <c r="F46" s="445">
        <v>678521</v>
      </c>
      <c r="G46" s="445">
        <v>680052</v>
      </c>
      <c r="H46" s="302"/>
      <c r="I46" s="423">
        <v>1990</v>
      </c>
      <c r="J46" s="301">
        <v>50.67</v>
      </c>
      <c r="K46" s="301">
        <v>8.0773242383716148</v>
      </c>
      <c r="L46" s="445">
        <v>668931</v>
      </c>
      <c r="M46" s="302"/>
    </row>
    <row r="47" spans="1:13" x14ac:dyDescent="0.55000000000000004">
      <c r="C47" s="421" t="s">
        <v>872</v>
      </c>
      <c r="D47" s="301">
        <v>57.525350000000003</v>
      </c>
      <c r="E47" s="301">
        <v>5.8092658187568613</v>
      </c>
      <c r="F47" s="445">
        <v>714840</v>
      </c>
      <c r="G47" s="445">
        <v>713503</v>
      </c>
      <c r="H47" s="302"/>
      <c r="I47" s="423">
        <v>1991</v>
      </c>
      <c r="J47" s="301">
        <v>54.0289</v>
      </c>
      <c r="K47" s="301">
        <v>6.6289717781724846</v>
      </c>
      <c r="L47" s="445">
        <v>705464</v>
      </c>
      <c r="M47" s="302"/>
    </row>
    <row r="48" spans="1:13" x14ac:dyDescent="0.55000000000000004">
      <c r="C48" s="421" t="s">
        <v>873</v>
      </c>
      <c r="D48" s="301">
        <v>59.022625000000005</v>
      </c>
      <c r="E48" s="301">
        <v>2.602809022457059</v>
      </c>
      <c r="F48" s="445">
        <v>737126</v>
      </c>
      <c r="G48" s="445">
        <v>738927</v>
      </c>
      <c r="H48" s="302"/>
      <c r="I48" s="423">
        <v>1992</v>
      </c>
      <c r="J48" s="301">
        <v>55.727400000000003</v>
      </c>
      <c r="K48" s="301">
        <v>3.1436879151713302</v>
      </c>
      <c r="L48" s="445">
        <v>730578</v>
      </c>
      <c r="M48" s="302"/>
    </row>
    <row r="49" spans="3:13" x14ac:dyDescent="0.55000000000000004">
      <c r="C49" s="421" t="s">
        <v>874</v>
      </c>
      <c r="D49" s="301">
        <v>60.475175</v>
      </c>
      <c r="E49" s="301">
        <v>2.4610054195319084</v>
      </c>
      <c r="F49" s="445">
        <v>780790</v>
      </c>
      <c r="G49" s="445">
        <v>778283</v>
      </c>
      <c r="H49" s="302"/>
      <c r="I49" s="423">
        <v>1993</v>
      </c>
      <c r="J49" s="301">
        <v>57.243099999999998</v>
      </c>
      <c r="K49" s="301">
        <v>2.7198469693543847</v>
      </c>
      <c r="L49" s="445">
        <v>769159</v>
      </c>
      <c r="M49" s="302"/>
    </row>
    <row r="50" spans="3:13" x14ac:dyDescent="0.55000000000000004">
      <c r="C50" s="421" t="s">
        <v>875</v>
      </c>
      <c r="D50" s="301">
        <v>61.257725000000001</v>
      </c>
      <c r="E50" s="301">
        <v>1.2940020429870613</v>
      </c>
      <c r="F50" s="445">
        <v>819023</v>
      </c>
      <c r="G50" s="445">
        <v>818955</v>
      </c>
      <c r="H50" s="302"/>
      <c r="I50" s="423">
        <v>1994</v>
      </c>
      <c r="J50" s="301">
        <v>58.013199999999998</v>
      </c>
      <c r="K50" s="301">
        <v>1.3453149811942389</v>
      </c>
      <c r="L50" s="445">
        <v>809486</v>
      </c>
      <c r="M50" s="302"/>
    </row>
    <row r="51" spans="3:13" x14ac:dyDescent="0.55000000000000004">
      <c r="C51" s="421" t="s">
        <v>876</v>
      </c>
      <c r="D51" s="301">
        <v>63.079749999999997</v>
      </c>
      <c r="E51" s="301">
        <v>2.9743595603656461</v>
      </c>
      <c r="F51" s="445">
        <v>863523</v>
      </c>
      <c r="G51" s="445">
        <v>862117</v>
      </c>
      <c r="H51" s="302"/>
      <c r="I51" s="423">
        <v>1995</v>
      </c>
      <c r="J51" s="301">
        <v>59.424399999999999</v>
      </c>
      <c r="K51" s="301">
        <v>2.4325498334861737</v>
      </c>
      <c r="L51" s="445">
        <v>850181</v>
      </c>
      <c r="M51" s="302"/>
    </row>
    <row r="52" spans="3:13" x14ac:dyDescent="0.55000000000000004">
      <c r="C52" s="421" t="s">
        <v>877</v>
      </c>
      <c r="D52" s="301">
        <v>65.321149999999989</v>
      </c>
      <c r="E52" s="301">
        <v>3.5532797767904785</v>
      </c>
      <c r="F52" s="445">
        <v>920418</v>
      </c>
      <c r="G52" s="445">
        <v>921031</v>
      </c>
      <c r="H52" s="302"/>
      <c r="I52" s="423">
        <v>1996</v>
      </c>
      <c r="J52" s="301">
        <v>61.870100000000001</v>
      </c>
      <c r="K52" s="301">
        <v>4.1156494638566015</v>
      </c>
      <c r="L52" s="445">
        <v>907265</v>
      </c>
      <c r="M52" s="302"/>
    </row>
    <row r="53" spans="3:13" x14ac:dyDescent="0.55000000000000004">
      <c r="C53" s="421" t="s">
        <v>878</v>
      </c>
      <c r="D53" s="301">
        <v>65.105674999999991</v>
      </c>
      <c r="E53" s="301">
        <v>-0.32987018752731379</v>
      </c>
      <c r="F53" s="445">
        <v>962452</v>
      </c>
      <c r="G53" s="445">
        <v>961038</v>
      </c>
      <c r="H53" s="302"/>
      <c r="I53" s="423">
        <v>1997</v>
      </c>
      <c r="J53" s="301">
        <v>61.833500000000001</v>
      </c>
      <c r="K53" s="301">
        <v>-5.915619984451289E-2</v>
      </c>
      <c r="L53" s="445">
        <v>951750</v>
      </c>
      <c r="M53" s="302"/>
    </row>
    <row r="54" spans="3:13" x14ac:dyDescent="0.55000000000000004">
      <c r="C54" s="421" t="s">
        <v>879</v>
      </c>
      <c r="D54" s="301">
        <v>66.177275000000009</v>
      </c>
      <c r="E54" s="301">
        <v>1.6459394668744589</v>
      </c>
      <c r="F54" s="445">
        <v>1009908</v>
      </c>
      <c r="G54" s="445">
        <v>1011945</v>
      </c>
      <c r="H54" s="302"/>
      <c r="I54" s="423">
        <v>1998</v>
      </c>
      <c r="J54" s="301">
        <v>62.467100000000002</v>
      </c>
      <c r="K54" s="301">
        <v>1.024687264993897</v>
      </c>
      <c r="L54" s="445">
        <v>997247</v>
      </c>
      <c r="M54" s="302"/>
    </row>
    <row r="55" spans="3:13" x14ac:dyDescent="0.55000000000000004">
      <c r="C55" s="421" t="s">
        <v>880</v>
      </c>
      <c r="D55" s="301">
        <v>66.472425000000001</v>
      </c>
      <c r="E55" s="301">
        <v>0.44599902307853029</v>
      </c>
      <c r="F55" s="445">
        <v>1053356</v>
      </c>
      <c r="G55" s="445">
        <v>1052515</v>
      </c>
      <c r="H55" s="302"/>
      <c r="I55" s="423">
        <v>1999</v>
      </c>
      <c r="J55" s="301">
        <v>63.059800000000003</v>
      </c>
      <c r="K55" s="301">
        <v>0.94881945856298866</v>
      </c>
      <c r="L55" s="445">
        <v>1039752</v>
      </c>
      <c r="M55" s="302"/>
    </row>
    <row r="56" spans="3:13" x14ac:dyDescent="0.55000000000000004">
      <c r="C56" s="421" t="s">
        <v>881</v>
      </c>
      <c r="D56" s="301">
        <v>67.684349999999995</v>
      </c>
      <c r="E56" s="301">
        <v>1.8231996199927922</v>
      </c>
      <c r="F56" s="445">
        <v>1107366</v>
      </c>
      <c r="G56" s="445">
        <v>1104074</v>
      </c>
      <c r="H56" s="302"/>
      <c r="I56" s="423">
        <v>2000</v>
      </c>
      <c r="J56" s="301">
        <v>64.210999999999999</v>
      </c>
      <c r="K56" s="301">
        <v>1.8255687458571004</v>
      </c>
      <c r="L56" s="445">
        <v>1095900</v>
      </c>
      <c r="M56" s="302"/>
    </row>
    <row r="57" spans="3:13" x14ac:dyDescent="0.55000000000000004">
      <c r="C57" s="421" t="s">
        <v>882</v>
      </c>
      <c r="D57" s="301">
        <v>68.6738</v>
      </c>
      <c r="E57" s="301">
        <v>1.4618593515340033</v>
      </c>
      <c r="F57" s="445">
        <v>1147125</v>
      </c>
      <c r="G57" s="445">
        <v>1150867</v>
      </c>
      <c r="H57" s="302"/>
      <c r="I57" s="423">
        <v>2001</v>
      </c>
      <c r="J57" s="301">
        <v>64.925799999999995</v>
      </c>
      <c r="K57" s="301">
        <v>1.1132049025867792</v>
      </c>
      <c r="L57" s="445">
        <v>1138375</v>
      </c>
      <c r="M57" s="302"/>
    </row>
    <row r="58" spans="3:13" x14ac:dyDescent="0.55000000000000004">
      <c r="C58" s="421" t="s">
        <v>883</v>
      </c>
      <c r="D58" s="301">
        <v>70.206050000000005</v>
      </c>
      <c r="E58" s="301">
        <v>2.2312002539542077</v>
      </c>
      <c r="F58" s="445">
        <v>1206906</v>
      </c>
      <c r="G58" s="445">
        <v>1203341</v>
      </c>
      <c r="H58" s="302"/>
      <c r="I58" s="423">
        <v>2002</v>
      </c>
      <c r="J58" s="301">
        <v>66.291499999999999</v>
      </c>
      <c r="K58" s="301">
        <v>2.1034781242587752</v>
      </c>
      <c r="L58" s="445">
        <v>1187671</v>
      </c>
      <c r="M58" s="302"/>
    </row>
    <row r="59" spans="3:13" x14ac:dyDescent="0.55000000000000004">
      <c r="C59" s="421" t="s">
        <v>884</v>
      </c>
      <c r="D59" s="301">
        <v>71.714349999999996</v>
      </c>
      <c r="E59" s="301">
        <v>2.1483903452764985</v>
      </c>
      <c r="F59" s="445">
        <v>1270825</v>
      </c>
      <c r="G59" s="445">
        <v>1272015</v>
      </c>
      <c r="H59" s="302"/>
      <c r="I59" s="423">
        <v>2003</v>
      </c>
      <c r="J59" s="301">
        <v>67.860100000000003</v>
      </c>
      <c r="K59" s="301">
        <v>2.3662158798639399</v>
      </c>
      <c r="L59" s="445">
        <v>1256188</v>
      </c>
      <c r="M59" s="302"/>
    </row>
    <row r="60" spans="3:13" x14ac:dyDescent="0.55000000000000004">
      <c r="C60" s="421" t="s">
        <v>885</v>
      </c>
      <c r="D60" s="301">
        <v>73.762725000000003</v>
      </c>
      <c r="E60" s="301">
        <v>2.8562972403710098</v>
      </c>
      <c r="F60" s="445">
        <v>1334628</v>
      </c>
      <c r="G60" s="445">
        <v>1332488</v>
      </c>
      <c r="H60" s="302"/>
      <c r="I60" s="423">
        <v>2004</v>
      </c>
      <c r="J60" s="301">
        <v>69.582499999999996</v>
      </c>
      <c r="K60" s="301">
        <v>2.5381630737355132</v>
      </c>
      <c r="L60" s="445">
        <v>1317459</v>
      </c>
      <c r="M60" s="302"/>
    </row>
    <row r="61" spans="3:13" x14ac:dyDescent="0.55000000000000004">
      <c r="C61" s="421" t="s">
        <v>886</v>
      </c>
      <c r="D61" s="301">
        <v>75.708799999999997</v>
      </c>
      <c r="E61" s="301">
        <v>2.6382905458007326</v>
      </c>
      <c r="F61" s="445">
        <v>1417614</v>
      </c>
      <c r="G61" s="445">
        <v>1416731</v>
      </c>
      <c r="H61" s="302"/>
      <c r="I61" s="423">
        <v>2005</v>
      </c>
      <c r="J61" s="301">
        <v>71.457099999999997</v>
      </c>
      <c r="K61" s="301">
        <v>2.6940681924334435</v>
      </c>
      <c r="L61" s="445">
        <v>1393038</v>
      </c>
      <c r="M61" s="302"/>
    </row>
    <row r="62" spans="3:13" ht="15" customHeight="1" x14ac:dyDescent="0.55000000000000004">
      <c r="C62" s="421" t="s">
        <v>887</v>
      </c>
      <c r="D62" s="301">
        <v>77.858175000000003</v>
      </c>
      <c r="E62" s="301">
        <v>2.839002863603711</v>
      </c>
      <c r="F62" s="445">
        <v>1487940</v>
      </c>
      <c r="G62" s="445">
        <v>1487724</v>
      </c>
      <c r="H62" s="302"/>
      <c r="I62" s="423">
        <v>2006</v>
      </c>
      <c r="J62" s="301">
        <v>73.468400000000003</v>
      </c>
      <c r="K62" s="301">
        <v>2.8146958104932969</v>
      </c>
      <c r="L62" s="445">
        <v>1470719</v>
      </c>
      <c r="M62" s="302"/>
    </row>
    <row r="63" spans="3:13" ht="15" customHeight="1" x14ac:dyDescent="0.55000000000000004">
      <c r="C63" s="421" t="s">
        <v>888</v>
      </c>
      <c r="D63" s="301">
        <v>80.052824999999999</v>
      </c>
      <c r="E63" s="301">
        <v>2.8187791455425146</v>
      </c>
      <c r="F63" s="445">
        <v>1566500</v>
      </c>
      <c r="G63" s="445">
        <v>1568149</v>
      </c>
      <c r="H63" s="302"/>
      <c r="I63" s="423">
        <v>2007</v>
      </c>
      <c r="J63" s="301">
        <v>75.449399999999997</v>
      </c>
      <c r="K63" s="301">
        <v>2.6963973626756461</v>
      </c>
      <c r="L63" s="445">
        <v>1546085</v>
      </c>
      <c r="M63" s="302"/>
    </row>
    <row r="64" spans="3:13" ht="15" customHeight="1" x14ac:dyDescent="0.55000000000000004">
      <c r="C64" s="421" t="s">
        <v>889</v>
      </c>
      <c r="D64" s="301">
        <v>82.221874999999997</v>
      </c>
      <c r="E64" s="301">
        <v>2.7095233678511641</v>
      </c>
      <c r="F64" s="445">
        <v>1572822</v>
      </c>
      <c r="G64" s="445">
        <v>1573012</v>
      </c>
      <c r="H64" s="302"/>
      <c r="I64" s="423">
        <v>2008</v>
      </c>
      <c r="J64" s="301">
        <v>77.788799999999995</v>
      </c>
      <c r="K64" s="301">
        <v>3.1006210784976393</v>
      </c>
      <c r="L64" s="445">
        <v>1589259</v>
      </c>
      <c r="M64" s="302"/>
    </row>
    <row r="65" spans="3:14" ht="15" customHeight="1" x14ac:dyDescent="0.55000000000000004">
      <c r="C65" s="421" t="s">
        <v>890</v>
      </c>
      <c r="D65" s="301">
        <v>83.536000000000001</v>
      </c>
      <c r="E65" s="301">
        <v>1.5982668845729975</v>
      </c>
      <c r="F65" s="445">
        <v>1559454</v>
      </c>
      <c r="G65" s="445">
        <v>1558950</v>
      </c>
      <c r="H65" s="302"/>
      <c r="I65" s="423">
        <v>2009</v>
      </c>
      <c r="J65" s="301">
        <v>79.0351</v>
      </c>
      <c r="K65" s="301">
        <v>1.6021586655148363</v>
      </c>
      <c r="L65" s="445">
        <v>1548513</v>
      </c>
      <c r="M65" s="302"/>
    </row>
    <row r="66" spans="3:14" ht="15" customHeight="1" x14ac:dyDescent="0.55000000000000004">
      <c r="C66" s="421" t="s">
        <v>891</v>
      </c>
      <c r="D66" s="301">
        <v>85.065825000000004</v>
      </c>
      <c r="E66" s="301">
        <v>1.8313361903849867</v>
      </c>
      <c r="F66" s="445">
        <v>1624581</v>
      </c>
      <c r="G66" s="445">
        <v>1625391</v>
      </c>
      <c r="H66" s="302"/>
      <c r="I66" s="423">
        <v>2010</v>
      </c>
      <c r="J66" s="301">
        <v>80.303399999999996</v>
      </c>
      <c r="K66" s="301">
        <v>1.6047300503194104</v>
      </c>
      <c r="L66" s="445">
        <v>1606027</v>
      </c>
      <c r="M66" s="302"/>
    </row>
    <row r="67" spans="3:14" ht="15" customHeight="1" x14ac:dyDescent="0.55000000000000004">
      <c r="C67" s="421" t="s">
        <v>892</v>
      </c>
      <c r="D67" s="301">
        <v>86.355574999999988</v>
      </c>
      <c r="E67" s="301">
        <v>1.516178794480608</v>
      </c>
      <c r="F67" s="445">
        <v>1670141</v>
      </c>
      <c r="G67" s="445">
        <v>1667346</v>
      </c>
      <c r="H67" s="302"/>
      <c r="I67" s="423">
        <v>2011</v>
      </c>
      <c r="J67" s="301">
        <v>81.964699999999993</v>
      </c>
      <c r="K67" s="301">
        <v>2.0687791550544525</v>
      </c>
      <c r="L67" s="445">
        <v>1660141</v>
      </c>
      <c r="M67" s="302"/>
    </row>
    <row r="68" spans="3:14" ht="15" customHeight="1" x14ac:dyDescent="0.55000000000000004">
      <c r="C68" s="421" t="s">
        <v>893</v>
      </c>
      <c r="D68" s="301">
        <v>88.121200000000002</v>
      </c>
      <c r="E68" s="301">
        <v>2.0445987418878451</v>
      </c>
      <c r="F68" s="445">
        <v>1724150</v>
      </c>
      <c r="G68" s="445">
        <v>1726358</v>
      </c>
      <c r="H68" s="302"/>
      <c r="I68" s="423">
        <v>2012</v>
      </c>
      <c r="J68" s="301">
        <v>83.319500000000005</v>
      </c>
      <c r="K68" s="301">
        <v>1.6529066781187656</v>
      </c>
      <c r="L68" s="445">
        <v>1711770</v>
      </c>
    </row>
    <row r="69" spans="3:14" ht="15" customHeight="1" x14ac:dyDescent="0.55000000000000004">
      <c r="C69" s="421" t="s">
        <v>894</v>
      </c>
      <c r="D69" s="301">
        <v>89.710575000000006</v>
      </c>
      <c r="E69" s="301">
        <v>1.8036238725755029</v>
      </c>
      <c r="F69" s="445">
        <v>1805768</v>
      </c>
      <c r="G69" s="445">
        <v>1803892</v>
      </c>
      <c r="H69" s="302"/>
      <c r="I69" s="423">
        <v>2013</v>
      </c>
      <c r="J69" s="301">
        <v>84.800299999999993</v>
      </c>
      <c r="K69" s="301">
        <v>1.7772550243340248</v>
      </c>
      <c r="L69" s="445">
        <v>1780336</v>
      </c>
    </row>
    <row r="70" spans="3:14" ht="15" customHeight="1" x14ac:dyDescent="0.55000000000000004">
      <c r="C70" s="421" t="s">
        <v>895</v>
      </c>
      <c r="D70" s="301">
        <v>90.947599999999994</v>
      </c>
      <c r="E70" s="301">
        <v>1.3789065558881863</v>
      </c>
      <c r="F70" s="445">
        <v>1873833</v>
      </c>
      <c r="G70" s="445">
        <v>1877255</v>
      </c>
      <c r="H70" s="302"/>
      <c r="I70" s="423">
        <v>2014</v>
      </c>
      <c r="J70" s="301">
        <v>86.272800000000004</v>
      </c>
      <c r="K70" s="301">
        <v>1.7364325362056632</v>
      </c>
      <c r="L70" s="445">
        <v>1863008</v>
      </c>
    </row>
    <row r="71" spans="3:14" ht="15" customHeight="1" x14ac:dyDescent="0.55000000000000004">
      <c r="C71" s="421" t="s">
        <v>896</v>
      </c>
      <c r="D71" s="301">
        <v>91.68972500000001</v>
      </c>
      <c r="E71" s="301">
        <v>0.81599184585411344</v>
      </c>
      <c r="F71" s="445">
        <v>1936795</v>
      </c>
      <c r="G71" s="445">
        <v>1935573</v>
      </c>
      <c r="I71" s="423">
        <v>2015</v>
      </c>
      <c r="J71" s="301">
        <v>86.844499999999996</v>
      </c>
      <c r="K71" s="301">
        <v>0.66266540555075615</v>
      </c>
      <c r="L71" s="445">
        <v>1919641</v>
      </c>
      <c r="N71" s="303"/>
    </row>
    <row r="72" spans="3:14" ht="15" customHeight="1" x14ac:dyDescent="0.55000000000000004">
      <c r="C72" s="421" t="s">
        <v>897</v>
      </c>
      <c r="D72" s="301">
        <v>93.958875000000006</v>
      </c>
      <c r="E72" s="301">
        <v>2.4748138354652021</v>
      </c>
      <c r="F72" s="445">
        <v>2016681</v>
      </c>
      <c r="G72" s="445">
        <v>2017027</v>
      </c>
      <c r="I72" s="423">
        <v>2016</v>
      </c>
      <c r="J72" s="301">
        <v>88.709599999999995</v>
      </c>
      <c r="K72" s="301">
        <v>2.1476316865201577</v>
      </c>
      <c r="L72" s="445">
        <v>1994712</v>
      </c>
      <c r="N72" s="303"/>
    </row>
    <row r="73" spans="3:14" ht="15" customHeight="1" x14ac:dyDescent="0.55000000000000004">
      <c r="C73" s="421" t="s">
        <v>898</v>
      </c>
      <c r="D73" s="301">
        <v>95.61330000000001</v>
      </c>
      <c r="E73" s="301">
        <v>1.7607969444078628</v>
      </c>
      <c r="F73" s="445">
        <v>2082483</v>
      </c>
      <c r="G73" s="445">
        <v>2084541</v>
      </c>
      <c r="I73" s="423">
        <v>2017</v>
      </c>
      <c r="J73" s="301">
        <v>90.430300000000003</v>
      </c>
      <c r="K73" s="301">
        <v>1.9396998746471723</v>
      </c>
      <c r="L73" s="445">
        <v>2068757</v>
      </c>
      <c r="N73" s="303"/>
    </row>
    <row r="74" spans="3:14" ht="15" customHeight="1" x14ac:dyDescent="0.55000000000000004">
      <c r="C74" s="421" t="s">
        <v>899</v>
      </c>
      <c r="D74" s="301">
        <v>97.835624999999993</v>
      </c>
      <c r="E74" s="301">
        <v>2.3242843830303768</v>
      </c>
      <c r="F74" s="445">
        <v>2163750</v>
      </c>
      <c r="G74" s="445">
        <v>2162725</v>
      </c>
      <c r="I74" s="423">
        <v>2018</v>
      </c>
      <c r="J74" s="301">
        <v>92.464299999999994</v>
      </c>
      <c r="K74" s="301">
        <v>2.2492461044583414</v>
      </c>
      <c r="L74" s="445">
        <v>2141792</v>
      </c>
      <c r="N74" s="303"/>
    </row>
    <row r="75" spans="3:14" ht="15" customHeight="1" x14ac:dyDescent="0.55000000000000004">
      <c r="C75" s="421" t="s">
        <v>900</v>
      </c>
      <c r="D75" s="301">
        <v>100</v>
      </c>
      <c r="E75" s="301">
        <v>2.2122565272108261</v>
      </c>
      <c r="F75" s="445">
        <v>2224077</v>
      </c>
      <c r="G75" s="445">
        <v>2220063</v>
      </c>
      <c r="I75" s="423">
        <v>2019</v>
      </c>
      <c r="J75" s="301">
        <v>94.42</v>
      </c>
      <c r="K75" s="301">
        <v>2.115086579360907</v>
      </c>
      <c r="L75" s="445">
        <v>2217787</v>
      </c>
      <c r="N75" s="303"/>
    </row>
    <row r="76" spans="3:14" ht="15" customHeight="1" x14ac:dyDescent="0.55000000000000004">
      <c r="C76" s="421" t="s">
        <v>905</v>
      </c>
      <c r="D76" s="554">
        <f>(D75*(E76/100))+D75</f>
        <v>107.06207744997673</v>
      </c>
      <c r="E76" s="301">
        <v>7.0620774499767336</v>
      </c>
      <c r="F76" s="445">
        <v>2096667</v>
      </c>
      <c r="G76" s="445">
        <v>2101287</v>
      </c>
      <c r="I76" s="423">
        <v>2020</v>
      </c>
      <c r="J76" s="301">
        <v>100</v>
      </c>
      <c r="K76" s="301">
        <v>5.9097648803219638</v>
      </c>
      <c r="L76" s="445">
        <v>2113045</v>
      </c>
      <c r="N76" s="303"/>
    </row>
    <row r="77" spans="3:14" ht="15" customHeight="1" x14ac:dyDescent="0.55000000000000004">
      <c r="C77" s="421" t="s">
        <v>906</v>
      </c>
      <c r="D77" s="296" t="s">
        <v>429</v>
      </c>
      <c r="E77" s="301">
        <v>-1.6131794020483814</v>
      </c>
      <c r="F77" s="445">
        <v>2264458</v>
      </c>
      <c r="G77" s="445">
        <v>2264721</v>
      </c>
      <c r="I77" s="423">
        <v>2021</v>
      </c>
      <c r="J77" s="301" t="s">
        <v>429</v>
      </c>
      <c r="K77" s="301">
        <v>1.0714247463231352</v>
      </c>
      <c r="L77" s="445">
        <v>2223861</v>
      </c>
      <c r="N77" s="303"/>
    </row>
    <row r="78" spans="3:14" ht="15" customHeight="1" x14ac:dyDescent="0.55000000000000004">
      <c r="C78" s="421" t="s">
        <v>907</v>
      </c>
      <c r="D78" s="296" t="s">
        <v>429</v>
      </c>
      <c r="E78" s="301">
        <v>-0.1400071535525349</v>
      </c>
      <c r="F78" s="445">
        <v>2374916</v>
      </c>
      <c r="G78" s="445">
        <v>2374606</v>
      </c>
      <c r="I78" s="423">
        <v>2022</v>
      </c>
      <c r="J78" s="301" t="s">
        <v>429</v>
      </c>
      <c r="K78" s="301">
        <v>-1.4016103775454258</v>
      </c>
      <c r="L78" s="445">
        <v>2353633</v>
      </c>
    </row>
    <row r="79" spans="3:14" ht="15" customHeight="1" x14ac:dyDescent="0.55000000000000004">
      <c r="C79" s="421" t="s">
        <v>908</v>
      </c>
      <c r="D79" s="296" t="s">
        <v>429</v>
      </c>
      <c r="E79" s="301">
        <v>2.0253010553602513</v>
      </c>
      <c r="F79" s="445">
        <v>2459209</v>
      </c>
      <c r="G79" s="445">
        <v>2459163</v>
      </c>
      <c r="I79" s="423">
        <v>2023</v>
      </c>
      <c r="J79" s="301" t="s">
        <v>429</v>
      </c>
      <c r="K79" s="301">
        <v>1.7494375053867195</v>
      </c>
      <c r="L79" s="445">
        <v>2436377</v>
      </c>
    </row>
    <row r="80" spans="3:14" ht="15" customHeight="1" x14ac:dyDescent="0.55000000000000004">
      <c r="C80" s="421" t="s">
        <v>909</v>
      </c>
      <c r="D80" s="296" t="s">
        <v>429</v>
      </c>
      <c r="E80" s="301">
        <v>2.0874678970417504</v>
      </c>
      <c r="F80" s="445">
        <v>2551731</v>
      </c>
      <c r="G80" s="445">
        <v>2551725</v>
      </c>
      <c r="I80" s="423">
        <v>2024</v>
      </c>
      <c r="J80" s="301" t="s">
        <v>429</v>
      </c>
      <c r="K80" s="301">
        <v>2.1455148537080415</v>
      </c>
      <c r="L80" s="445">
        <v>2527724</v>
      </c>
    </row>
    <row r="81" spans="3:14" ht="15" customHeight="1" x14ac:dyDescent="0.55000000000000004">
      <c r="D81" s="296"/>
      <c r="E81" s="297"/>
      <c r="F81" s="397"/>
      <c r="G81" s="397"/>
      <c r="I81" s="398"/>
      <c r="L81" s="399"/>
    </row>
    <row r="82" spans="3:14" x14ac:dyDescent="0.55000000000000004">
      <c r="C82" s="304"/>
    </row>
    <row r="83" spans="3:14" x14ac:dyDescent="0.55000000000000004">
      <c r="C83" s="457"/>
      <c r="D83" s="734"/>
      <c r="E83" s="734"/>
      <c r="F83" s="734"/>
      <c r="G83" s="734"/>
      <c r="H83" s="734"/>
      <c r="I83" s="734"/>
      <c r="J83" s="734"/>
      <c r="K83" s="734"/>
      <c r="L83" s="734"/>
    </row>
    <row r="84" spans="3:14" x14ac:dyDescent="0.55000000000000004">
      <c r="C84" s="457"/>
      <c r="D84" s="733"/>
      <c r="E84" s="734"/>
      <c r="F84" s="734"/>
      <c r="G84" s="734"/>
      <c r="H84" s="734"/>
      <c r="I84" s="734"/>
      <c r="J84" s="734"/>
      <c r="K84" s="734"/>
      <c r="L84" s="734"/>
    </row>
    <row r="85" spans="3:14" x14ac:dyDescent="0.55000000000000004">
      <c r="C85" s="457"/>
      <c r="D85" s="734"/>
      <c r="E85" s="734"/>
      <c r="F85" s="734"/>
      <c r="G85" s="734"/>
      <c r="H85" s="734"/>
      <c r="I85" s="734"/>
      <c r="J85" s="734"/>
      <c r="K85" s="734"/>
      <c r="L85" s="734"/>
    </row>
    <row r="86" spans="3:14" x14ac:dyDescent="0.55000000000000004">
      <c r="C86" s="457"/>
      <c r="D86" s="733"/>
      <c r="E86" s="734"/>
      <c r="F86" s="734"/>
      <c r="G86" s="734"/>
      <c r="H86" s="734"/>
      <c r="I86" s="734"/>
      <c r="J86" s="734"/>
      <c r="K86" s="734"/>
      <c r="L86" s="734"/>
    </row>
    <row r="87" spans="3:14" x14ac:dyDescent="0.55000000000000004">
      <c r="C87" s="457"/>
      <c r="D87" s="735"/>
      <c r="E87" s="735"/>
      <c r="F87" s="735"/>
      <c r="G87" s="735"/>
      <c r="H87" s="735"/>
      <c r="I87" s="735"/>
      <c r="J87" s="735"/>
      <c r="K87" s="735"/>
      <c r="L87" s="735"/>
    </row>
    <row r="88" spans="3:14" x14ac:dyDescent="0.55000000000000004">
      <c r="C88" s="457"/>
      <c r="D88" s="733"/>
      <c r="E88" s="733"/>
      <c r="F88" s="733"/>
      <c r="G88" s="733"/>
      <c r="H88" s="733"/>
      <c r="I88" s="733"/>
      <c r="J88" s="733"/>
      <c r="K88" s="733"/>
      <c r="L88" s="733"/>
    </row>
    <row r="89" spans="3:14" x14ac:dyDescent="0.55000000000000004">
      <c r="C89" s="457"/>
      <c r="D89" s="734"/>
      <c r="E89" s="734"/>
      <c r="F89" s="734"/>
      <c r="G89" s="734"/>
      <c r="H89" s="734"/>
      <c r="I89" s="734"/>
      <c r="J89" s="734"/>
      <c r="K89" s="734"/>
      <c r="L89" s="734"/>
    </row>
    <row r="90" spans="3:14" x14ac:dyDescent="0.55000000000000004">
      <c r="C90" s="457"/>
      <c r="D90" s="733"/>
      <c r="E90" s="734"/>
      <c r="F90" s="734"/>
      <c r="G90" s="734"/>
      <c r="H90" s="734"/>
      <c r="I90" s="734"/>
      <c r="J90" s="734"/>
      <c r="K90" s="734"/>
      <c r="L90" s="734"/>
    </row>
    <row r="91" spans="3:14" x14ac:dyDescent="0.55000000000000004">
      <c r="C91" s="457"/>
      <c r="D91" s="734"/>
      <c r="E91" s="734"/>
      <c r="F91" s="734"/>
      <c r="G91" s="734"/>
      <c r="H91" s="734"/>
      <c r="I91" s="734"/>
      <c r="J91" s="734"/>
      <c r="K91" s="734"/>
      <c r="L91" s="734"/>
    </row>
    <row r="92" spans="3:14" x14ac:dyDescent="0.55000000000000004">
      <c r="C92" s="457"/>
      <c r="D92" s="733"/>
      <c r="E92" s="734"/>
      <c r="F92" s="734"/>
      <c r="G92" s="734"/>
      <c r="H92" s="734"/>
      <c r="I92" s="734"/>
      <c r="J92" s="734"/>
      <c r="K92" s="734"/>
      <c r="L92" s="734"/>
      <c r="N92" s="307"/>
    </row>
    <row r="93" spans="3:14" x14ac:dyDescent="0.55000000000000004">
      <c r="C93" s="457"/>
      <c r="D93" s="735"/>
      <c r="E93" s="735"/>
      <c r="F93" s="735"/>
      <c r="G93" s="735"/>
      <c r="H93" s="735"/>
      <c r="I93" s="735"/>
      <c r="J93" s="735"/>
      <c r="K93" s="735"/>
      <c r="L93" s="735"/>
    </row>
    <row r="94" spans="3:14" x14ac:dyDescent="0.55000000000000004">
      <c r="C94" s="457"/>
      <c r="D94" s="733"/>
      <c r="E94" s="733"/>
      <c r="F94" s="733"/>
      <c r="G94" s="733"/>
      <c r="H94" s="733"/>
      <c r="I94" s="733"/>
      <c r="J94" s="733"/>
      <c r="K94" s="733"/>
      <c r="L94" s="733"/>
      <c r="N94" s="307"/>
    </row>
    <row r="95" spans="3:14" x14ac:dyDescent="0.55000000000000004">
      <c r="C95" s="457"/>
      <c r="D95" s="458"/>
      <c r="E95" s="446"/>
      <c r="F95" s="447"/>
      <c r="G95" s="447"/>
      <c r="H95" s="470"/>
      <c r="I95" s="459"/>
      <c r="J95" s="458"/>
      <c r="K95" s="460"/>
      <c r="L95" s="447"/>
    </row>
    <row r="96" spans="3:14" x14ac:dyDescent="0.55000000000000004">
      <c r="C96" s="448"/>
      <c r="D96" s="736"/>
      <c r="E96" s="736"/>
      <c r="F96" s="736"/>
      <c r="G96" s="736"/>
      <c r="H96" s="736"/>
      <c r="I96" s="736"/>
      <c r="J96" s="736"/>
      <c r="K96" s="736"/>
      <c r="L96" s="736"/>
    </row>
    <row r="97" spans="3:14" x14ac:dyDescent="0.55000000000000004">
      <c r="C97" s="448"/>
      <c r="D97" s="734"/>
      <c r="E97" s="734"/>
      <c r="F97" s="734"/>
      <c r="G97" s="734"/>
      <c r="H97" s="734"/>
      <c r="I97" s="734"/>
      <c r="J97" s="734"/>
      <c r="K97" s="734"/>
      <c r="L97" s="734"/>
    </row>
    <row r="98" spans="3:14" x14ac:dyDescent="0.55000000000000004">
      <c r="C98" s="448"/>
      <c r="D98" s="734"/>
      <c r="E98" s="734"/>
      <c r="F98" s="734"/>
      <c r="G98" s="734"/>
      <c r="H98" s="734"/>
      <c r="I98" s="734"/>
      <c r="J98" s="734"/>
      <c r="K98" s="734"/>
      <c r="L98" s="734"/>
    </row>
    <row r="99" spans="3:14" x14ac:dyDescent="0.55000000000000004">
      <c r="C99" s="448"/>
      <c r="D99" s="734"/>
      <c r="E99" s="734"/>
      <c r="F99" s="734"/>
      <c r="G99" s="734"/>
      <c r="H99" s="734"/>
      <c r="I99" s="734"/>
      <c r="J99" s="734"/>
      <c r="K99" s="734"/>
      <c r="L99" s="734"/>
      <c r="N99" s="307"/>
    </row>
    <row r="100" spans="3:14" x14ac:dyDescent="0.55000000000000004">
      <c r="C100" s="448"/>
      <c r="D100" s="734"/>
      <c r="E100" s="734"/>
      <c r="F100" s="734"/>
      <c r="G100" s="734"/>
      <c r="H100" s="734"/>
      <c r="I100" s="734"/>
      <c r="J100" s="734"/>
      <c r="K100" s="734"/>
      <c r="L100" s="734"/>
      <c r="N100" s="307"/>
    </row>
    <row r="101" spans="3:14" x14ac:dyDescent="0.55000000000000004">
      <c r="C101" s="457"/>
      <c r="D101" s="733"/>
      <c r="E101" s="734"/>
      <c r="F101" s="734"/>
      <c r="G101" s="734"/>
      <c r="H101" s="734"/>
      <c r="I101" s="734"/>
      <c r="J101" s="734"/>
      <c r="K101" s="734"/>
      <c r="L101" s="734"/>
      <c r="N101" s="307"/>
    </row>
    <row r="102" spans="3:14" x14ac:dyDescent="0.55000000000000004">
      <c r="C102" s="448"/>
      <c r="D102" s="734"/>
      <c r="E102" s="734"/>
      <c r="F102" s="734"/>
      <c r="G102" s="734"/>
      <c r="H102" s="734"/>
      <c r="I102" s="734"/>
      <c r="J102" s="734"/>
      <c r="K102" s="734"/>
      <c r="L102" s="734"/>
      <c r="N102" s="307"/>
    </row>
    <row r="103" spans="3:14" x14ac:dyDescent="0.55000000000000004">
      <c r="C103" s="457"/>
      <c r="D103" s="733"/>
      <c r="E103" s="734"/>
      <c r="F103" s="734"/>
      <c r="G103" s="734"/>
      <c r="H103" s="734"/>
      <c r="I103" s="734"/>
      <c r="J103" s="734"/>
      <c r="K103" s="734"/>
      <c r="L103" s="734"/>
      <c r="N103" s="307"/>
    </row>
    <row r="104" spans="3:14" x14ac:dyDescent="0.55000000000000004">
      <c r="C104" s="449"/>
      <c r="D104" s="450"/>
      <c r="E104" s="451"/>
      <c r="F104" s="452"/>
      <c r="G104" s="452"/>
      <c r="H104" s="449"/>
      <c r="I104" s="453"/>
      <c r="J104" s="454"/>
      <c r="K104" s="455"/>
      <c r="L104" s="456"/>
      <c r="N104" s="307"/>
    </row>
    <row r="105" spans="3:14" x14ac:dyDescent="0.55000000000000004">
      <c r="N105" s="307"/>
    </row>
    <row r="106" spans="3:14" ht="15" customHeight="1" x14ac:dyDescent="0.55000000000000004">
      <c r="N106" s="307"/>
    </row>
  </sheetData>
  <mergeCells count="24">
    <mergeCell ref="D102:L102"/>
    <mergeCell ref="D103:L103"/>
    <mergeCell ref="D96:L96"/>
    <mergeCell ref="D97:L97"/>
    <mergeCell ref="D98:L98"/>
    <mergeCell ref="D99:L99"/>
    <mergeCell ref="D100:L100"/>
    <mergeCell ref="D101:L101"/>
    <mergeCell ref="C6:L6"/>
    <mergeCell ref="C7:L7"/>
    <mergeCell ref="D9:E9"/>
    <mergeCell ref="J9:K9"/>
    <mergeCell ref="D94:L94"/>
    <mergeCell ref="D83:L83"/>
    <mergeCell ref="D84:L84"/>
    <mergeCell ref="D85:L85"/>
    <mergeCell ref="D86:L86"/>
    <mergeCell ref="D87:L87"/>
    <mergeCell ref="D88:L88"/>
    <mergeCell ref="D89:L89"/>
    <mergeCell ref="D90:L90"/>
    <mergeCell ref="D91:L91"/>
    <mergeCell ref="D92:L92"/>
    <mergeCell ref="D93:L93"/>
  </mergeCells>
  <phoneticPr fontId="21" type="noConversion"/>
  <hyperlinks>
    <hyperlink ref="C6:L6" r:id="rId1" display="Outturn data are as at the First Quarterly Estimate of GDP from the ONS - last updated 3 March 2021." xr:uid="{C2145B65-43B6-4B52-A819-7DF3320DD6E5}"/>
  </hyperlinks>
  <pageMargins left="1.55" right="0.75" top="0.45" bottom="0.5" header="0.3" footer="0.23"/>
  <pageSetup paperSize="9" scale="78" orientation="portrait" horizontalDpi="300" verticalDpi="300" r:id="rId2"/>
  <headerFooter alignWithMargins="0"/>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41D0-DD6D-494C-A5A3-6B213FCF8FC3}">
  <sheetPr codeName="Sheet11">
    <tabColor theme="2" tint="-0.249977111117893"/>
  </sheetPr>
  <dimension ref="A2:Q135"/>
  <sheetViews>
    <sheetView topLeftCell="B1" workbookViewId="0">
      <selection activeCell="M3" sqref="M3"/>
    </sheetView>
  </sheetViews>
  <sheetFormatPr defaultColWidth="9.20703125" defaultRowHeight="14.4" x14ac:dyDescent="0.55000000000000004"/>
  <cols>
    <col min="1" max="1" width="34.5234375" style="313" customWidth="1"/>
    <col min="2" max="2" width="5" style="403" customWidth="1"/>
    <col min="3" max="7" width="15" style="403" customWidth="1"/>
    <col min="8" max="16384" width="9.20703125" style="403"/>
  </cols>
  <sheetData>
    <row r="2" spans="1:17" ht="32.700000000000003" x14ac:dyDescent="0.55000000000000004">
      <c r="A2" s="310"/>
      <c r="B2" s="400"/>
      <c r="C2" s="309" t="s">
        <v>838</v>
      </c>
    </row>
    <row r="3" spans="1:17" x14ac:dyDescent="0.55000000000000004">
      <c r="A3" s="310"/>
      <c r="B3" s="400"/>
    </row>
    <row r="4" spans="1:17" ht="24.75" customHeight="1" x14ac:dyDescent="0.55000000000000004">
      <c r="A4" s="310"/>
      <c r="B4" s="400"/>
      <c r="C4" s="406" t="s">
        <v>839</v>
      </c>
      <c r="D4" s="402"/>
      <c r="E4" s="402"/>
      <c r="F4" s="402"/>
      <c r="G4" s="402"/>
    </row>
    <row r="5" spans="1:17" ht="96.6" customHeight="1" x14ac:dyDescent="0.55000000000000004">
      <c r="A5" s="310"/>
      <c r="B5" s="400"/>
      <c r="C5" s="737" t="s">
        <v>812</v>
      </c>
      <c r="D5" s="737"/>
      <c r="E5" s="737"/>
      <c r="F5" s="737"/>
      <c r="G5" s="737"/>
      <c r="H5" s="737"/>
      <c r="I5" s="737"/>
      <c r="J5" s="737"/>
      <c r="K5" s="405"/>
      <c r="L5" s="405"/>
      <c r="M5" s="405"/>
      <c r="N5" s="405"/>
      <c r="O5" s="405"/>
      <c r="P5" s="405"/>
      <c r="Q5" s="405"/>
    </row>
    <row r="6" spans="1:17" ht="15.3" x14ac:dyDescent="0.55000000000000004">
      <c r="A6" s="310"/>
      <c r="B6" s="400"/>
      <c r="C6" s="402"/>
      <c r="D6" s="402"/>
      <c r="E6" s="402"/>
      <c r="F6" s="402"/>
      <c r="G6" s="402"/>
    </row>
    <row r="7" spans="1:17" ht="15.3" x14ac:dyDescent="0.55000000000000004">
      <c r="A7" s="310"/>
      <c r="B7" s="400"/>
      <c r="E7" s="402"/>
      <c r="F7" s="402"/>
      <c r="G7" s="402"/>
    </row>
    <row r="8" spans="1:17" ht="42.75" customHeight="1" x14ac:dyDescent="0.55000000000000004">
      <c r="A8" s="310"/>
      <c r="B8" s="400"/>
      <c r="C8" s="739" t="s">
        <v>229</v>
      </c>
      <c r="D8" s="738" t="s">
        <v>430</v>
      </c>
      <c r="E8" s="738"/>
      <c r="F8" s="738" t="s">
        <v>431</v>
      </c>
      <c r="G8" s="738"/>
    </row>
    <row r="9" spans="1:17" ht="30" x14ac:dyDescent="0.55000000000000004">
      <c r="A9" s="310"/>
      <c r="B9" s="400"/>
      <c r="C9" s="740"/>
      <c r="D9" s="555" t="s">
        <v>432</v>
      </c>
      <c r="E9" s="555" t="s">
        <v>433</v>
      </c>
      <c r="F9" s="555" t="s">
        <v>432</v>
      </c>
      <c r="G9" s="555" t="s">
        <v>433</v>
      </c>
    </row>
    <row r="10" spans="1:17" ht="15" x14ac:dyDescent="0.55000000000000004">
      <c r="A10" s="310"/>
      <c r="B10" s="400"/>
      <c r="C10" s="415">
        <v>0</v>
      </c>
      <c r="D10" s="411"/>
      <c r="E10" s="410">
        <v>1</v>
      </c>
      <c r="F10" s="411"/>
      <c r="G10" s="410">
        <v>1</v>
      </c>
    </row>
    <row r="11" spans="1:17" ht="15" x14ac:dyDescent="0.55000000000000004">
      <c r="A11" s="310"/>
      <c r="B11" s="400"/>
      <c r="C11" s="415">
        <v>1</v>
      </c>
      <c r="D11" s="412">
        <v>3.5000000000000003E-2</v>
      </c>
      <c r="E11" s="413">
        <v>0.96618357487922713</v>
      </c>
      <c r="F11" s="412">
        <v>1.4999999999999999E-2</v>
      </c>
      <c r="G11" s="413">
        <v>0.98522167487684742</v>
      </c>
    </row>
    <row r="12" spans="1:17" ht="15" x14ac:dyDescent="0.55000000000000004">
      <c r="A12" s="311"/>
      <c r="B12" s="401"/>
      <c r="C12" s="415">
        <v>2</v>
      </c>
      <c r="D12" s="412">
        <v>3.5000000000000003E-2</v>
      </c>
      <c r="E12" s="413">
        <v>0.93351070036640305</v>
      </c>
      <c r="F12" s="412">
        <v>1.4999999999999999E-2</v>
      </c>
      <c r="G12" s="413">
        <v>0.97066174864714039</v>
      </c>
    </row>
    <row r="13" spans="1:17" ht="15" x14ac:dyDescent="0.55000000000000004">
      <c r="A13" s="311"/>
      <c r="B13" s="401"/>
      <c r="C13" s="415">
        <v>3</v>
      </c>
      <c r="D13" s="412">
        <v>3.5000000000000003E-2</v>
      </c>
      <c r="E13" s="413">
        <v>0.90194270566802237</v>
      </c>
      <c r="F13" s="412">
        <v>1.4999999999999999E-2</v>
      </c>
      <c r="G13" s="413">
        <v>0.95631699374102508</v>
      </c>
    </row>
    <row r="14" spans="1:17" ht="15" x14ac:dyDescent="0.55000000000000004">
      <c r="A14" s="311"/>
      <c r="B14" s="401"/>
      <c r="C14" s="415">
        <v>4</v>
      </c>
      <c r="D14" s="412">
        <v>3.5000000000000003E-2</v>
      </c>
      <c r="E14" s="413">
        <v>0.87144222769857238</v>
      </c>
      <c r="F14" s="412">
        <v>1.4999999999999999E-2</v>
      </c>
      <c r="G14" s="413">
        <v>0.94218423028672427</v>
      </c>
    </row>
    <row r="15" spans="1:17" ht="15" x14ac:dyDescent="0.55000000000000004">
      <c r="A15" s="311"/>
      <c r="B15" s="401"/>
      <c r="C15" s="415">
        <v>5</v>
      </c>
      <c r="D15" s="412">
        <v>3.5000000000000003E-2</v>
      </c>
      <c r="E15" s="413">
        <v>0.84197316685852408</v>
      </c>
      <c r="F15" s="412">
        <v>1.4999999999999999E-2</v>
      </c>
      <c r="G15" s="413">
        <v>0.92826032540563974</v>
      </c>
    </row>
    <row r="16" spans="1:17" ht="15.3" x14ac:dyDescent="0.55000000000000004">
      <c r="A16" s="312"/>
      <c r="B16" s="402"/>
      <c r="C16" s="415">
        <v>6</v>
      </c>
      <c r="D16" s="412">
        <v>3.5000000000000003E-2</v>
      </c>
      <c r="E16" s="413">
        <v>0.81350064430775282</v>
      </c>
      <c r="F16" s="412">
        <v>1.4999999999999999E-2</v>
      </c>
      <c r="G16" s="413">
        <v>0.91454219251787172</v>
      </c>
    </row>
    <row r="17" spans="1:7" ht="15.3" x14ac:dyDescent="0.55000000000000004">
      <c r="A17" s="312"/>
      <c r="B17" s="402"/>
      <c r="C17" s="415">
        <v>7</v>
      </c>
      <c r="D17" s="412">
        <v>3.5000000000000003E-2</v>
      </c>
      <c r="E17" s="413">
        <v>0.78599096068381924</v>
      </c>
      <c r="F17" s="412">
        <v>1.4999999999999999E-2</v>
      </c>
      <c r="G17" s="413">
        <v>0.90102679065800173</v>
      </c>
    </row>
    <row r="18" spans="1:7" ht="15.3" x14ac:dyDescent="0.55000000000000004">
      <c r="A18" s="312"/>
      <c r="B18" s="402"/>
      <c r="C18" s="415">
        <v>8</v>
      </c>
      <c r="D18" s="412">
        <v>3.5000000000000003E-2</v>
      </c>
      <c r="E18" s="413">
        <v>0.75941155621625056</v>
      </c>
      <c r="F18" s="412">
        <v>1.4999999999999999E-2</v>
      </c>
      <c r="G18" s="413">
        <v>0.88771112380098705</v>
      </c>
    </row>
    <row r="19" spans="1:7" ht="15.3" x14ac:dyDescent="0.55000000000000004">
      <c r="A19" s="312"/>
      <c r="B19" s="402"/>
      <c r="C19" s="415">
        <v>9</v>
      </c>
      <c r="D19" s="412">
        <v>3.5000000000000003E-2</v>
      </c>
      <c r="E19" s="413">
        <v>0.73373097218961414</v>
      </c>
      <c r="F19" s="412">
        <v>1.4999999999999999E-2</v>
      </c>
      <c r="G19" s="413">
        <v>0.87459224019801685</v>
      </c>
    </row>
    <row r="20" spans="1:7" ht="15.3" x14ac:dyDescent="0.55000000000000004">
      <c r="A20" s="312"/>
      <c r="B20" s="402"/>
      <c r="C20" s="415">
        <v>10</v>
      </c>
      <c r="D20" s="412">
        <v>3.5000000000000003E-2</v>
      </c>
      <c r="E20" s="413">
        <v>0.70891881370977217</v>
      </c>
      <c r="F20" s="412">
        <v>1.4999999999999999E-2</v>
      </c>
      <c r="G20" s="413">
        <v>0.86166723172218418</v>
      </c>
    </row>
    <row r="21" spans="1:7" ht="15.3" x14ac:dyDescent="0.55000000000000004">
      <c r="A21" s="312"/>
      <c r="B21" s="402"/>
      <c r="C21" s="415">
        <v>11</v>
      </c>
      <c r="D21" s="412">
        <v>3.5000000000000003E-2</v>
      </c>
      <c r="E21" s="413">
        <v>0.68494571372924851</v>
      </c>
      <c r="F21" s="412">
        <v>1.4999999999999999E-2</v>
      </c>
      <c r="G21" s="413">
        <v>0.84893323322382686</v>
      </c>
    </row>
    <row r="22" spans="1:7" ht="15.3" x14ac:dyDescent="0.55000000000000004">
      <c r="A22" s="312"/>
      <c r="B22" s="402"/>
      <c r="C22" s="415">
        <v>12</v>
      </c>
      <c r="D22" s="412">
        <v>3.5000000000000003E-2</v>
      </c>
      <c r="E22" s="413">
        <v>0.66178329828912907</v>
      </c>
      <c r="F22" s="412">
        <v>1.4999999999999999E-2</v>
      </c>
      <c r="G22" s="413">
        <v>0.83638742189539594</v>
      </c>
    </row>
    <row r="23" spans="1:7" ht="15.3" x14ac:dyDescent="0.55000000000000004">
      <c r="A23" s="312"/>
      <c r="B23" s="402"/>
      <c r="C23" s="415">
        <v>13</v>
      </c>
      <c r="D23" s="412">
        <v>3.5000000000000003E-2</v>
      </c>
      <c r="E23" s="413">
        <v>0.63940415293635666</v>
      </c>
      <c r="F23" s="412">
        <v>1.4999999999999999E-2</v>
      </c>
      <c r="G23" s="413">
        <v>0.82402701664571032</v>
      </c>
    </row>
    <row r="24" spans="1:7" ht="15.3" x14ac:dyDescent="0.55000000000000004">
      <c r="A24" s="312"/>
      <c r="B24" s="402"/>
      <c r="C24" s="415">
        <v>14</v>
      </c>
      <c r="D24" s="412">
        <v>3.5000000000000003E-2</v>
      </c>
      <c r="E24" s="413">
        <v>0.61778179027667313</v>
      </c>
      <c r="F24" s="412">
        <v>1.4999999999999999E-2</v>
      </c>
      <c r="G24" s="413">
        <v>0.81184927748345848</v>
      </c>
    </row>
    <row r="25" spans="1:7" ht="15.3" x14ac:dyDescent="0.55000000000000004">
      <c r="A25" s="312"/>
      <c r="B25" s="402"/>
      <c r="C25" s="415">
        <v>15</v>
      </c>
      <c r="D25" s="412">
        <v>3.5000000000000003E-2</v>
      </c>
      <c r="E25" s="413">
        <v>0.59689061862480497</v>
      </c>
      <c r="F25" s="412">
        <v>1.4999999999999999E-2</v>
      </c>
      <c r="G25" s="413">
        <v>0.79985150490981138</v>
      </c>
    </row>
    <row r="26" spans="1:7" ht="15.3" x14ac:dyDescent="0.55000000000000004">
      <c r="A26" s="312"/>
      <c r="B26" s="402"/>
      <c r="C26" s="415">
        <v>16</v>
      </c>
      <c r="D26" s="412">
        <v>3.5000000000000003E-2</v>
      </c>
      <c r="E26" s="413">
        <v>0.57670591171478747</v>
      </c>
      <c r="F26" s="412">
        <v>1.4999999999999999E-2</v>
      </c>
      <c r="G26" s="413">
        <v>0.78803103932001128</v>
      </c>
    </row>
    <row r="27" spans="1:7" ht="15.3" x14ac:dyDescent="0.55000000000000004">
      <c r="A27" s="312"/>
      <c r="B27" s="402"/>
      <c r="C27" s="415">
        <v>17</v>
      </c>
      <c r="D27" s="412">
        <v>3.5000000000000003E-2</v>
      </c>
      <c r="E27" s="413">
        <v>0.55720377943457733</v>
      </c>
      <c r="F27" s="412">
        <v>1.4999999999999999E-2</v>
      </c>
      <c r="G27" s="413">
        <v>0.77638526041380429</v>
      </c>
    </row>
    <row r="28" spans="1:7" ht="15.3" x14ac:dyDescent="0.55000000000000004">
      <c r="A28" s="312"/>
      <c r="B28" s="402"/>
      <c r="C28" s="415">
        <v>18</v>
      </c>
      <c r="D28" s="412">
        <v>3.5000000000000003E-2</v>
      </c>
      <c r="E28" s="413">
        <v>0.53836113955031628</v>
      </c>
      <c r="F28" s="412">
        <v>1.4999999999999999E-2</v>
      </c>
      <c r="G28" s="413">
        <v>0.76491158661458558</v>
      </c>
    </row>
    <row r="29" spans="1:7" ht="15.3" x14ac:dyDescent="0.55000000000000004">
      <c r="A29" s="312"/>
      <c r="B29" s="402"/>
      <c r="C29" s="415">
        <v>19</v>
      </c>
      <c r="D29" s="412">
        <v>3.5000000000000003E-2</v>
      </c>
      <c r="E29" s="413">
        <v>0.520155690386779</v>
      </c>
      <c r="F29" s="412">
        <v>1.4999999999999999E-2</v>
      </c>
      <c r="G29" s="413">
        <v>0.75360747449712873</v>
      </c>
    </row>
    <row r="30" spans="1:7" ht="15.3" x14ac:dyDescent="0.55000000000000004">
      <c r="A30" s="312"/>
      <c r="B30" s="402"/>
      <c r="C30" s="415">
        <v>20</v>
      </c>
      <c r="D30" s="412">
        <v>3.5000000000000003E-2</v>
      </c>
      <c r="E30" s="413">
        <v>0.50256588443167061</v>
      </c>
      <c r="F30" s="412">
        <v>1.4999999999999999E-2</v>
      </c>
      <c r="G30" s="413">
        <v>0.74247041822377224</v>
      </c>
    </row>
    <row r="31" spans="1:7" ht="15.3" x14ac:dyDescent="0.55000000000000004">
      <c r="A31" s="312"/>
      <c r="B31" s="402"/>
      <c r="C31" s="415">
        <v>21</v>
      </c>
      <c r="D31" s="412">
        <v>3.5000000000000003E-2</v>
      </c>
      <c r="E31" s="413">
        <v>0.48557090283253201</v>
      </c>
      <c r="F31" s="412">
        <v>1.4999999999999999E-2</v>
      </c>
      <c r="G31" s="413">
        <v>0.73149794898893827</v>
      </c>
    </row>
    <row r="32" spans="1:7" ht="15.3" x14ac:dyDescent="0.55000000000000004">
      <c r="A32" s="312"/>
      <c r="B32" s="402"/>
      <c r="C32" s="415">
        <v>22</v>
      </c>
      <c r="D32" s="412">
        <v>3.5000000000000003E-2</v>
      </c>
      <c r="E32" s="413">
        <v>0.46915063075606961</v>
      </c>
      <c r="F32" s="412">
        <v>1.4999999999999999E-2</v>
      </c>
      <c r="G32" s="413">
        <v>0.72068763447186046</v>
      </c>
    </row>
    <row r="33" spans="1:9" ht="15.3" x14ac:dyDescent="0.55000000000000004">
      <c r="A33" s="312"/>
      <c r="B33" s="402"/>
      <c r="C33" s="415">
        <v>23</v>
      </c>
      <c r="D33" s="412">
        <v>3.5000000000000003E-2</v>
      </c>
      <c r="E33" s="413">
        <v>0.45328563358074364</v>
      </c>
      <c r="F33" s="412">
        <v>1.4999999999999999E-2</v>
      </c>
      <c r="G33" s="413">
        <v>0.71003707829739948</v>
      </c>
    </row>
    <row r="34" spans="1:9" ht="15.3" x14ac:dyDescent="0.55000000000000004">
      <c r="A34" s="312"/>
      <c r="B34" s="402"/>
      <c r="C34" s="415">
        <v>24</v>
      </c>
      <c r="D34" s="412">
        <v>3.5000000000000003E-2</v>
      </c>
      <c r="E34" s="413">
        <v>0.43795713389443836</v>
      </c>
      <c r="F34" s="412">
        <v>1.4999999999999999E-2</v>
      </c>
      <c r="G34" s="413">
        <v>0.69954391950482719</v>
      </c>
    </row>
    <row r="35" spans="1:9" ht="15.3" x14ac:dyDescent="0.55000000000000004">
      <c r="A35" s="312"/>
      <c r="B35" s="402"/>
      <c r="C35" s="415">
        <v>25</v>
      </c>
      <c r="D35" s="412">
        <v>3.5000000000000003E-2</v>
      </c>
      <c r="E35" s="413">
        <v>0.42314698926998878</v>
      </c>
      <c r="F35" s="412">
        <v>1.4999999999999999E-2</v>
      </c>
      <c r="G35" s="413">
        <v>0.6892058320244604</v>
      </c>
    </row>
    <row r="36" spans="1:9" ht="15.3" x14ac:dyDescent="0.55000000000000004">
      <c r="A36" s="312"/>
      <c r="B36" s="402"/>
      <c r="C36" s="415">
        <v>26</v>
      </c>
      <c r="D36" s="412">
        <v>3.5000000000000003E-2</v>
      </c>
      <c r="E36" s="413">
        <v>0.40883767079225974</v>
      </c>
      <c r="F36" s="412">
        <v>1.4999999999999999E-2</v>
      </c>
      <c r="G36" s="413">
        <v>0.67902052416202996</v>
      </c>
    </row>
    <row r="37" spans="1:9" ht="15.3" x14ac:dyDescent="0.55000000000000004">
      <c r="A37" s="312"/>
      <c r="B37" s="402"/>
      <c r="C37" s="415">
        <v>27</v>
      </c>
      <c r="D37" s="412">
        <v>3.5000000000000003E-2</v>
      </c>
      <c r="E37" s="413">
        <v>0.39501224231136212</v>
      </c>
      <c r="F37" s="412">
        <v>1.4999999999999999E-2</v>
      </c>
      <c r="G37" s="413">
        <v>0.66898573809066997</v>
      </c>
    </row>
    <row r="38" spans="1:9" ht="15.3" x14ac:dyDescent="0.55000000000000004">
      <c r="A38" s="312"/>
      <c r="B38" s="402"/>
      <c r="C38" s="415">
        <v>28</v>
      </c>
      <c r="D38" s="412">
        <v>3.5000000000000003E-2</v>
      </c>
      <c r="E38" s="413">
        <v>0.38165434039745133</v>
      </c>
      <c r="F38" s="412">
        <v>1.4999999999999999E-2</v>
      </c>
      <c r="G38" s="413">
        <v>0.65909924935041386</v>
      </c>
    </row>
    <row r="39" spans="1:9" ht="15.3" x14ac:dyDescent="0.55000000000000004">
      <c r="A39" s="312"/>
      <c r="B39" s="402"/>
      <c r="C39" s="415">
        <v>29</v>
      </c>
      <c r="D39" s="412">
        <v>3.5000000000000003E-2</v>
      </c>
      <c r="E39" s="413">
        <v>0.36874815497338298</v>
      </c>
      <c r="F39" s="412">
        <v>1.4999999999999999E-2</v>
      </c>
      <c r="G39" s="413">
        <v>0.64935886635508766</v>
      </c>
    </row>
    <row r="40" spans="1:9" ht="15.3" x14ac:dyDescent="0.55000000000000004">
      <c r="A40" s="312"/>
      <c r="B40" s="402"/>
      <c r="C40" s="415">
        <v>30</v>
      </c>
      <c r="D40" s="412">
        <v>3.5000000000000003E-2</v>
      </c>
      <c r="E40" s="413">
        <v>0.35627841060230242</v>
      </c>
      <c r="F40" s="412">
        <v>1.4999999999999999E-2</v>
      </c>
      <c r="G40" s="413">
        <v>0.63976242990649035</v>
      </c>
    </row>
    <row r="41" spans="1:9" ht="15.3" x14ac:dyDescent="0.55000000000000004">
      <c r="A41" s="312"/>
      <c r="B41" s="402"/>
      <c r="C41" s="415">
        <v>31</v>
      </c>
      <c r="D41" s="412">
        <v>0.03</v>
      </c>
      <c r="E41" s="413">
        <v>0.34590136951679845</v>
      </c>
      <c r="F41" s="414">
        <v>1.2857142857142853E-2</v>
      </c>
      <c r="G41" s="413">
        <v>0.63164132712911603</v>
      </c>
      <c r="I41" s="404"/>
    </row>
    <row r="42" spans="1:9" ht="15.3" x14ac:dyDescent="0.55000000000000004">
      <c r="A42" s="312"/>
      <c r="B42" s="402"/>
      <c r="C42" s="415">
        <v>32</v>
      </c>
      <c r="D42" s="412">
        <v>0.03</v>
      </c>
      <c r="E42" s="413">
        <v>0.33582657234640628</v>
      </c>
      <c r="F42" s="414">
        <v>1.2857142857142853E-2</v>
      </c>
      <c r="G42" s="413">
        <v>0.62362331310349961</v>
      </c>
      <c r="I42" s="404"/>
    </row>
    <row r="43" spans="1:9" ht="15.3" x14ac:dyDescent="0.55000000000000004">
      <c r="A43" s="312"/>
      <c r="B43" s="402"/>
      <c r="C43" s="415">
        <v>33</v>
      </c>
      <c r="D43" s="412">
        <v>0.03</v>
      </c>
      <c r="E43" s="413">
        <v>0.32604521587029733</v>
      </c>
      <c r="F43" s="414">
        <v>1.2857142857142853E-2</v>
      </c>
      <c r="G43" s="413">
        <v>0.61570707922771473</v>
      </c>
      <c r="I43" s="404"/>
    </row>
    <row r="44" spans="1:9" ht="15.3" x14ac:dyDescent="0.55000000000000004">
      <c r="A44" s="312"/>
      <c r="B44" s="402"/>
      <c r="C44" s="415">
        <v>34</v>
      </c>
      <c r="D44" s="412">
        <v>0.03</v>
      </c>
      <c r="E44" s="413">
        <v>0.31654875327213333</v>
      </c>
      <c r="F44" s="414">
        <v>1.2857142857142853E-2</v>
      </c>
      <c r="G44" s="413">
        <v>0.60789133351114288</v>
      </c>
      <c r="I44" s="404"/>
    </row>
    <row r="45" spans="1:9" ht="15.3" x14ac:dyDescent="0.55000000000000004">
      <c r="A45" s="312"/>
      <c r="B45" s="402"/>
      <c r="C45" s="415">
        <v>35</v>
      </c>
      <c r="D45" s="412">
        <v>0.03</v>
      </c>
      <c r="E45" s="413">
        <v>0.30732888667197411</v>
      </c>
      <c r="F45" s="414">
        <v>1.2857142857142853E-2</v>
      </c>
      <c r="G45" s="413">
        <v>0.60017480036361071</v>
      </c>
      <c r="I45" s="404"/>
    </row>
    <row r="46" spans="1:9" ht="15.3" x14ac:dyDescent="0.55000000000000004">
      <c r="A46" s="312"/>
      <c r="B46" s="402"/>
      <c r="C46" s="415">
        <v>36</v>
      </c>
      <c r="D46" s="412">
        <v>0.03</v>
      </c>
      <c r="E46" s="413">
        <v>0.29837755987570302</v>
      </c>
      <c r="F46" s="414">
        <v>1.2857142857142853E-2</v>
      </c>
      <c r="G46" s="413">
        <v>0.59255622038720379</v>
      </c>
      <c r="I46" s="404"/>
    </row>
    <row r="47" spans="1:9" ht="15.3" x14ac:dyDescent="0.55000000000000004">
      <c r="C47" s="415">
        <v>37</v>
      </c>
      <c r="D47" s="412">
        <v>0.03</v>
      </c>
      <c r="E47" s="413">
        <v>0.28968695133563399</v>
      </c>
      <c r="F47" s="414">
        <v>1.2857142857142853E-2</v>
      </c>
      <c r="G47" s="413">
        <v>0.58503435017072303</v>
      </c>
      <c r="I47" s="404"/>
    </row>
    <row r="48" spans="1:9" ht="15.3" x14ac:dyDescent="0.55000000000000004">
      <c r="C48" s="415">
        <v>38</v>
      </c>
      <c r="D48" s="412">
        <v>0.03</v>
      </c>
      <c r="E48" s="413">
        <v>0.28124946731614953</v>
      </c>
      <c r="F48" s="414">
        <v>1.2857142857142853E-2</v>
      </c>
      <c r="G48" s="413">
        <v>0.57760796208675047</v>
      </c>
      <c r="I48" s="404"/>
    </row>
    <row r="49" spans="3:9" ht="15.3" x14ac:dyDescent="0.55000000000000004">
      <c r="C49" s="415">
        <v>39</v>
      </c>
      <c r="D49" s="412">
        <v>0.03</v>
      </c>
      <c r="E49" s="413">
        <v>0.2730577352583976</v>
      </c>
      <c r="F49" s="414">
        <v>1.2857142857142853E-2</v>
      </c>
      <c r="G49" s="413">
        <v>0.57027584409129095</v>
      </c>
      <c r="I49" s="404"/>
    </row>
    <row r="50" spans="3:9" ht="15.3" x14ac:dyDescent="0.55000000000000004">
      <c r="C50" s="415">
        <v>40</v>
      </c>
      <c r="D50" s="412">
        <v>0.03</v>
      </c>
      <c r="E50" s="413">
        <v>0.26510459733825009</v>
      </c>
      <c r="F50" s="414">
        <v>1.2857142857142853E-2</v>
      </c>
      <c r="G50" s="413">
        <v>0.5630367995259572</v>
      </c>
      <c r="I50" s="404"/>
    </row>
    <row r="51" spans="3:9" ht="15.3" x14ac:dyDescent="0.55000000000000004">
      <c r="C51" s="415">
        <v>41</v>
      </c>
      <c r="D51" s="412">
        <v>0.03</v>
      </c>
      <c r="E51" s="413">
        <v>0.25738310421189331</v>
      </c>
      <c r="F51" s="414">
        <v>1.2857142857142853E-2</v>
      </c>
      <c r="G51" s="413">
        <v>0.55588964692266574</v>
      </c>
      <c r="I51" s="404"/>
    </row>
    <row r="52" spans="3:9" ht="15.3" x14ac:dyDescent="0.55000000000000004">
      <c r="C52" s="415">
        <v>42</v>
      </c>
      <c r="D52" s="412">
        <v>0.03</v>
      </c>
      <c r="E52" s="413">
        <v>0.24988650894358574</v>
      </c>
      <c r="F52" s="414">
        <v>1.2857142857142853E-2</v>
      </c>
      <c r="G52" s="413">
        <v>0.54883321981081246</v>
      </c>
      <c r="I52" s="404"/>
    </row>
    <row r="53" spans="3:9" ht="15.3" x14ac:dyDescent="0.55000000000000004">
      <c r="C53" s="415">
        <v>43</v>
      </c>
      <c r="D53" s="412">
        <v>0.03</v>
      </c>
      <c r="E53" s="413">
        <v>0.24260826111027742</v>
      </c>
      <c r="F53" s="414">
        <v>1.2857142857142853E-2</v>
      </c>
      <c r="G53" s="413">
        <v>0.54186636652689524</v>
      </c>
      <c r="I53" s="404"/>
    </row>
    <row r="54" spans="3:9" ht="15.3" x14ac:dyDescent="0.55000000000000004">
      <c r="C54" s="415">
        <v>44</v>
      </c>
      <c r="D54" s="412">
        <v>0.03</v>
      </c>
      <c r="E54" s="413">
        <v>0.23554200107793924</v>
      </c>
      <c r="F54" s="414">
        <v>1.2857142857142853E-2</v>
      </c>
      <c r="G54" s="413">
        <v>0.53498795002655386</v>
      </c>
      <c r="I54" s="404"/>
    </row>
    <row r="55" spans="3:9" ht="15.3" x14ac:dyDescent="0.55000000000000004">
      <c r="C55" s="415">
        <v>45</v>
      </c>
      <c r="D55" s="412">
        <v>0.03</v>
      </c>
      <c r="E55" s="413">
        <v>0.2286815544446012</v>
      </c>
      <c r="F55" s="414">
        <v>1.2857142857142853E-2</v>
      </c>
      <c r="G55" s="413">
        <v>0.52819684769899533</v>
      </c>
      <c r="I55" s="404"/>
    </row>
    <row r="56" spans="3:9" ht="15.3" x14ac:dyDescent="0.55000000000000004">
      <c r="C56" s="415">
        <v>46</v>
      </c>
      <c r="D56" s="412">
        <v>0.03</v>
      </c>
      <c r="E56" s="413">
        <v>0.22202092664524387</v>
      </c>
      <c r="F56" s="414">
        <v>1.2857142857142853E-2</v>
      </c>
      <c r="G56" s="413">
        <v>0.52149195118377534</v>
      </c>
      <c r="I56" s="404"/>
    </row>
    <row r="57" spans="3:9" ht="15.3" x14ac:dyDescent="0.55000000000000004">
      <c r="C57" s="415">
        <v>47</v>
      </c>
      <c r="D57" s="412">
        <v>0.03</v>
      </c>
      <c r="E57" s="413">
        <v>0.215554297713829</v>
      </c>
      <c r="F57" s="414">
        <v>1.2857142857142853E-2</v>
      </c>
      <c r="G57" s="413">
        <v>0.51487216618990506</v>
      </c>
      <c r="I57" s="404"/>
    </row>
    <row r="58" spans="3:9" ht="15.3" x14ac:dyDescent="0.55000000000000004">
      <c r="C58" s="415">
        <v>48</v>
      </c>
      <c r="D58" s="412">
        <v>0.03</v>
      </c>
      <c r="E58" s="413">
        <v>0.20927601719789224</v>
      </c>
      <c r="F58" s="414">
        <v>1.2857142857142853E-2</v>
      </c>
      <c r="G58" s="413">
        <v>0.50833641231725457</v>
      </c>
      <c r="I58" s="404"/>
    </row>
    <row r="59" spans="3:9" ht="15.3" x14ac:dyDescent="0.55000000000000004">
      <c r="C59" s="415">
        <v>49</v>
      </c>
      <c r="D59" s="412">
        <v>0.03</v>
      </c>
      <c r="E59" s="413">
        <v>0.20318059922125459</v>
      </c>
      <c r="F59" s="414">
        <v>1.2857142857142853E-2</v>
      </c>
      <c r="G59" s="413">
        <v>0.50188362288022315</v>
      </c>
      <c r="I59" s="404"/>
    </row>
    <row r="60" spans="3:9" ht="15.3" x14ac:dyDescent="0.55000000000000004">
      <c r="C60" s="415">
        <v>50</v>
      </c>
      <c r="D60" s="412">
        <v>0.03</v>
      </c>
      <c r="E60" s="413">
        <v>0.19726271769053844</v>
      </c>
      <c r="F60" s="414">
        <v>1.2857142857142853E-2</v>
      </c>
      <c r="G60" s="413">
        <v>0.49551274473364765</v>
      </c>
      <c r="I60" s="404"/>
    </row>
    <row r="61" spans="3:9" ht="15.3" x14ac:dyDescent="0.55000000000000004">
      <c r="C61" s="415">
        <v>51</v>
      </c>
      <c r="D61" s="412">
        <v>0.03</v>
      </c>
      <c r="E61" s="413">
        <v>0.19151720164129946</v>
      </c>
      <c r="F61" s="414">
        <v>1.2857142857142853E-2</v>
      </c>
      <c r="G61" s="413">
        <v>0.48922273810092148</v>
      </c>
      <c r="I61" s="404"/>
    </row>
    <row r="62" spans="3:9" ht="15.3" x14ac:dyDescent="0.55000000000000004">
      <c r="C62" s="415">
        <v>52</v>
      </c>
      <c r="D62" s="412">
        <v>0.03</v>
      </c>
      <c r="E62" s="413">
        <v>0.18593903071970821</v>
      </c>
      <c r="F62" s="414">
        <v>1.2857142857142853E-2</v>
      </c>
      <c r="G62" s="413">
        <v>0.48301257640429479</v>
      </c>
      <c r="I62" s="404"/>
    </row>
    <row r="63" spans="3:9" ht="15.3" x14ac:dyDescent="0.55000000000000004">
      <c r="C63" s="415">
        <v>53</v>
      </c>
      <c r="D63" s="412">
        <v>0.03</v>
      </c>
      <c r="E63" s="413">
        <v>0.18052333079583321</v>
      </c>
      <c r="F63" s="414">
        <v>1.2857142857142853E-2</v>
      </c>
      <c r="G63" s="413">
        <v>0.47688124609732913</v>
      </c>
      <c r="I63" s="404"/>
    </row>
    <row r="64" spans="3:9" ht="15.3" x14ac:dyDescent="0.55000000000000004">
      <c r="C64" s="415">
        <v>54</v>
      </c>
      <c r="D64" s="412">
        <v>0.03</v>
      </c>
      <c r="E64" s="413">
        <v>0.17526536970469245</v>
      </c>
      <c r="F64" s="414">
        <v>1.2857142857142853E-2</v>
      </c>
      <c r="G64" s="413">
        <v>0.47082774649947867</v>
      </c>
      <c r="I64" s="404"/>
    </row>
    <row r="65" spans="3:9" ht="15.3" x14ac:dyDescent="0.55000000000000004">
      <c r="C65" s="415">
        <v>55</v>
      </c>
      <c r="D65" s="412">
        <v>0.03</v>
      </c>
      <c r="E65" s="413">
        <v>0.17016055311135189</v>
      </c>
      <c r="F65" s="414">
        <v>1.2857142857142853E-2</v>
      </c>
      <c r="G65" s="413">
        <v>0.46485108963277161</v>
      </c>
      <c r="I65" s="404"/>
    </row>
    <row r="66" spans="3:9" ht="15.3" x14ac:dyDescent="0.55000000000000004">
      <c r="C66" s="415">
        <v>56</v>
      </c>
      <c r="D66" s="412">
        <v>0.03</v>
      </c>
      <c r="E66" s="413">
        <v>0.16520442049645814</v>
      </c>
      <c r="F66" s="414">
        <v>1.2857142857142853E-2</v>
      </c>
      <c r="G66" s="413">
        <v>0.45895030006056431</v>
      </c>
      <c r="I66" s="404"/>
    </row>
    <row r="67" spans="3:9" ht="15.3" x14ac:dyDescent="0.55000000000000004">
      <c r="C67" s="415">
        <v>57</v>
      </c>
      <c r="D67" s="412">
        <v>0.03</v>
      </c>
      <c r="E67" s="413">
        <v>0.16039264125869723</v>
      </c>
      <c r="F67" s="414">
        <v>1.2857142857142853E-2</v>
      </c>
      <c r="G67" s="413">
        <v>0.45312441472834275</v>
      </c>
      <c r="I67" s="404"/>
    </row>
    <row r="68" spans="3:9" ht="15.3" x14ac:dyDescent="0.55000000000000004">
      <c r="C68" s="415">
        <v>58</v>
      </c>
      <c r="D68" s="412">
        <v>0.03</v>
      </c>
      <c r="E68" s="413">
        <v>0.15572101093077401</v>
      </c>
      <c r="F68" s="414">
        <v>1.2857142857142853E-2</v>
      </c>
      <c r="G68" s="413">
        <v>0.44737248280654429</v>
      </c>
      <c r="I68" s="404"/>
    </row>
    <row r="69" spans="3:9" ht="15.3" x14ac:dyDescent="0.55000000000000004">
      <c r="C69" s="415">
        <v>59</v>
      </c>
      <c r="D69" s="412">
        <v>0.03</v>
      </c>
      <c r="E69" s="413">
        <v>0.15118544750560584</v>
      </c>
      <c r="F69" s="414">
        <v>1.2857142857142853E-2</v>
      </c>
      <c r="G69" s="413">
        <v>0.44169356553537514</v>
      </c>
      <c r="I69" s="404"/>
    </row>
    <row r="70" spans="3:9" ht="15.3" x14ac:dyDescent="0.55000000000000004">
      <c r="C70" s="415">
        <v>60</v>
      </c>
      <c r="D70" s="412">
        <v>0.03</v>
      </c>
      <c r="E70" s="413">
        <v>0.14678198786952024</v>
      </c>
      <c r="F70" s="414">
        <v>1.2857142857142853E-2</v>
      </c>
      <c r="G70" s="413">
        <v>0.43608673607159743</v>
      </c>
      <c r="I70" s="404"/>
    </row>
    <row r="71" spans="3:9" ht="15.3" x14ac:dyDescent="0.55000000000000004">
      <c r="C71" s="415">
        <v>61</v>
      </c>
      <c r="D71" s="412">
        <v>0.03</v>
      </c>
      <c r="E71" s="413">
        <v>0.14250678433934003</v>
      </c>
      <c r="F71" s="414">
        <v>1.2857142857142853E-2</v>
      </c>
      <c r="G71" s="413">
        <v>0.43055107933726117</v>
      </c>
      <c r="I71" s="404"/>
    </row>
    <row r="72" spans="3:9" ht="15.3" x14ac:dyDescent="0.55000000000000004">
      <c r="C72" s="415">
        <v>62</v>
      </c>
      <c r="D72" s="412">
        <v>0.03</v>
      </c>
      <c r="E72" s="413">
        <v>0.13835610130033013</v>
      </c>
      <c r="F72" s="414">
        <v>1.2857142857142853E-2</v>
      </c>
      <c r="G72" s="413">
        <v>0.42508569187035655</v>
      </c>
      <c r="I72" s="404"/>
    </row>
    <row r="73" spans="3:9" ht="15.3" x14ac:dyDescent="0.55000000000000004">
      <c r="C73" s="415">
        <v>63</v>
      </c>
      <c r="D73" s="412">
        <v>0.03</v>
      </c>
      <c r="E73" s="413">
        <v>0.13432631194206809</v>
      </c>
      <c r="F73" s="414">
        <v>1.2857142857142853E-2</v>
      </c>
      <c r="G73" s="413">
        <v>0.41968968167736187</v>
      </c>
      <c r="I73" s="404"/>
    </row>
    <row r="74" spans="3:9" ht="15.3" x14ac:dyDescent="0.55000000000000004">
      <c r="C74" s="415">
        <v>64</v>
      </c>
      <c r="D74" s="412">
        <v>0.03</v>
      </c>
      <c r="E74" s="413">
        <v>0.1304138950893865</v>
      </c>
      <c r="F74" s="414">
        <v>1.2857142857142853E-2</v>
      </c>
      <c r="G74" s="413">
        <v>0.4143621680876633</v>
      </c>
      <c r="I74" s="404"/>
    </row>
    <row r="75" spans="3:9" ht="15.3" x14ac:dyDescent="0.55000000000000004">
      <c r="C75" s="415">
        <v>65</v>
      </c>
      <c r="D75" s="412">
        <v>0.03</v>
      </c>
      <c r="E75" s="413">
        <v>0.12661543212561796</v>
      </c>
      <c r="F75" s="414">
        <v>1.2857142857142853E-2</v>
      </c>
      <c r="G75" s="413">
        <v>0.4091022816098227</v>
      </c>
      <c r="I75" s="404"/>
    </row>
    <row r="76" spans="3:9" ht="15.3" x14ac:dyDescent="0.55000000000000004">
      <c r="C76" s="415">
        <v>66</v>
      </c>
      <c r="D76" s="412">
        <v>0.03</v>
      </c>
      <c r="E76" s="413">
        <v>0.12292760400545433</v>
      </c>
      <c r="F76" s="414">
        <v>1.2857142857142853E-2</v>
      </c>
      <c r="G76" s="413">
        <v>0.40390916378966979</v>
      </c>
      <c r="I76" s="404"/>
    </row>
    <row r="77" spans="3:9" ht="15.3" x14ac:dyDescent="0.55000000000000004">
      <c r="C77" s="415">
        <v>67</v>
      </c>
      <c r="D77" s="412">
        <v>0.03</v>
      </c>
      <c r="E77" s="413">
        <v>0.11934718835481002</v>
      </c>
      <c r="F77" s="414">
        <v>1.2857142857142853E-2</v>
      </c>
      <c r="G77" s="413">
        <v>0.39878196707019581</v>
      </c>
      <c r="I77" s="404"/>
    </row>
    <row r="78" spans="3:9" ht="15.3" x14ac:dyDescent="0.55000000000000004">
      <c r="C78" s="415">
        <v>68</v>
      </c>
      <c r="D78" s="412">
        <v>0.03</v>
      </c>
      <c r="E78" s="413">
        <v>0.11587105665515536</v>
      </c>
      <c r="F78" s="414">
        <v>1.2857142857142853E-2</v>
      </c>
      <c r="G78" s="413">
        <v>0.39371985465322573</v>
      </c>
      <c r="I78" s="404"/>
    </row>
    <row r="79" spans="3:9" ht="15.3" x14ac:dyDescent="0.55000000000000004">
      <c r="C79" s="415">
        <v>69</v>
      </c>
      <c r="D79" s="412">
        <v>0.03</v>
      </c>
      <c r="E79" s="413">
        <v>0.11249617150985958</v>
      </c>
      <c r="F79" s="414">
        <v>1.2857142857142853E-2</v>
      </c>
      <c r="G79" s="413">
        <v>0.38872200036284627</v>
      </c>
      <c r="I79" s="404"/>
    </row>
    <row r="80" spans="3:9" ht="15.3" x14ac:dyDescent="0.55000000000000004">
      <c r="C80" s="415">
        <v>70</v>
      </c>
      <c r="D80" s="412">
        <v>0.03</v>
      </c>
      <c r="E80" s="413">
        <v>0.10921958399015493</v>
      </c>
      <c r="F80" s="414">
        <v>1.2857142857142853E-2</v>
      </c>
      <c r="G80" s="413">
        <v>0.38378758851056755</v>
      </c>
      <c r="I80" s="404"/>
    </row>
    <row r="81" spans="3:9" ht="15.3" x14ac:dyDescent="0.55000000000000004">
      <c r="C81" s="415">
        <v>71</v>
      </c>
      <c r="D81" s="412">
        <v>0.03</v>
      </c>
      <c r="E81" s="413">
        <v>0.10603843105840284</v>
      </c>
      <c r="F81" s="414">
        <v>1.2857142857142853E-2</v>
      </c>
      <c r="G81" s="413">
        <v>0.37891581376219641</v>
      </c>
      <c r="I81" s="404"/>
    </row>
    <row r="82" spans="3:9" ht="15.3" x14ac:dyDescent="0.55000000000000004">
      <c r="C82" s="415">
        <v>72</v>
      </c>
      <c r="D82" s="412">
        <v>0.03</v>
      </c>
      <c r="E82" s="413">
        <v>0.10294993306641052</v>
      </c>
      <c r="F82" s="414">
        <v>1.2857142857142853E-2</v>
      </c>
      <c r="G82" s="413">
        <v>0.3741058810063998</v>
      </c>
      <c r="I82" s="404"/>
    </row>
    <row r="83" spans="3:9" ht="15.3" x14ac:dyDescent="0.55000000000000004">
      <c r="C83" s="415">
        <v>73</v>
      </c>
      <c r="D83" s="412">
        <v>0.03</v>
      </c>
      <c r="E83" s="413">
        <v>9.9951391326612155E-2</v>
      </c>
      <c r="F83" s="414">
        <v>1.2857142857142853E-2</v>
      </c>
      <c r="G83" s="413">
        <v>0.36935700522493631</v>
      </c>
      <c r="I83" s="404"/>
    </row>
    <row r="84" spans="3:9" ht="15.3" x14ac:dyDescent="0.55000000000000004">
      <c r="C84" s="415">
        <v>74</v>
      </c>
      <c r="D84" s="412">
        <v>0.03</v>
      </c>
      <c r="E84" s="413">
        <v>9.7040185753992383E-2</v>
      </c>
      <c r="F84" s="414">
        <v>1.2857142857142853E-2</v>
      </c>
      <c r="G84" s="413">
        <v>0.36466841136453515</v>
      </c>
      <c r="I84" s="404"/>
    </row>
    <row r="85" spans="3:9" ht="15.3" x14ac:dyDescent="0.55000000000000004">
      <c r="C85" s="415">
        <v>75</v>
      </c>
      <c r="D85" s="412">
        <v>0.03</v>
      </c>
      <c r="E85" s="413">
        <v>9.4213772576691626E-2</v>
      </c>
      <c r="F85" s="414">
        <v>1.2857142857142853E-2</v>
      </c>
      <c r="G85" s="413">
        <v>0.36003933421040141</v>
      </c>
      <c r="I85" s="404"/>
    </row>
    <row r="86" spans="3:9" ht="15.3" x14ac:dyDescent="0.55000000000000004">
      <c r="C86" s="415">
        <v>76</v>
      </c>
      <c r="D86" s="412">
        <v>2.5000000000000001E-2</v>
      </c>
      <c r="E86" s="413">
        <v>9.1915875684577208E-2</v>
      </c>
      <c r="F86" s="414">
        <v>1.0714285714285711E-2</v>
      </c>
      <c r="G86" s="413">
        <v>0.35622266282301202</v>
      </c>
      <c r="I86" s="404"/>
    </row>
    <row r="87" spans="3:9" ht="15.3" x14ac:dyDescent="0.55000000000000004">
      <c r="C87" s="415">
        <v>77</v>
      </c>
      <c r="D87" s="412">
        <v>2.5000000000000001E-2</v>
      </c>
      <c r="E87" s="413">
        <v>8.9674025058124107E-2</v>
      </c>
      <c r="F87" s="414">
        <v>1.0714285714285711E-2</v>
      </c>
      <c r="G87" s="413">
        <v>0.35244645084962323</v>
      </c>
      <c r="I87" s="404"/>
    </row>
    <row r="88" spans="3:9" ht="15.3" x14ac:dyDescent="0.55000000000000004">
      <c r="C88" s="415">
        <v>78</v>
      </c>
      <c r="D88" s="412">
        <v>2.5000000000000001E-2</v>
      </c>
      <c r="E88" s="413">
        <v>8.7486853715243035E-2</v>
      </c>
      <c r="F88" s="414">
        <v>1.0714285714285711E-2</v>
      </c>
      <c r="G88" s="413">
        <v>0.3487102693918534</v>
      </c>
      <c r="I88" s="404"/>
    </row>
    <row r="89" spans="3:9" ht="15.3" x14ac:dyDescent="0.55000000000000004">
      <c r="C89" s="415">
        <v>79</v>
      </c>
      <c r="D89" s="412">
        <v>2.5000000000000001E-2</v>
      </c>
      <c r="E89" s="413">
        <v>8.5353028014871254E-2</v>
      </c>
      <c r="F89" s="414">
        <v>1.0714285714285711E-2</v>
      </c>
      <c r="G89" s="413">
        <v>0.34501369409794685</v>
      </c>
      <c r="I89" s="404"/>
    </row>
    <row r="90" spans="3:9" ht="15.3" x14ac:dyDescent="0.55000000000000004">
      <c r="C90" s="415">
        <v>80</v>
      </c>
      <c r="D90" s="412">
        <v>2.5000000000000001E-2</v>
      </c>
      <c r="E90" s="413">
        <v>8.3271246843776847E-2</v>
      </c>
      <c r="F90" s="414">
        <v>1.0714285714285711E-2</v>
      </c>
      <c r="G90" s="413">
        <v>0.34135630511457643</v>
      </c>
      <c r="I90" s="404"/>
    </row>
    <row r="91" spans="3:9" ht="15.3" x14ac:dyDescent="0.55000000000000004">
      <c r="C91" s="415">
        <v>81</v>
      </c>
      <c r="D91" s="412">
        <v>2.5000000000000001E-2</v>
      </c>
      <c r="E91" s="413">
        <v>8.1240240823196933E-2</v>
      </c>
      <c r="F91" s="414">
        <v>1.0714285714285711E-2</v>
      </c>
      <c r="G91" s="413">
        <v>0.33773768703915691</v>
      </c>
      <c r="I91" s="404"/>
    </row>
    <row r="92" spans="3:9" ht="15.3" x14ac:dyDescent="0.55000000000000004">
      <c r="C92" s="415">
        <v>82</v>
      </c>
      <c r="D92" s="412">
        <v>2.5000000000000001E-2</v>
      </c>
      <c r="E92" s="413">
        <v>7.9258771534826286E-2</v>
      </c>
      <c r="F92" s="414">
        <v>1.0714285714285711E-2</v>
      </c>
      <c r="G92" s="413">
        <v>0.33415742887266409</v>
      </c>
      <c r="I92" s="404"/>
    </row>
    <row r="93" spans="3:9" ht="15.3" x14ac:dyDescent="0.55000000000000004">
      <c r="C93" s="415">
        <v>83</v>
      </c>
      <c r="D93" s="412">
        <v>2.5000000000000001E-2</v>
      </c>
      <c r="E93" s="413">
        <v>7.7325630765684189E-2</v>
      </c>
      <c r="F93" s="414">
        <v>1.0714285714285711E-2</v>
      </c>
      <c r="G93" s="413">
        <v>0.33061512397295389</v>
      </c>
      <c r="I93" s="404"/>
    </row>
    <row r="94" spans="3:9" ht="15.3" x14ac:dyDescent="0.55000000000000004">
      <c r="C94" s="415">
        <v>84</v>
      </c>
      <c r="D94" s="412">
        <v>2.5000000000000001E-2</v>
      </c>
      <c r="E94" s="413">
        <v>7.5439639771399211E-2</v>
      </c>
      <c r="F94" s="414">
        <v>1.0714285714285711E-2</v>
      </c>
      <c r="G94" s="413">
        <v>0.32711037000857629</v>
      </c>
      <c r="I94" s="404"/>
    </row>
    <row r="95" spans="3:9" ht="15.3" x14ac:dyDescent="0.55000000000000004">
      <c r="C95" s="415">
        <v>85</v>
      </c>
      <c r="D95" s="412">
        <v>2.5000000000000001E-2</v>
      </c>
      <c r="E95" s="413">
        <v>7.3599648557462649E-2</v>
      </c>
      <c r="F95" s="414">
        <v>1.0714285714285711E-2</v>
      </c>
      <c r="G95" s="413">
        <v>0.32364276891307903</v>
      </c>
      <c r="I95" s="404"/>
    </row>
    <row r="96" spans="3:9" ht="15.3" x14ac:dyDescent="0.55000000000000004">
      <c r="C96" s="415">
        <v>86</v>
      </c>
      <c r="D96" s="412">
        <v>2.5000000000000001E-2</v>
      </c>
      <c r="E96" s="413">
        <v>7.1804535178012344E-2</v>
      </c>
      <c r="F96" s="414">
        <v>1.0714285714285711E-2</v>
      </c>
      <c r="G96" s="413">
        <v>0.32021192683979549</v>
      </c>
      <c r="I96" s="404"/>
    </row>
    <row r="97" spans="3:9" ht="15.3" x14ac:dyDescent="0.55000000000000004">
      <c r="C97" s="415">
        <v>87</v>
      </c>
      <c r="D97" s="412">
        <v>2.5000000000000001E-2</v>
      </c>
      <c r="E97" s="413">
        <v>7.0053205051719372E-2</v>
      </c>
      <c r="F97" s="414">
        <v>1.0714285714285711E-2</v>
      </c>
      <c r="G97" s="413">
        <v>0.31681745411711215</v>
      </c>
      <c r="I97" s="404"/>
    </row>
    <row r="98" spans="3:9" ht="15.3" x14ac:dyDescent="0.55000000000000004">
      <c r="C98" s="415">
        <v>88</v>
      </c>
      <c r="D98" s="412">
        <v>2.5000000000000001E-2</v>
      </c>
      <c r="E98" s="413">
        <v>6.8344590294360366E-2</v>
      </c>
      <c r="F98" s="414">
        <v>1.0714285714285711E-2</v>
      </c>
      <c r="G98" s="413">
        <v>0.31345896520420991</v>
      </c>
      <c r="I98" s="404"/>
    </row>
    <row r="99" spans="3:9" ht="15.3" x14ac:dyDescent="0.55000000000000004">
      <c r="C99" s="415">
        <v>89</v>
      </c>
      <c r="D99" s="412">
        <v>2.5000000000000001E-2</v>
      </c>
      <c r="E99" s="413">
        <v>6.6677649067668654E-2</v>
      </c>
      <c r="F99" s="414">
        <v>1.0714285714285711E-2</v>
      </c>
      <c r="G99" s="413">
        <v>0.31013607864727483</v>
      </c>
      <c r="I99" s="404"/>
    </row>
    <row r="100" spans="3:9" ht="15.3" x14ac:dyDescent="0.55000000000000004">
      <c r="C100" s="415">
        <v>90</v>
      </c>
      <c r="D100" s="412">
        <v>2.5000000000000001E-2</v>
      </c>
      <c r="E100" s="413">
        <v>6.5051364944066992E-2</v>
      </c>
      <c r="F100" s="414">
        <v>1.0714285714285711E-2</v>
      </c>
      <c r="G100" s="413">
        <v>0.30684841703617299</v>
      </c>
      <c r="I100" s="404"/>
    </row>
    <row r="101" spans="3:9" ht="15.3" x14ac:dyDescent="0.55000000000000004">
      <c r="C101" s="415">
        <v>91</v>
      </c>
      <c r="D101" s="412">
        <v>2.5000000000000001E-2</v>
      </c>
      <c r="E101" s="413">
        <v>6.3464746286894635E-2</v>
      </c>
      <c r="F101" s="414">
        <v>1.0714285714285711E-2</v>
      </c>
      <c r="G101" s="413">
        <v>0.30359560696158461</v>
      </c>
      <c r="I101" s="404"/>
    </row>
    <row r="102" spans="3:9" ht="15.3" x14ac:dyDescent="0.55000000000000004">
      <c r="C102" s="415">
        <v>92</v>
      </c>
      <c r="D102" s="412">
        <v>2.5000000000000001E-2</v>
      </c>
      <c r="E102" s="413">
        <v>6.1916825645750871E-2</v>
      </c>
      <c r="F102" s="414">
        <v>1.0714285714285711E-2</v>
      </c>
      <c r="G102" s="413">
        <v>0.30037727897259253</v>
      </c>
      <c r="I102" s="404"/>
    </row>
    <row r="103" spans="3:9" ht="15.3" x14ac:dyDescent="0.55000000000000004">
      <c r="C103" s="415">
        <v>93</v>
      </c>
      <c r="D103" s="412">
        <v>2.5000000000000001E-2</v>
      </c>
      <c r="E103" s="413">
        <v>6.0406659166586218E-2</v>
      </c>
      <c r="F103" s="414">
        <v>1.0714285714285711E-2</v>
      </c>
      <c r="G103" s="413">
        <v>0.29719306753472052</v>
      </c>
      <c r="I103" s="404"/>
    </row>
    <row r="104" spans="3:9" ht="15.3" x14ac:dyDescent="0.55000000000000004">
      <c r="C104" s="415">
        <v>94</v>
      </c>
      <c r="D104" s="412">
        <v>2.5000000000000001E-2</v>
      </c>
      <c r="E104" s="413">
        <v>5.8933326016181682E-2</v>
      </c>
      <c r="F104" s="414">
        <v>1.0714285714285711E-2</v>
      </c>
      <c r="G104" s="413">
        <v>0.29404261098841605</v>
      </c>
      <c r="I104" s="404"/>
    </row>
    <row r="105" spans="3:9" ht="15.3" x14ac:dyDescent="0.55000000000000004">
      <c r="C105" s="415">
        <v>95</v>
      </c>
      <c r="D105" s="412">
        <v>2.5000000000000001E-2</v>
      </c>
      <c r="E105" s="413">
        <v>5.7495927820665059E-2</v>
      </c>
      <c r="F105" s="414">
        <v>1.0714285714285711E-2</v>
      </c>
      <c r="G105" s="413">
        <v>0.2909255515079735</v>
      </c>
      <c r="I105" s="404"/>
    </row>
    <row r="106" spans="3:9" ht="15.3" x14ac:dyDescent="0.55000000000000004">
      <c r="C106" s="415">
        <v>96</v>
      </c>
      <c r="D106" s="412">
        <v>2.5000000000000001E-2</v>
      </c>
      <c r="E106" s="413">
        <v>5.6093588117722012E-2</v>
      </c>
      <c r="F106" s="414">
        <v>1.0714285714285711E-2</v>
      </c>
      <c r="G106" s="413">
        <v>0.28784153506089249</v>
      </c>
      <c r="I106" s="404"/>
    </row>
    <row r="107" spans="3:9" ht="15.3" x14ac:dyDescent="0.55000000000000004">
      <c r="C107" s="415">
        <v>97</v>
      </c>
      <c r="D107" s="412">
        <v>2.5000000000000001E-2</v>
      </c>
      <c r="E107" s="413">
        <v>5.4725451822167821E-2</v>
      </c>
      <c r="F107" s="414">
        <v>1.0714285714285711E-2</v>
      </c>
      <c r="G107" s="413">
        <v>0.28479021136766752</v>
      </c>
      <c r="I107" s="404"/>
    </row>
    <row r="108" spans="3:9" ht="15.3" x14ac:dyDescent="0.55000000000000004">
      <c r="C108" s="415">
        <v>98</v>
      </c>
      <c r="D108" s="412">
        <v>2.5000000000000001E-2</v>
      </c>
      <c r="E108" s="413">
        <v>5.3390684704553978E-2</v>
      </c>
      <c r="F108" s="414">
        <v>1.0714285714285711E-2</v>
      </c>
      <c r="G108" s="413">
        <v>0.2817712338620032</v>
      </c>
      <c r="I108" s="404"/>
    </row>
    <row r="109" spans="3:9" ht="15.3" x14ac:dyDescent="0.55000000000000004">
      <c r="C109" s="415">
        <v>99</v>
      </c>
      <c r="D109" s="412">
        <v>2.5000000000000001E-2</v>
      </c>
      <c r="E109" s="413">
        <v>5.2088472882491688E-2</v>
      </c>
      <c r="F109" s="414">
        <v>1.0714285714285711E-2</v>
      </c>
      <c r="G109" s="413">
        <v>0.27878425965145193</v>
      </c>
      <c r="I109" s="404"/>
    </row>
    <row r="110" spans="3:9" ht="15.3" x14ac:dyDescent="0.55000000000000004">
      <c r="C110" s="415">
        <v>100</v>
      </c>
      <c r="D110" s="412">
        <v>2.5000000000000001E-2</v>
      </c>
      <c r="E110" s="413">
        <v>5.0818022324382137E-2</v>
      </c>
      <c r="F110" s="414">
        <v>1.0714285714285711E-2</v>
      </c>
      <c r="G110" s="413">
        <v>0.27582894947846837</v>
      </c>
      <c r="I110" s="404"/>
    </row>
    <row r="111" spans="3:9" ht="15.3" x14ac:dyDescent="0.55000000000000004">
      <c r="C111" s="415">
        <v>101</v>
      </c>
      <c r="D111" s="412">
        <v>2.5000000000000001E-2</v>
      </c>
      <c r="E111" s="413">
        <v>4.9578558365250866E-2</v>
      </c>
      <c r="F111" s="414">
        <v>1.0714285714285711E-2</v>
      </c>
      <c r="G111" s="413">
        <v>0.27290496768187683</v>
      </c>
      <c r="I111" s="404"/>
    </row>
    <row r="112" spans="3:9" ht="15.3" x14ac:dyDescent="0.55000000000000004">
      <c r="C112" s="415">
        <v>102</v>
      </c>
      <c r="D112" s="412">
        <v>2.5000000000000001E-2</v>
      </c>
      <c r="E112" s="413">
        <v>4.8369325234391095E-2</v>
      </c>
      <c r="F112" s="414">
        <v>1.0714285714285711E-2</v>
      </c>
      <c r="G112" s="413">
        <v>0.27001198215874739</v>
      </c>
      <c r="I112" s="404"/>
    </row>
    <row r="113" spans="3:9" ht="15.3" x14ac:dyDescent="0.55000000000000004">
      <c r="C113" s="415">
        <v>103</v>
      </c>
      <c r="D113" s="412">
        <v>2.5000000000000001E-2</v>
      </c>
      <c r="E113" s="413">
        <v>4.7189585594527898E-2</v>
      </c>
      <c r="F113" s="414">
        <v>1.0714285714285711E-2</v>
      </c>
      <c r="G113" s="413">
        <v>0.26714966432667586</v>
      </c>
      <c r="I113" s="404"/>
    </row>
    <row r="114" spans="3:9" ht="15.3" x14ac:dyDescent="0.55000000000000004">
      <c r="C114" s="415">
        <v>104</v>
      </c>
      <c r="D114" s="412">
        <v>2.5000000000000001E-2</v>
      </c>
      <c r="E114" s="413">
        <v>4.6038620092222343E-2</v>
      </c>
      <c r="F114" s="414">
        <v>1.0714285714285711E-2</v>
      </c>
      <c r="G114" s="413">
        <v>0.26431768908646375</v>
      </c>
      <c r="I114" s="404"/>
    </row>
    <row r="115" spans="3:9" ht="15.3" x14ac:dyDescent="0.55000000000000004">
      <c r="C115" s="415">
        <v>105</v>
      </c>
      <c r="D115" s="412">
        <v>2.5000000000000001E-2</v>
      </c>
      <c r="E115" s="413">
        <v>4.4915726919241311E-2</v>
      </c>
      <c r="F115" s="414">
        <v>1.0714285714285711E-2</v>
      </c>
      <c r="G115" s="413">
        <v>0.2615157347851938</v>
      </c>
      <c r="I115" s="404"/>
    </row>
    <row r="116" spans="3:9" ht="15.3" x14ac:dyDescent="0.55000000000000004">
      <c r="C116" s="415">
        <v>106</v>
      </c>
      <c r="D116" s="412">
        <v>2.5000000000000001E-2</v>
      </c>
      <c r="E116" s="413">
        <v>4.3820221384625671E-2</v>
      </c>
      <c r="F116" s="414">
        <v>1.0714285714285711E-2</v>
      </c>
      <c r="G116" s="413">
        <v>0.25874348317969703</v>
      </c>
      <c r="I116" s="404"/>
    </row>
    <row r="117" spans="3:9" ht="15.3" x14ac:dyDescent="0.55000000000000004">
      <c r="C117" s="415">
        <v>107</v>
      </c>
      <c r="D117" s="412">
        <v>2.5000000000000001E-2</v>
      </c>
      <c r="E117" s="413">
        <v>4.2751435497195782E-2</v>
      </c>
      <c r="F117" s="414">
        <v>1.0714285714285711E-2</v>
      </c>
      <c r="G117" s="413">
        <v>0.25600061940040697</v>
      </c>
      <c r="I117" s="404"/>
    </row>
    <row r="118" spans="3:9" ht="15.3" x14ac:dyDescent="0.55000000000000004">
      <c r="C118" s="415">
        <v>108</v>
      </c>
      <c r="D118" s="412">
        <v>2.5000000000000001E-2</v>
      </c>
      <c r="E118" s="413">
        <v>4.1708717558239794E-2</v>
      </c>
      <c r="F118" s="414">
        <v>1.0714285714285711E-2</v>
      </c>
      <c r="G118" s="413">
        <v>0.25328683191559703</v>
      </c>
      <c r="I118" s="404"/>
    </row>
    <row r="119" spans="3:9" ht="15.3" x14ac:dyDescent="0.55000000000000004">
      <c r="C119" s="415">
        <v>109</v>
      </c>
      <c r="D119" s="412">
        <v>2.5000000000000001E-2</v>
      </c>
      <c r="E119" s="413">
        <v>4.0691431764136386E-2</v>
      </c>
      <c r="F119" s="414">
        <v>1.0714285714285711E-2</v>
      </c>
      <c r="G119" s="413">
        <v>0.25060181249599706</v>
      </c>
      <c r="I119" s="404"/>
    </row>
    <row r="120" spans="3:9" ht="15.3" x14ac:dyDescent="0.55000000000000004">
      <c r="C120" s="415">
        <v>110</v>
      </c>
      <c r="D120" s="412">
        <v>2.5000000000000001E-2</v>
      </c>
      <c r="E120" s="413">
        <v>3.9698957818669646E-2</v>
      </c>
      <c r="F120" s="414">
        <v>1.0714285714285711E-2</v>
      </c>
      <c r="G120" s="413">
        <v>0.24794525617978508</v>
      </c>
      <c r="I120" s="404"/>
    </row>
    <row r="121" spans="3:9" ht="15.3" x14ac:dyDescent="0.55000000000000004">
      <c r="C121" s="415">
        <v>111</v>
      </c>
      <c r="D121" s="412">
        <v>2.5000000000000001E-2</v>
      </c>
      <c r="E121" s="413">
        <v>3.8730690554799656E-2</v>
      </c>
      <c r="F121" s="414">
        <v>1.0714285714285711E-2</v>
      </c>
      <c r="G121" s="413">
        <v>0.24531686123794991</v>
      </c>
      <c r="I121" s="404"/>
    </row>
    <row r="122" spans="3:9" ht="15.3" x14ac:dyDescent="0.55000000000000004">
      <c r="C122" s="415">
        <v>112</v>
      </c>
      <c r="D122" s="412">
        <v>2.5000000000000001E-2</v>
      </c>
      <c r="E122" s="413">
        <v>3.7786039565658201E-2</v>
      </c>
      <c r="F122" s="414">
        <v>1.0714285714285711E-2</v>
      </c>
      <c r="G122" s="413">
        <v>0.24271632914002111</v>
      </c>
      <c r="I122" s="404"/>
    </row>
    <row r="123" spans="3:9" ht="15.3" x14ac:dyDescent="0.55000000000000004">
      <c r="C123" s="415">
        <v>113</v>
      </c>
      <c r="D123" s="412">
        <v>2.5000000000000001E-2</v>
      </c>
      <c r="E123" s="413">
        <v>3.6864428844544592E-2</v>
      </c>
      <c r="F123" s="414">
        <v>1.0714285714285711E-2</v>
      </c>
      <c r="G123" s="413">
        <v>0.24014336452016224</v>
      </c>
      <c r="I123" s="404"/>
    </row>
    <row r="124" spans="3:9" ht="15.3" x14ac:dyDescent="0.55000000000000004">
      <c r="C124" s="415">
        <v>114</v>
      </c>
      <c r="D124" s="412">
        <v>2.5000000000000001E-2</v>
      </c>
      <c r="E124" s="413">
        <v>3.596529643370204E-2</v>
      </c>
      <c r="F124" s="414">
        <v>1.0714285714285711E-2</v>
      </c>
      <c r="G124" s="413">
        <v>0.23759767514362343</v>
      </c>
      <c r="I124" s="404"/>
    </row>
    <row r="125" spans="3:9" ht="15.3" x14ac:dyDescent="0.55000000000000004">
      <c r="C125" s="415">
        <v>115</v>
      </c>
      <c r="D125" s="412">
        <v>2.5000000000000001E-2</v>
      </c>
      <c r="E125" s="413">
        <v>3.5088094081660533E-2</v>
      </c>
      <c r="F125" s="414">
        <v>1.0714285714285711E-2</v>
      </c>
      <c r="G125" s="413">
        <v>0.2350789718735497</v>
      </c>
      <c r="I125" s="404"/>
    </row>
    <row r="126" spans="3:9" ht="15.3" x14ac:dyDescent="0.55000000000000004">
      <c r="C126" s="415">
        <v>116</v>
      </c>
      <c r="D126" s="412">
        <v>2.5000000000000001E-2</v>
      </c>
      <c r="E126" s="413">
        <v>3.4232286908937107E-2</v>
      </c>
      <c r="F126" s="414">
        <v>1.0714285714285711E-2</v>
      </c>
      <c r="G126" s="413">
        <v>0.23258696863814105</v>
      </c>
      <c r="I126" s="404"/>
    </row>
    <row r="127" spans="3:9" ht="15.3" x14ac:dyDescent="0.55000000000000004">
      <c r="C127" s="415">
        <v>117</v>
      </c>
      <c r="D127" s="412">
        <v>2.5000000000000001E-2</v>
      </c>
      <c r="E127" s="413">
        <v>3.3397353081889861E-2</v>
      </c>
      <c r="F127" s="414">
        <v>1.0714285714285711E-2</v>
      </c>
      <c r="G127" s="413">
        <v>0.23012138239816077</v>
      </c>
      <c r="I127" s="404"/>
    </row>
    <row r="128" spans="3:9" ht="15.3" x14ac:dyDescent="0.55000000000000004">
      <c r="C128" s="415">
        <v>118</v>
      </c>
      <c r="D128" s="412">
        <v>2.5000000000000001E-2</v>
      </c>
      <c r="E128" s="413">
        <v>3.2582783494526694E-2</v>
      </c>
      <c r="F128" s="414">
        <v>1.0714285714285711E-2</v>
      </c>
      <c r="G128" s="413">
        <v>0.22768193311478804</v>
      </c>
      <c r="I128" s="404"/>
    </row>
    <row r="129" spans="3:9" ht="15.3" x14ac:dyDescent="0.55000000000000004">
      <c r="C129" s="415">
        <v>119</v>
      </c>
      <c r="D129" s="412">
        <v>2.5000000000000001E-2</v>
      </c>
      <c r="E129" s="413">
        <v>3.1788081458074824E-2</v>
      </c>
      <c r="F129" s="414">
        <v>1.0714285714285711E-2</v>
      </c>
      <c r="G129" s="413">
        <v>0.22526834371781149</v>
      </c>
      <c r="I129" s="404"/>
    </row>
    <row r="130" spans="3:9" ht="15.3" x14ac:dyDescent="0.55000000000000004">
      <c r="C130" s="415">
        <v>120</v>
      </c>
      <c r="D130" s="412">
        <v>2.5000000000000001E-2</v>
      </c>
      <c r="E130" s="413">
        <v>3.1012762398121781E-2</v>
      </c>
      <c r="F130" s="414">
        <v>1.0714285714285711E-2</v>
      </c>
      <c r="G130" s="413">
        <v>0.22288034007415977</v>
      </c>
      <c r="I130" s="404"/>
    </row>
    <row r="131" spans="3:9" ht="15.3" x14ac:dyDescent="0.55000000000000004">
      <c r="C131" s="415">
        <v>121</v>
      </c>
      <c r="D131" s="412">
        <v>2.5000000000000001E-2</v>
      </c>
      <c r="E131" s="413">
        <v>3.0256353559143204E-2</v>
      </c>
      <c r="F131" s="414">
        <v>1.0714285714285711E-2</v>
      </c>
      <c r="G131" s="413">
        <v>0.22051765095676587</v>
      </c>
      <c r="I131" s="404"/>
    </row>
    <row r="132" spans="3:9" ht="15.3" x14ac:dyDescent="0.55000000000000004">
      <c r="C132" s="415">
        <v>122</v>
      </c>
      <c r="D132" s="412">
        <v>2.5000000000000001E-2</v>
      </c>
      <c r="E132" s="413">
        <v>2.9518393716237275E-2</v>
      </c>
      <c r="F132" s="414">
        <v>1.0714285714285711E-2</v>
      </c>
      <c r="G132" s="413">
        <v>0.21818000801376131</v>
      </c>
      <c r="I132" s="404"/>
    </row>
    <row r="133" spans="3:9" ht="15.3" x14ac:dyDescent="0.55000000000000004">
      <c r="C133" s="415">
        <v>123</v>
      </c>
      <c r="D133" s="412">
        <v>2.5000000000000001E-2</v>
      </c>
      <c r="E133" s="413">
        <v>2.8798432893890027E-2</v>
      </c>
      <c r="F133" s="414">
        <v>1.0714285714285711E-2</v>
      </c>
      <c r="G133" s="413">
        <v>0.21586714573799706</v>
      </c>
      <c r="I133" s="404"/>
    </row>
    <row r="134" spans="3:9" ht="15.3" x14ac:dyDescent="0.55000000000000004">
      <c r="C134" s="415">
        <v>124</v>
      </c>
      <c r="D134" s="412">
        <v>2.5000000000000001E-2</v>
      </c>
      <c r="E134" s="413">
        <v>2.809603209160003E-2</v>
      </c>
      <c r="F134" s="414">
        <v>1.0714285714285711E-2</v>
      </c>
      <c r="G134" s="413">
        <v>0.21357880143688757</v>
      </c>
      <c r="I134" s="404"/>
    </row>
    <row r="135" spans="3:9" ht="15.3" x14ac:dyDescent="0.55000000000000004">
      <c r="C135" s="415">
        <v>125</v>
      </c>
      <c r="D135" s="412">
        <v>2.5000000000000001E-2</v>
      </c>
      <c r="E135" s="413">
        <v>2.7410763016195154E-2</v>
      </c>
      <c r="F135" s="414">
        <v>1.0714285714285711E-2</v>
      </c>
      <c r="G135" s="413">
        <v>0.21131471520257428</v>
      </c>
      <c r="I135" s="404"/>
    </row>
  </sheetData>
  <mergeCells count="4">
    <mergeCell ref="C5:J5"/>
    <mergeCell ref="D8:E8"/>
    <mergeCell ref="F8:G8"/>
    <mergeCell ref="C8:C9"/>
  </mergeCell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E234B-EFDB-45EB-9F4E-6FC61758605D}">
  <sheetPr codeName="Sheet12">
    <tabColor theme="2" tint="-0.249977111117893"/>
  </sheetPr>
  <dimension ref="A2:E140"/>
  <sheetViews>
    <sheetView zoomScaleNormal="100" workbookViewId="0">
      <selection activeCell="L50" sqref="L50"/>
    </sheetView>
  </sheetViews>
  <sheetFormatPr defaultColWidth="9.20703125" defaultRowHeight="14.4" x14ac:dyDescent="0.55000000000000004"/>
  <cols>
    <col min="1" max="1" width="35.7890625" style="313" customWidth="1"/>
    <col min="2" max="2" width="9.20703125" style="39"/>
    <col min="3" max="3" width="15.5234375" style="39" customWidth="1"/>
    <col min="4" max="4" width="39.20703125" style="39" bestFit="1" customWidth="1"/>
    <col min="5" max="5" width="25.7890625" style="39" customWidth="1"/>
    <col min="6" max="16384" width="9.20703125" style="39"/>
  </cols>
  <sheetData>
    <row r="2" spans="1:5" ht="32.700000000000003" x14ac:dyDescent="0.55000000000000004">
      <c r="C2" s="309" t="s">
        <v>434</v>
      </c>
    </row>
    <row r="3" spans="1:5" ht="24.75" customHeight="1" x14ac:dyDescent="0.55000000000000004">
      <c r="C3" s="407" t="s">
        <v>435</v>
      </c>
    </row>
    <row r="4" spans="1:5" ht="15.3" x14ac:dyDescent="0.55000000000000004">
      <c r="C4" s="46" t="s">
        <v>436</v>
      </c>
    </row>
    <row r="5" spans="1:5" ht="21.75" customHeight="1" x14ac:dyDescent="0.55000000000000004">
      <c r="C5" s="46" t="s">
        <v>813</v>
      </c>
    </row>
    <row r="7" spans="1:5" ht="15.3" x14ac:dyDescent="0.55000000000000004">
      <c r="A7" s="310"/>
      <c r="C7" s="416" t="s">
        <v>437</v>
      </c>
      <c r="D7" s="408" t="s">
        <v>438</v>
      </c>
      <c r="E7" s="409" t="s">
        <v>439</v>
      </c>
    </row>
    <row r="8" spans="1:5" ht="15.3" x14ac:dyDescent="0.55000000000000004">
      <c r="A8" s="310"/>
      <c r="C8" s="417" t="s">
        <v>440</v>
      </c>
      <c r="D8" s="46" t="s">
        <v>441</v>
      </c>
      <c r="E8" s="46">
        <v>0.94602896339852005</v>
      </c>
    </row>
    <row r="9" spans="1:5" ht="15.3" x14ac:dyDescent="0.55000000000000004">
      <c r="A9" s="310"/>
      <c r="C9" s="417" t="s">
        <v>442</v>
      </c>
      <c r="D9" s="46" t="s">
        <v>443</v>
      </c>
      <c r="E9" s="46">
        <v>0.94602896339852005</v>
      </c>
    </row>
    <row r="10" spans="1:5" ht="15.3" x14ac:dyDescent="0.55000000000000004">
      <c r="A10" s="310"/>
      <c r="C10" s="417" t="s">
        <v>444</v>
      </c>
      <c r="D10" s="46" t="s">
        <v>445</v>
      </c>
      <c r="E10" s="46">
        <v>0.94501951569228204</v>
      </c>
    </row>
    <row r="11" spans="1:5" ht="15.3" x14ac:dyDescent="0.55000000000000004">
      <c r="A11" s="310"/>
      <c r="C11" s="417" t="s">
        <v>446</v>
      </c>
      <c r="D11" s="46" t="s">
        <v>447</v>
      </c>
      <c r="E11" s="46">
        <v>0.96137313516883305</v>
      </c>
    </row>
    <row r="12" spans="1:5" ht="15.3" x14ac:dyDescent="0.55000000000000004">
      <c r="A12" s="310"/>
      <c r="C12" s="417" t="s">
        <v>448</v>
      </c>
      <c r="D12" s="46" t="s">
        <v>449</v>
      </c>
      <c r="E12" s="46">
        <v>0.96427977706594004</v>
      </c>
    </row>
    <row r="13" spans="1:5" ht="15.3" x14ac:dyDescent="0.55000000000000004">
      <c r="A13" s="310"/>
      <c r="C13" s="417" t="s">
        <v>450</v>
      </c>
      <c r="D13" s="46" t="s">
        <v>451</v>
      </c>
      <c r="E13" s="46">
        <v>0.94463220573800699</v>
      </c>
    </row>
    <row r="14" spans="1:5" ht="15.3" x14ac:dyDescent="0.55000000000000004">
      <c r="A14" s="310"/>
      <c r="C14" s="417" t="s">
        <v>452</v>
      </c>
      <c r="D14" s="46" t="s">
        <v>453</v>
      </c>
      <c r="E14" s="46">
        <v>0.93375655539517499</v>
      </c>
    </row>
    <row r="15" spans="1:5" ht="15.3" x14ac:dyDescent="0.55000000000000004">
      <c r="A15" s="310"/>
      <c r="C15" s="417" t="s">
        <v>454</v>
      </c>
      <c r="D15" s="46" t="s">
        <v>455</v>
      </c>
      <c r="E15" s="46">
        <v>0.94199399346357304</v>
      </c>
    </row>
    <row r="16" spans="1:5" ht="15.3" x14ac:dyDescent="0.55000000000000004">
      <c r="A16" s="310"/>
      <c r="C16" s="417" t="s">
        <v>456</v>
      </c>
      <c r="D16" s="46" t="s">
        <v>457</v>
      </c>
      <c r="E16" s="46">
        <v>0.94188354849929001</v>
      </c>
    </row>
    <row r="17" spans="1:5" ht="15.3" x14ac:dyDescent="0.55000000000000004">
      <c r="A17" s="311"/>
      <c r="C17" s="417" t="s">
        <v>458</v>
      </c>
      <c r="D17" s="46" t="s">
        <v>459</v>
      </c>
      <c r="E17" s="46">
        <v>0.95537149425509704</v>
      </c>
    </row>
    <row r="18" spans="1:5" ht="15.3" x14ac:dyDescent="0.55000000000000004">
      <c r="A18" s="311"/>
      <c r="C18" s="417" t="s">
        <v>460</v>
      </c>
      <c r="D18" s="46" t="s">
        <v>461</v>
      </c>
      <c r="E18" s="46">
        <v>0.95973065850762795</v>
      </c>
    </row>
    <row r="19" spans="1:5" ht="15.3" x14ac:dyDescent="0.55000000000000004">
      <c r="A19" s="311"/>
      <c r="C19" s="417" t="s">
        <v>462</v>
      </c>
      <c r="D19" s="46" t="s">
        <v>463</v>
      </c>
      <c r="E19" s="46">
        <v>0.96128040833921402</v>
      </c>
    </row>
    <row r="20" spans="1:5" ht="15.3" x14ac:dyDescent="0.55000000000000004">
      <c r="A20" s="311"/>
      <c r="C20" s="417" t="s">
        <v>464</v>
      </c>
      <c r="D20" s="46" t="s">
        <v>465</v>
      </c>
      <c r="E20" s="46">
        <v>0.95558637109450795</v>
      </c>
    </row>
    <row r="21" spans="1:5" ht="15.3" x14ac:dyDescent="0.55000000000000004">
      <c r="A21" s="312"/>
      <c r="C21" s="417" t="s">
        <v>466</v>
      </c>
      <c r="D21" s="46" t="s">
        <v>467</v>
      </c>
      <c r="E21" s="46">
        <v>0.94418968090255795</v>
      </c>
    </row>
    <row r="22" spans="1:5" ht="15.3" x14ac:dyDescent="0.55000000000000004">
      <c r="A22" s="312"/>
      <c r="C22" s="417" t="s">
        <v>468</v>
      </c>
      <c r="D22" s="46" t="s">
        <v>469</v>
      </c>
      <c r="E22" s="46">
        <v>0.94419521625213498</v>
      </c>
    </row>
    <row r="23" spans="1:5" ht="15.3" x14ac:dyDescent="0.55000000000000004">
      <c r="A23" s="312"/>
      <c r="C23" s="417" t="s">
        <v>470</v>
      </c>
      <c r="D23" s="46" t="s">
        <v>471</v>
      </c>
      <c r="E23" s="46">
        <v>0.99376732789510502</v>
      </c>
    </row>
    <row r="24" spans="1:5" ht="15.3" x14ac:dyDescent="0.55000000000000004">
      <c r="A24" s="312"/>
      <c r="C24" s="417" t="s">
        <v>472</v>
      </c>
      <c r="D24" s="46" t="s">
        <v>473</v>
      </c>
      <c r="E24" s="46">
        <v>0.93763651712909402</v>
      </c>
    </row>
    <row r="25" spans="1:5" ht="15.3" x14ac:dyDescent="0.55000000000000004">
      <c r="A25" s="312"/>
      <c r="C25" s="417" t="s">
        <v>474</v>
      </c>
      <c r="D25" s="46" t="s">
        <v>475</v>
      </c>
      <c r="E25" s="46">
        <v>0.93282786382582195</v>
      </c>
    </row>
    <row r="26" spans="1:5" ht="15.3" x14ac:dyDescent="0.55000000000000004">
      <c r="A26" s="312"/>
      <c r="C26" s="417" t="s">
        <v>476</v>
      </c>
      <c r="D26" s="46" t="s">
        <v>477</v>
      </c>
      <c r="E26" s="46">
        <v>1.0064058357252601</v>
      </c>
    </row>
    <row r="27" spans="1:5" ht="15.3" x14ac:dyDescent="0.55000000000000004">
      <c r="A27" s="312"/>
      <c r="C27" s="417" t="s">
        <v>478</v>
      </c>
      <c r="D27" s="46" t="s">
        <v>479</v>
      </c>
      <c r="E27" s="46">
        <v>0.98700345541420598</v>
      </c>
    </row>
    <row r="28" spans="1:5" ht="15.3" x14ac:dyDescent="0.55000000000000004">
      <c r="A28" s="312"/>
      <c r="C28" s="417" t="s">
        <v>480</v>
      </c>
      <c r="D28" s="46" t="s">
        <v>481</v>
      </c>
      <c r="E28" s="46">
        <v>1.03359757553224</v>
      </c>
    </row>
    <row r="29" spans="1:5" ht="15.3" x14ac:dyDescent="0.55000000000000004">
      <c r="A29" s="312"/>
      <c r="C29" s="417" t="s">
        <v>482</v>
      </c>
      <c r="D29" s="46" t="s">
        <v>483</v>
      </c>
      <c r="E29" s="46">
        <v>0.99720691219693602</v>
      </c>
    </row>
    <row r="30" spans="1:5" ht="15.3" x14ac:dyDescent="0.55000000000000004">
      <c r="A30" s="312"/>
      <c r="C30" s="417" t="s">
        <v>484</v>
      </c>
      <c r="D30" s="46" t="s">
        <v>485</v>
      </c>
      <c r="E30" s="46">
        <v>1.0378693185582599</v>
      </c>
    </row>
    <row r="31" spans="1:5" ht="15.3" x14ac:dyDescent="0.55000000000000004">
      <c r="A31" s="312"/>
      <c r="C31" s="417" t="s">
        <v>486</v>
      </c>
      <c r="D31" s="46" t="s">
        <v>487</v>
      </c>
      <c r="E31" s="46">
        <v>1.02055029053438</v>
      </c>
    </row>
    <row r="32" spans="1:5" ht="15.3" x14ac:dyDescent="0.55000000000000004">
      <c r="A32" s="312"/>
      <c r="C32" s="417" t="s">
        <v>488</v>
      </c>
      <c r="D32" s="46" t="s">
        <v>489</v>
      </c>
      <c r="E32" s="46">
        <v>1.01730367333167</v>
      </c>
    </row>
    <row r="33" spans="1:5" ht="15.3" x14ac:dyDescent="0.55000000000000004">
      <c r="A33" s="312"/>
      <c r="C33" s="417" t="s">
        <v>490</v>
      </c>
      <c r="D33" s="46" t="s">
        <v>491</v>
      </c>
      <c r="E33" s="46">
        <v>0.99245728097493802</v>
      </c>
    </row>
    <row r="34" spans="1:5" ht="15.3" x14ac:dyDescent="0.55000000000000004">
      <c r="A34" s="312"/>
      <c r="C34" s="417" t="s">
        <v>492</v>
      </c>
      <c r="D34" s="46" t="s">
        <v>493</v>
      </c>
      <c r="E34" s="46">
        <v>1.0014862145315799</v>
      </c>
    </row>
    <row r="35" spans="1:5" ht="15.3" x14ac:dyDescent="0.55000000000000004">
      <c r="A35" s="312"/>
      <c r="C35" s="417" t="s">
        <v>494</v>
      </c>
      <c r="D35" s="46" t="s">
        <v>495</v>
      </c>
      <c r="E35" s="46">
        <v>1.0003920966022699</v>
      </c>
    </row>
    <row r="36" spans="1:5" ht="15.3" x14ac:dyDescent="0.55000000000000004">
      <c r="A36" s="312"/>
      <c r="C36" s="417" t="s">
        <v>496</v>
      </c>
      <c r="D36" s="46" t="s">
        <v>497</v>
      </c>
      <c r="E36" s="46">
        <v>0.94484941400205003</v>
      </c>
    </row>
    <row r="37" spans="1:5" ht="15.3" x14ac:dyDescent="0.55000000000000004">
      <c r="A37" s="312"/>
      <c r="C37" s="417" t="s">
        <v>498</v>
      </c>
      <c r="D37" s="46" t="s">
        <v>499</v>
      </c>
      <c r="E37" s="46">
        <v>0.96217242430710903</v>
      </c>
    </row>
    <row r="38" spans="1:5" ht="15.3" x14ac:dyDescent="0.55000000000000004">
      <c r="A38" s="312"/>
      <c r="C38" s="417" t="s">
        <v>500</v>
      </c>
      <c r="D38" s="46" t="s">
        <v>501</v>
      </c>
      <c r="E38" s="46">
        <v>0.95812392289416004</v>
      </c>
    </row>
    <row r="39" spans="1:5" ht="15.3" x14ac:dyDescent="0.55000000000000004">
      <c r="A39" s="312"/>
      <c r="C39" s="417" t="s">
        <v>502</v>
      </c>
      <c r="D39" s="46" t="s">
        <v>503</v>
      </c>
      <c r="E39" s="46">
        <v>0.94519873832827495</v>
      </c>
    </row>
    <row r="40" spans="1:5" ht="15.3" x14ac:dyDescent="0.55000000000000004">
      <c r="A40" s="312"/>
      <c r="C40" s="417" t="s">
        <v>504</v>
      </c>
      <c r="D40" s="46" t="s">
        <v>505</v>
      </c>
      <c r="E40" s="46">
        <v>0.92554091758505896</v>
      </c>
    </row>
    <row r="41" spans="1:5" ht="15.3" x14ac:dyDescent="0.55000000000000004">
      <c r="A41" s="312"/>
      <c r="C41" s="417" t="s">
        <v>506</v>
      </c>
      <c r="D41" s="46" t="s">
        <v>507</v>
      </c>
      <c r="E41" s="46">
        <v>0.92554091758505896</v>
      </c>
    </row>
    <row r="42" spans="1:5" ht="15.3" x14ac:dyDescent="0.55000000000000004">
      <c r="A42" s="312"/>
      <c r="C42" s="417" t="s">
        <v>508</v>
      </c>
      <c r="D42" s="46" t="s">
        <v>509</v>
      </c>
      <c r="E42" s="46">
        <v>0.99378527049279297</v>
      </c>
    </row>
    <row r="43" spans="1:5" ht="15.3" x14ac:dyDescent="0.55000000000000004">
      <c r="A43" s="312"/>
      <c r="C43" s="417" t="s">
        <v>510</v>
      </c>
      <c r="D43" s="46" t="s">
        <v>511</v>
      </c>
      <c r="E43" s="46">
        <v>1.01753880768115</v>
      </c>
    </row>
    <row r="44" spans="1:5" ht="15.3" x14ac:dyDescent="0.55000000000000004">
      <c r="A44" s="312"/>
      <c r="C44" s="417" t="s">
        <v>512</v>
      </c>
      <c r="D44" s="46" t="s">
        <v>513</v>
      </c>
      <c r="E44" s="46">
        <v>1.01753880768115</v>
      </c>
    </row>
    <row r="45" spans="1:5" ht="15.3" x14ac:dyDescent="0.55000000000000004">
      <c r="A45" s="312"/>
      <c r="C45" s="417" t="s">
        <v>514</v>
      </c>
      <c r="D45" s="46" t="s">
        <v>515</v>
      </c>
      <c r="E45" s="46">
        <v>0.94797966129793398</v>
      </c>
    </row>
    <row r="46" spans="1:5" ht="15.3" x14ac:dyDescent="0.55000000000000004">
      <c r="A46" s="312"/>
      <c r="C46" s="417" t="s">
        <v>516</v>
      </c>
      <c r="D46" s="46" t="s">
        <v>517</v>
      </c>
      <c r="E46" s="46">
        <v>0.97600617476356399</v>
      </c>
    </row>
    <row r="47" spans="1:5" ht="15.3" x14ac:dyDescent="0.55000000000000004">
      <c r="A47" s="312"/>
      <c r="C47" s="417" t="s">
        <v>518</v>
      </c>
      <c r="D47" s="46" t="s">
        <v>519</v>
      </c>
      <c r="E47" s="46">
        <v>0.97600617476356399</v>
      </c>
    </row>
    <row r="48" spans="1:5" ht="15.3" x14ac:dyDescent="0.55000000000000004">
      <c r="A48" s="312"/>
      <c r="C48" s="417" t="s">
        <v>520</v>
      </c>
      <c r="D48" s="46" t="s">
        <v>521</v>
      </c>
      <c r="E48" s="46">
        <v>1.01730367333167</v>
      </c>
    </row>
    <row r="49" spans="1:5" ht="15.3" x14ac:dyDescent="0.55000000000000004">
      <c r="A49" s="312"/>
      <c r="C49" s="417" t="s">
        <v>522</v>
      </c>
      <c r="D49" s="46" t="s">
        <v>523</v>
      </c>
      <c r="E49" s="46">
        <v>0.963604908013178</v>
      </c>
    </row>
    <row r="50" spans="1:5" ht="15.3" x14ac:dyDescent="0.55000000000000004">
      <c r="A50" s="312"/>
      <c r="C50" s="417" t="s">
        <v>524</v>
      </c>
      <c r="D50" s="46" t="s">
        <v>525</v>
      </c>
      <c r="E50" s="46">
        <v>0.96503228312727996</v>
      </c>
    </row>
    <row r="51" spans="1:5" ht="15.3" x14ac:dyDescent="0.55000000000000004">
      <c r="A51" s="312"/>
      <c r="C51" s="417" t="s">
        <v>526</v>
      </c>
      <c r="D51" s="46" t="s">
        <v>527</v>
      </c>
      <c r="E51" s="46">
        <v>0.97024720625258098</v>
      </c>
    </row>
    <row r="52" spans="1:5" ht="15.3" x14ac:dyDescent="0.55000000000000004">
      <c r="C52" s="417" t="s">
        <v>528</v>
      </c>
      <c r="D52" s="46" t="s">
        <v>529</v>
      </c>
      <c r="E52" s="46">
        <v>0.96482682660961305</v>
      </c>
    </row>
    <row r="53" spans="1:5" ht="15.3" x14ac:dyDescent="0.55000000000000004">
      <c r="C53" s="417" t="s">
        <v>530</v>
      </c>
      <c r="D53" s="46" t="s">
        <v>531</v>
      </c>
      <c r="E53" s="46">
        <v>0.96441231277567696</v>
      </c>
    </row>
    <row r="54" spans="1:5" ht="15.3" x14ac:dyDescent="0.55000000000000004">
      <c r="C54" s="417" t="s">
        <v>532</v>
      </c>
      <c r="D54" s="46" t="s">
        <v>533</v>
      </c>
      <c r="E54" s="46">
        <v>0.96949614599382306</v>
      </c>
    </row>
    <row r="55" spans="1:5" ht="15.3" x14ac:dyDescent="0.55000000000000004">
      <c r="C55" s="417" t="s">
        <v>534</v>
      </c>
      <c r="D55" s="46" t="s">
        <v>535</v>
      </c>
      <c r="E55" s="46">
        <v>0.97160623016013603</v>
      </c>
    </row>
    <row r="56" spans="1:5" ht="15.3" x14ac:dyDescent="0.55000000000000004">
      <c r="C56" s="417" t="s">
        <v>536</v>
      </c>
      <c r="D56" s="46" t="s">
        <v>537</v>
      </c>
      <c r="E56" s="46">
        <v>0.96782447818070105</v>
      </c>
    </row>
    <row r="57" spans="1:5" ht="15.3" x14ac:dyDescent="0.55000000000000004">
      <c r="C57" s="417" t="s">
        <v>538</v>
      </c>
      <c r="D57" s="46" t="s">
        <v>539</v>
      </c>
      <c r="E57" s="46">
        <v>0.97208386146189396</v>
      </c>
    </row>
    <row r="58" spans="1:5" ht="15.3" x14ac:dyDescent="0.55000000000000004">
      <c r="C58" s="417" t="s">
        <v>540</v>
      </c>
      <c r="D58" s="46" t="s">
        <v>541</v>
      </c>
      <c r="E58" s="46">
        <v>0.95904420769327403</v>
      </c>
    </row>
    <row r="59" spans="1:5" ht="15.3" x14ac:dyDescent="0.55000000000000004">
      <c r="C59" s="417" t="s">
        <v>542</v>
      </c>
      <c r="D59" s="46" t="s">
        <v>543</v>
      </c>
      <c r="E59" s="46">
        <v>0.95732072573327698</v>
      </c>
    </row>
    <row r="60" spans="1:5" ht="15.3" x14ac:dyDescent="0.55000000000000004">
      <c r="C60" s="417" t="s">
        <v>544</v>
      </c>
      <c r="D60" s="46" t="s">
        <v>545</v>
      </c>
      <c r="E60" s="46">
        <v>0.95713893936266403</v>
      </c>
    </row>
    <row r="61" spans="1:5" ht="15.3" x14ac:dyDescent="0.55000000000000004">
      <c r="C61" s="417" t="s">
        <v>546</v>
      </c>
      <c r="D61" s="46" t="s">
        <v>547</v>
      </c>
      <c r="E61" s="46">
        <v>0.95882826316856595</v>
      </c>
    </row>
    <row r="62" spans="1:5" ht="15.3" x14ac:dyDescent="0.55000000000000004">
      <c r="C62" s="417" t="s">
        <v>548</v>
      </c>
      <c r="D62" s="46" t="s">
        <v>549</v>
      </c>
      <c r="E62" s="46">
        <v>0.954215295028222</v>
      </c>
    </row>
    <row r="63" spans="1:5" ht="15.3" x14ac:dyDescent="0.55000000000000004">
      <c r="C63" s="417" t="s">
        <v>550</v>
      </c>
      <c r="D63" s="46" t="s">
        <v>551</v>
      </c>
      <c r="E63" s="46">
        <v>0.95500644195796203</v>
      </c>
    </row>
    <row r="64" spans="1:5" ht="15.3" x14ac:dyDescent="0.55000000000000004">
      <c r="C64" s="417" t="s">
        <v>552</v>
      </c>
      <c r="D64" s="46" t="s">
        <v>553</v>
      </c>
      <c r="E64" s="46">
        <v>0.94857126169747297</v>
      </c>
    </row>
    <row r="65" spans="3:5" ht="15.3" x14ac:dyDescent="0.55000000000000004">
      <c r="C65" s="417" t="s">
        <v>554</v>
      </c>
      <c r="D65" s="46" t="s">
        <v>555</v>
      </c>
      <c r="E65" s="46">
        <v>0.95168553923529697</v>
      </c>
    </row>
    <row r="66" spans="3:5" ht="15.3" x14ac:dyDescent="0.55000000000000004">
      <c r="C66" s="417" t="s">
        <v>556</v>
      </c>
      <c r="D66" s="46" t="s">
        <v>557</v>
      </c>
      <c r="E66" s="46">
        <v>0.94501966112674496</v>
      </c>
    </row>
    <row r="67" spans="3:5" ht="15.3" x14ac:dyDescent="0.55000000000000004">
      <c r="C67" s="417" t="s">
        <v>558</v>
      </c>
      <c r="D67" s="46" t="s">
        <v>559</v>
      </c>
      <c r="E67" s="46">
        <v>0.94657902129653404</v>
      </c>
    </row>
    <row r="68" spans="3:5" ht="15.3" x14ac:dyDescent="0.55000000000000004">
      <c r="C68" s="417" t="s">
        <v>560</v>
      </c>
      <c r="D68" s="46" t="s">
        <v>561</v>
      </c>
      <c r="E68" s="46">
        <v>0.949469495768553</v>
      </c>
    </row>
    <row r="69" spans="3:5" ht="15.3" x14ac:dyDescent="0.55000000000000004">
      <c r="C69" s="417" t="s">
        <v>562</v>
      </c>
      <c r="D69" s="46" t="s">
        <v>563</v>
      </c>
      <c r="E69" s="46">
        <v>0.948691670558927</v>
      </c>
    </row>
    <row r="70" spans="3:5" ht="15.3" x14ac:dyDescent="0.55000000000000004">
      <c r="C70" s="417" t="s">
        <v>564</v>
      </c>
      <c r="D70" s="46" t="s">
        <v>565</v>
      </c>
      <c r="E70" s="46">
        <v>0.94614000099932305</v>
      </c>
    </row>
    <row r="71" spans="3:5" ht="15.3" x14ac:dyDescent="0.55000000000000004">
      <c r="C71" s="417" t="s">
        <v>566</v>
      </c>
      <c r="D71" s="46" t="s">
        <v>567</v>
      </c>
      <c r="E71" s="46">
        <v>0.94394364722116497</v>
      </c>
    </row>
    <row r="72" spans="3:5" ht="15.3" x14ac:dyDescent="0.55000000000000004">
      <c r="C72" s="417" t="s">
        <v>568</v>
      </c>
      <c r="D72" s="46" t="s">
        <v>569</v>
      </c>
      <c r="E72" s="46">
        <v>0.95701760150835602</v>
      </c>
    </row>
    <row r="73" spans="3:5" ht="15.3" x14ac:dyDescent="0.55000000000000004">
      <c r="C73" s="417" t="s">
        <v>570</v>
      </c>
      <c r="D73" s="46" t="s">
        <v>571</v>
      </c>
      <c r="E73" s="46">
        <v>0.97301024409904902</v>
      </c>
    </row>
    <row r="74" spans="3:5" ht="15.3" x14ac:dyDescent="0.55000000000000004">
      <c r="C74" s="417" t="s">
        <v>572</v>
      </c>
      <c r="D74" s="46" t="s">
        <v>573</v>
      </c>
      <c r="E74" s="46">
        <v>0.95254466104698399</v>
      </c>
    </row>
    <row r="75" spans="3:5" ht="15.3" x14ac:dyDescent="0.55000000000000004">
      <c r="C75" s="417" t="s">
        <v>574</v>
      </c>
      <c r="D75" s="46" t="s">
        <v>575</v>
      </c>
      <c r="E75" s="46">
        <v>0.95701760150835602</v>
      </c>
    </row>
    <row r="76" spans="3:5" ht="15.3" x14ac:dyDescent="0.55000000000000004">
      <c r="C76" s="417" t="s">
        <v>576</v>
      </c>
      <c r="D76" s="46" t="s">
        <v>577</v>
      </c>
      <c r="E76" s="46">
        <v>0.95185972680825504</v>
      </c>
    </row>
    <row r="77" spans="3:5" ht="15.3" x14ac:dyDescent="0.55000000000000004">
      <c r="C77" s="417" t="s">
        <v>578</v>
      </c>
      <c r="D77" s="46" t="s">
        <v>579</v>
      </c>
      <c r="E77" s="46">
        <v>0.95119841501512103</v>
      </c>
    </row>
    <row r="78" spans="3:5" ht="15.3" x14ac:dyDescent="0.55000000000000004">
      <c r="C78" s="417" t="s">
        <v>580</v>
      </c>
      <c r="D78" s="46" t="s">
        <v>581</v>
      </c>
      <c r="E78" s="46">
        <v>0.95010270274814301</v>
      </c>
    </row>
    <row r="79" spans="3:5" ht="15.3" x14ac:dyDescent="0.55000000000000004">
      <c r="C79" s="417" t="s">
        <v>582</v>
      </c>
      <c r="D79" s="46" t="s">
        <v>583</v>
      </c>
      <c r="E79" s="46">
        <v>0.95506847996266098</v>
      </c>
    </row>
    <row r="80" spans="3:5" ht="15.3" x14ac:dyDescent="0.55000000000000004">
      <c r="C80" s="417" t="s">
        <v>584</v>
      </c>
      <c r="D80" s="46" t="s">
        <v>585</v>
      </c>
      <c r="E80" s="46">
        <v>0.95575087736682396</v>
      </c>
    </row>
    <row r="81" spans="3:5" ht="15.3" x14ac:dyDescent="0.55000000000000004">
      <c r="C81" s="417" t="s">
        <v>586</v>
      </c>
      <c r="D81" s="46" t="s">
        <v>587</v>
      </c>
      <c r="E81" s="46">
        <v>0.95623511432302399</v>
      </c>
    </row>
    <row r="82" spans="3:5" ht="15.3" x14ac:dyDescent="0.55000000000000004">
      <c r="C82" s="417" t="s">
        <v>588</v>
      </c>
      <c r="D82" s="46" t="s">
        <v>589</v>
      </c>
      <c r="E82" s="46">
        <v>0.949469495768553</v>
      </c>
    </row>
    <row r="83" spans="3:5" ht="15.3" x14ac:dyDescent="0.55000000000000004">
      <c r="C83" s="417" t="s">
        <v>590</v>
      </c>
      <c r="D83" s="46" t="s">
        <v>591</v>
      </c>
      <c r="E83" s="46">
        <v>1.11650035090021</v>
      </c>
    </row>
    <row r="84" spans="3:5" ht="15.3" x14ac:dyDescent="0.55000000000000004">
      <c r="C84" s="417" t="s">
        <v>592</v>
      </c>
      <c r="D84" s="46" t="s">
        <v>593</v>
      </c>
      <c r="E84" s="46">
        <v>1.0877865617700899</v>
      </c>
    </row>
    <row r="85" spans="3:5" ht="15.3" x14ac:dyDescent="0.55000000000000004">
      <c r="C85" s="417" t="s">
        <v>594</v>
      </c>
      <c r="D85" s="46" t="s">
        <v>595</v>
      </c>
      <c r="E85" s="46">
        <v>1.1244755285147501</v>
      </c>
    </row>
    <row r="86" spans="3:5" ht="15.3" x14ac:dyDescent="0.55000000000000004">
      <c r="C86" s="417" t="s">
        <v>596</v>
      </c>
      <c r="D86" s="46" t="s">
        <v>597</v>
      </c>
      <c r="E86" s="46">
        <v>1.10198923913545</v>
      </c>
    </row>
    <row r="87" spans="3:5" ht="15.3" x14ac:dyDescent="0.55000000000000004">
      <c r="C87" s="417" t="s">
        <v>598</v>
      </c>
      <c r="D87" s="46" t="s">
        <v>599</v>
      </c>
      <c r="E87" s="46">
        <v>1.1155687404655801</v>
      </c>
    </row>
    <row r="88" spans="3:5" ht="15.3" x14ac:dyDescent="0.55000000000000004">
      <c r="C88" s="417" t="s">
        <v>600</v>
      </c>
      <c r="D88" s="46" t="s">
        <v>601</v>
      </c>
      <c r="E88" s="46">
        <v>1.1161087445007301</v>
      </c>
    </row>
    <row r="89" spans="3:5" ht="15.3" x14ac:dyDescent="0.55000000000000004">
      <c r="C89" s="417" t="s">
        <v>602</v>
      </c>
      <c r="D89" s="46" t="s">
        <v>603</v>
      </c>
      <c r="E89" s="46">
        <v>1.15030311752612</v>
      </c>
    </row>
    <row r="90" spans="3:5" ht="15.3" x14ac:dyDescent="0.55000000000000004">
      <c r="C90" s="417" t="s">
        <v>604</v>
      </c>
      <c r="D90" s="46" t="s">
        <v>605</v>
      </c>
      <c r="E90" s="46">
        <v>1.1091894519691201</v>
      </c>
    </row>
    <row r="91" spans="3:5" ht="15.3" x14ac:dyDescent="0.55000000000000004">
      <c r="C91" s="417" t="s">
        <v>606</v>
      </c>
      <c r="D91" s="46" t="s">
        <v>607</v>
      </c>
      <c r="E91" s="46">
        <v>1.1161366414893701</v>
      </c>
    </row>
    <row r="92" spans="3:5" ht="15.3" x14ac:dyDescent="0.55000000000000004">
      <c r="C92" s="417" t="s">
        <v>608</v>
      </c>
      <c r="D92" s="46" t="s">
        <v>609</v>
      </c>
      <c r="E92" s="46">
        <v>1.11520329924982</v>
      </c>
    </row>
    <row r="93" spans="3:5" ht="15.3" x14ac:dyDescent="0.55000000000000004">
      <c r="C93" s="417" t="s">
        <v>610</v>
      </c>
      <c r="D93" s="46" t="s">
        <v>611</v>
      </c>
      <c r="E93" s="46">
        <v>1.1128770777658901</v>
      </c>
    </row>
    <row r="94" spans="3:5" ht="15.3" x14ac:dyDescent="0.55000000000000004">
      <c r="C94" s="417" t="s">
        <v>612</v>
      </c>
      <c r="D94" s="46" t="s">
        <v>613</v>
      </c>
      <c r="E94" s="46">
        <v>1.11650035090021</v>
      </c>
    </row>
    <row r="95" spans="3:5" ht="15.3" x14ac:dyDescent="0.55000000000000004">
      <c r="C95" s="417" t="s">
        <v>614</v>
      </c>
      <c r="D95" s="46" t="s">
        <v>615</v>
      </c>
      <c r="E95" s="46">
        <v>1.1398746202143599</v>
      </c>
    </row>
    <row r="96" spans="3:5" ht="15.3" x14ac:dyDescent="0.55000000000000004">
      <c r="C96" s="417" t="s">
        <v>616</v>
      </c>
      <c r="D96" s="46" t="s">
        <v>617</v>
      </c>
      <c r="E96" s="46">
        <v>1.1178290941611899</v>
      </c>
    </row>
    <row r="97" spans="3:5" ht="15.3" x14ac:dyDescent="0.55000000000000004">
      <c r="C97" s="417" t="s">
        <v>618</v>
      </c>
      <c r="D97" s="46" t="s">
        <v>619</v>
      </c>
      <c r="E97" s="46">
        <v>1.1053004588017099</v>
      </c>
    </row>
    <row r="98" spans="3:5" ht="15.3" x14ac:dyDescent="0.55000000000000004">
      <c r="C98" s="417" t="s">
        <v>620</v>
      </c>
      <c r="D98" s="46" t="s">
        <v>621</v>
      </c>
      <c r="E98" s="46">
        <v>1.0810245397535401</v>
      </c>
    </row>
    <row r="99" spans="3:5" ht="15.3" x14ac:dyDescent="0.55000000000000004">
      <c r="C99" s="417" t="s">
        <v>622</v>
      </c>
      <c r="D99" s="46" t="s">
        <v>623</v>
      </c>
      <c r="E99" s="46">
        <v>1.09493786109192</v>
      </c>
    </row>
    <row r="100" spans="3:5" ht="15.3" x14ac:dyDescent="0.55000000000000004">
      <c r="C100" s="417" t="s">
        <v>624</v>
      </c>
      <c r="D100" s="46" t="s">
        <v>625</v>
      </c>
      <c r="E100" s="46">
        <v>1.1348004141580601</v>
      </c>
    </row>
    <row r="101" spans="3:5" ht="15.3" x14ac:dyDescent="0.55000000000000004">
      <c r="C101" s="417" t="s">
        <v>626</v>
      </c>
      <c r="D101" s="46" t="s">
        <v>627</v>
      </c>
      <c r="E101" s="46">
        <v>1.14488498294452</v>
      </c>
    </row>
    <row r="102" spans="3:5" ht="15.3" x14ac:dyDescent="0.55000000000000004">
      <c r="C102" s="417" t="s">
        <v>628</v>
      </c>
      <c r="D102" s="46" t="s">
        <v>629</v>
      </c>
      <c r="E102" s="46">
        <v>1.1413565399622601</v>
      </c>
    </row>
    <row r="103" spans="3:5" ht="15.3" x14ac:dyDescent="0.55000000000000004">
      <c r="C103" s="417" t="s">
        <v>630</v>
      </c>
      <c r="D103" s="46" t="s">
        <v>631</v>
      </c>
      <c r="E103" s="46">
        <v>1.1093299310475899</v>
      </c>
    </row>
    <row r="104" spans="3:5" ht="15.3" x14ac:dyDescent="0.55000000000000004">
      <c r="C104" s="417" t="s">
        <v>632</v>
      </c>
      <c r="D104" s="46" t="s">
        <v>633</v>
      </c>
      <c r="E104" s="46">
        <v>1.13901134396673</v>
      </c>
    </row>
    <row r="105" spans="3:5" ht="15.3" x14ac:dyDescent="0.55000000000000004">
      <c r="C105" s="417" t="s">
        <v>634</v>
      </c>
      <c r="D105" s="46" t="s">
        <v>635</v>
      </c>
      <c r="E105" s="46">
        <v>1.11828269999547</v>
      </c>
    </row>
    <row r="106" spans="3:5" ht="15.3" x14ac:dyDescent="0.55000000000000004">
      <c r="C106" s="417" t="s">
        <v>636</v>
      </c>
      <c r="D106" s="46" t="s">
        <v>637</v>
      </c>
      <c r="E106" s="46">
        <v>1.1101022521222501</v>
      </c>
    </row>
    <row r="107" spans="3:5" ht="15.3" x14ac:dyDescent="0.55000000000000004">
      <c r="C107" s="417" t="s">
        <v>638</v>
      </c>
      <c r="D107" s="46" t="s">
        <v>639</v>
      </c>
      <c r="E107" s="46">
        <v>1.1148441264621101</v>
      </c>
    </row>
    <row r="108" spans="3:5" ht="15.3" x14ac:dyDescent="0.55000000000000004">
      <c r="C108" s="417" t="s">
        <v>640</v>
      </c>
      <c r="D108" s="46" t="s">
        <v>641</v>
      </c>
      <c r="E108" s="46">
        <v>1.09640116678609</v>
      </c>
    </row>
    <row r="109" spans="3:5" ht="15.3" x14ac:dyDescent="0.55000000000000004">
      <c r="C109" s="417" t="s">
        <v>642</v>
      </c>
      <c r="D109" s="46" t="s">
        <v>643</v>
      </c>
      <c r="E109" s="46">
        <v>1.1231726097235699</v>
      </c>
    </row>
    <row r="110" spans="3:5" ht="15.3" x14ac:dyDescent="0.55000000000000004">
      <c r="C110" s="417" t="s">
        <v>644</v>
      </c>
      <c r="D110" s="46" t="s">
        <v>645</v>
      </c>
      <c r="E110" s="46">
        <v>1.1417909271797699</v>
      </c>
    </row>
    <row r="111" spans="3:5" ht="15.3" x14ac:dyDescent="0.55000000000000004">
      <c r="C111" s="417" t="s">
        <v>646</v>
      </c>
      <c r="D111" s="46" t="s">
        <v>647</v>
      </c>
      <c r="E111" s="46">
        <v>1.09913320942542</v>
      </c>
    </row>
    <row r="112" spans="3:5" ht="15.3" x14ac:dyDescent="0.55000000000000004">
      <c r="C112" s="417" t="s">
        <v>648</v>
      </c>
      <c r="D112" s="46" t="s">
        <v>649</v>
      </c>
      <c r="E112" s="46">
        <v>1.11683641510821</v>
      </c>
    </row>
    <row r="113" spans="3:5" ht="15.3" x14ac:dyDescent="0.55000000000000004">
      <c r="C113" s="417" t="s">
        <v>650</v>
      </c>
      <c r="D113" s="46" t="s">
        <v>651</v>
      </c>
      <c r="E113" s="46">
        <v>1.1142840671966701</v>
      </c>
    </row>
    <row r="114" spans="3:5" ht="15.3" x14ac:dyDescent="0.55000000000000004">
      <c r="C114" s="417" t="s">
        <v>652</v>
      </c>
      <c r="D114" s="46" t="s">
        <v>653</v>
      </c>
      <c r="E114" s="46">
        <v>1.12226899048458</v>
      </c>
    </row>
    <row r="115" spans="3:5" ht="15.3" x14ac:dyDescent="0.55000000000000004">
      <c r="C115" s="417" t="s">
        <v>654</v>
      </c>
      <c r="D115" s="46" t="s">
        <v>655</v>
      </c>
      <c r="E115" s="46">
        <v>1.1449582385441199</v>
      </c>
    </row>
    <row r="116" spans="3:5" ht="15.3" x14ac:dyDescent="0.55000000000000004">
      <c r="C116" s="417" t="s">
        <v>656</v>
      </c>
      <c r="D116" s="46" t="s">
        <v>657</v>
      </c>
      <c r="E116" s="46">
        <v>0.98700345541420598</v>
      </c>
    </row>
    <row r="117" spans="3:5" ht="15.3" x14ac:dyDescent="0.55000000000000004">
      <c r="C117" s="417" t="s">
        <v>658</v>
      </c>
      <c r="D117" s="46" t="s">
        <v>659</v>
      </c>
      <c r="E117" s="46">
        <v>0.94722536220106801</v>
      </c>
    </row>
    <row r="118" spans="3:5" ht="15.3" x14ac:dyDescent="0.55000000000000004">
      <c r="C118" s="417" t="s">
        <v>660</v>
      </c>
      <c r="D118" s="46" t="s">
        <v>661</v>
      </c>
      <c r="E118" s="46">
        <v>0.95515417890134302</v>
      </c>
    </row>
    <row r="119" spans="3:5" ht="15.3" x14ac:dyDescent="0.55000000000000004">
      <c r="C119" s="417" t="s">
        <v>662</v>
      </c>
      <c r="D119" s="46" t="s">
        <v>663</v>
      </c>
      <c r="E119" s="46">
        <v>0.93523219047745798</v>
      </c>
    </row>
    <row r="120" spans="3:5" ht="15.3" x14ac:dyDescent="0.55000000000000004">
      <c r="C120" s="417" t="s">
        <v>664</v>
      </c>
      <c r="D120" s="46" t="s">
        <v>665</v>
      </c>
      <c r="E120" s="46">
        <v>0.97961872150322604</v>
      </c>
    </row>
    <row r="121" spans="3:5" ht="15.3" x14ac:dyDescent="0.55000000000000004">
      <c r="C121" s="417" t="s">
        <v>666</v>
      </c>
      <c r="D121" s="46" t="s">
        <v>667</v>
      </c>
      <c r="E121" s="46">
        <v>1.0155922870587999</v>
      </c>
    </row>
    <row r="122" spans="3:5" ht="15.3" x14ac:dyDescent="0.55000000000000004">
      <c r="C122" s="417" t="s">
        <v>668</v>
      </c>
      <c r="D122" s="46" t="s">
        <v>669</v>
      </c>
      <c r="E122" s="46">
        <v>0.973878936489463</v>
      </c>
    </row>
    <row r="123" spans="3:5" ht="15.3" x14ac:dyDescent="0.55000000000000004">
      <c r="C123" s="417" t="s">
        <v>670</v>
      </c>
      <c r="D123" s="46" t="s">
        <v>671</v>
      </c>
      <c r="E123" s="46">
        <v>1.0218402429347699</v>
      </c>
    </row>
    <row r="124" spans="3:5" ht="15.3" x14ac:dyDescent="0.55000000000000004">
      <c r="C124" s="417" t="s">
        <v>672</v>
      </c>
      <c r="D124" s="46" t="s">
        <v>673</v>
      </c>
      <c r="E124" s="46">
        <v>1.04171949463015</v>
      </c>
    </row>
    <row r="125" spans="3:5" ht="15.3" x14ac:dyDescent="0.55000000000000004">
      <c r="C125" s="417" t="s">
        <v>674</v>
      </c>
      <c r="D125" s="46" t="s">
        <v>675</v>
      </c>
      <c r="E125" s="46">
        <v>0.99788684072334199</v>
      </c>
    </row>
    <row r="126" spans="3:5" ht="15.3" x14ac:dyDescent="0.55000000000000004">
      <c r="C126" s="417" t="s">
        <v>676</v>
      </c>
      <c r="D126" s="46" t="s">
        <v>677</v>
      </c>
      <c r="E126" s="46">
        <v>0.95102954238511495</v>
      </c>
    </row>
    <row r="127" spans="3:5" ht="15.3" x14ac:dyDescent="0.55000000000000004">
      <c r="C127" s="417" t="s">
        <v>678</v>
      </c>
      <c r="D127" s="46" t="s">
        <v>679</v>
      </c>
      <c r="E127" s="46">
        <v>0.960545893893479</v>
      </c>
    </row>
    <row r="128" spans="3:5" ht="15.3" x14ac:dyDescent="0.55000000000000004">
      <c r="C128" s="417" t="s">
        <v>680</v>
      </c>
      <c r="D128" s="46" t="s">
        <v>681</v>
      </c>
      <c r="E128" s="46">
        <v>0.94365222153155204</v>
      </c>
    </row>
    <row r="129" spans="3:5" ht="15.3" x14ac:dyDescent="0.55000000000000004">
      <c r="C129" s="417" t="s">
        <v>682</v>
      </c>
      <c r="D129" s="46" t="s">
        <v>683</v>
      </c>
      <c r="E129" s="46">
        <v>0.93876140098959704</v>
      </c>
    </row>
    <row r="130" spans="3:5" ht="15.3" x14ac:dyDescent="0.55000000000000004">
      <c r="C130" s="417" t="s">
        <v>684</v>
      </c>
      <c r="D130" s="46" t="s">
        <v>685</v>
      </c>
      <c r="E130" s="46">
        <v>0.97741982191134702</v>
      </c>
    </row>
    <row r="131" spans="3:5" ht="15.3" x14ac:dyDescent="0.55000000000000004">
      <c r="C131" s="417" t="s">
        <v>686</v>
      </c>
      <c r="D131" s="46" t="s">
        <v>687</v>
      </c>
      <c r="E131" s="46">
        <v>0.94947162392014495</v>
      </c>
    </row>
    <row r="132" spans="3:5" ht="15.3" x14ac:dyDescent="0.55000000000000004">
      <c r="C132" s="417" t="s">
        <v>688</v>
      </c>
      <c r="D132" s="46" t="s">
        <v>689</v>
      </c>
      <c r="E132" s="46">
        <v>0.95283922143608502</v>
      </c>
    </row>
    <row r="133" spans="3:5" ht="15.3" x14ac:dyDescent="0.55000000000000004">
      <c r="C133" s="417" t="s">
        <v>690</v>
      </c>
      <c r="D133" s="46" t="s">
        <v>691</v>
      </c>
      <c r="E133" s="46">
        <v>1.0104854395204701</v>
      </c>
    </row>
    <row r="134" spans="3:5" ht="15.3" x14ac:dyDescent="0.55000000000000004">
      <c r="C134" s="417" t="s">
        <v>692</v>
      </c>
      <c r="D134" s="46" t="s">
        <v>693</v>
      </c>
      <c r="E134" s="46">
        <v>0.95558025627107002</v>
      </c>
    </row>
    <row r="135" spans="3:5" ht="15.3" x14ac:dyDescent="0.55000000000000004">
      <c r="C135" s="417" t="s">
        <v>694</v>
      </c>
      <c r="D135" s="46" t="s">
        <v>695</v>
      </c>
      <c r="E135" s="46">
        <v>0.95083529755389795</v>
      </c>
    </row>
    <row r="136" spans="3:5" ht="15.3" x14ac:dyDescent="0.55000000000000004">
      <c r="C136" s="417" t="s">
        <v>696</v>
      </c>
      <c r="D136" s="46" t="s">
        <v>697</v>
      </c>
      <c r="E136" s="46">
        <v>0.95588599498544002</v>
      </c>
    </row>
    <row r="137" spans="3:5" ht="15.3" x14ac:dyDescent="0.55000000000000004">
      <c r="C137" s="417" t="s">
        <v>698</v>
      </c>
      <c r="D137" s="46" t="s">
        <v>699</v>
      </c>
      <c r="E137" s="46">
        <v>1.0755600621952599</v>
      </c>
    </row>
    <row r="138" spans="3:5" ht="15.3" x14ac:dyDescent="0.55000000000000004">
      <c r="C138" s="417" t="s">
        <v>700</v>
      </c>
      <c r="D138" s="46" t="s">
        <v>701</v>
      </c>
      <c r="E138" s="46">
        <v>0.97038848396801003</v>
      </c>
    </row>
    <row r="139" spans="3:5" ht="15.3" x14ac:dyDescent="0.55000000000000004">
      <c r="C139" s="417" t="s">
        <v>702</v>
      </c>
      <c r="D139" s="46" t="s">
        <v>703</v>
      </c>
      <c r="E139" s="46">
        <v>1.0205664223965101</v>
      </c>
    </row>
    <row r="140" spans="3:5" ht="15.3" x14ac:dyDescent="0.55000000000000004">
      <c r="C140" s="417" t="s">
        <v>704</v>
      </c>
      <c r="D140" s="46" t="s">
        <v>705</v>
      </c>
      <c r="E140" s="46">
        <v>0.95501831534270498</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C1F7-E12D-4C28-8CB9-8FEA16429A73}">
  <sheetPr codeName="Sheet13"/>
  <dimension ref="A1:E29"/>
  <sheetViews>
    <sheetView workbookViewId="0">
      <selection activeCell="K30" sqref="K30"/>
    </sheetView>
  </sheetViews>
  <sheetFormatPr defaultRowHeight="14.4" x14ac:dyDescent="0.55000000000000004"/>
  <cols>
    <col min="1" max="1" width="4.20703125" customWidth="1"/>
    <col min="2" max="2" width="80.41796875" bestFit="1" customWidth="1"/>
    <col min="3" max="3" width="20" bestFit="1" customWidth="1"/>
    <col min="4" max="4" width="84.20703125" bestFit="1" customWidth="1"/>
    <col min="5" max="5" width="11.20703125" bestFit="1" customWidth="1"/>
  </cols>
  <sheetData>
    <row r="1" spans="1:5" ht="18.3" x14ac:dyDescent="0.7">
      <c r="A1" s="21" t="s">
        <v>706</v>
      </c>
    </row>
    <row r="2" spans="1:5" x14ac:dyDescent="0.55000000000000004">
      <c r="A2" s="22" t="s">
        <v>707</v>
      </c>
    </row>
    <row r="4" spans="1:5" x14ac:dyDescent="0.55000000000000004">
      <c r="B4" t="s">
        <v>708</v>
      </c>
      <c r="C4" s="23">
        <v>180000</v>
      </c>
    </row>
    <row r="5" spans="1:5" x14ac:dyDescent="0.55000000000000004">
      <c r="B5" s="24" t="s">
        <v>709</v>
      </c>
    </row>
    <row r="6" spans="1:5" x14ac:dyDescent="0.55000000000000004">
      <c r="B6" t="s">
        <v>710</v>
      </c>
      <c r="C6" s="25">
        <f>845/1252</f>
        <v>0.67492012779552712</v>
      </c>
      <c r="E6" s="26"/>
    </row>
    <row r="7" spans="1:5" x14ac:dyDescent="0.55000000000000004">
      <c r="B7" s="24" t="s">
        <v>711</v>
      </c>
      <c r="C7" s="25"/>
      <c r="E7" s="26"/>
    </row>
    <row r="8" spans="1:5" x14ac:dyDescent="0.55000000000000004">
      <c r="B8" t="s">
        <v>712</v>
      </c>
      <c r="C8" s="25">
        <f>C6*0.88</f>
        <v>0.59392971246006387</v>
      </c>
      <c r="E8" s="26"/>
    </row>
    <row r="9" spans="1:5" x14ac:dyDescent="0.55000000000000004">
      <c r="B9" t="s">
        <v>713</v>
      </c>
      <c r="C9" s="27">
        <v>1</v>
      </c>
    </row>
    <row r="10" spans="1:5" x14ac:dyDescent="0.55000000000000004">
      <c r="B10" t="s">
        <v>714</v>
      </c>
      <c r="C10" s="28">
        <v>0.44</v>
      </c>
      <c r="D10" s="24" t="s">
        <v>715</v>
      </c>
    </row>
    <row r="11" spans="1:5" x14ac:dyDescent="0.55000000000000004">
      <c r="B11" t="s">
        <v>716</v>
      </c>
      <c r="C11" s="29">
        <f>C9*C10</f>
        <v>0.44</v>
      </c>
      <c r="D11" s="24"/>
    </row>
    <row r="12" spans="1:5" x14ac:dyDescent="0.55000000000000004">
      <c r="B12" t="s">
        <v>717</v>
      </c>
      <c r="C12" s="25">
        <v>0.46</v>
      </c>
      <c r="D12" s="24" t="s">
        <v>718</v>
      </c>
    </row>
    <row r="13" spans="1:5" x14ac:dyDescent="0.55000000000000004">
      <c r="B13" t="s">
        <v>719</v>
      </c>
      <c r="C13" s="26">
        <f>C11*C12</f>
        <v>0.2024</v>
      </c>
    </row>
    <row r="15" spans="1:5" x14ac:dyDescent="0.55000000000000004">
      <c r="B15" t="s">
        <v>720</v>
      </c>
      <c r="C15">
        <v>226</v>
      </c>
      <c r="D15" s="741" t="s">
        <v>721</v>
      </c>
    </row>
    <row r="16" spans="1:5" x14ac:dyDescent="0.55000000000000004">
      <c r="B16" t="s">
        <v>722</v>
      </c>
      <c r="C16" s="30">
        <v>14.92</v>
      </c>
      <c r="D16" s="741"/>
    </row>
    <row r="18" spans="1:4" x14ac:dyDescent="0.55000000000000004">
      <c r="B18" s="31" t="s">
        <v>723</v>
      </c>
      <c r="C18" s="32">
        <f>C13*C15*C16</f>
        <v>682.47660799999994</v>
      </c>
      <c r="D18" s="18"/>
    </row>
    <row r="19" spans="1:4" x14ac:dyDescent="0.55000000000000004">
      <c r="B19" s="31" t="s">
        <v>724</v>
      </c>
      <c r="C19" s="33">
        <f>ROUND(C18,-6)</f>
        <v>0</v>
      </c>
    </row>
    <row r="29" spans="1:4" x14ac:dyDescent="0.55000000000000004">
      <c r="A29" s="22" t="s">
        <v>725</v>
      </c>
    </row>
  </sheetData>
  <mergeCells count="1">
    <mergeCell ref="D15:D16"/>
  </mergeCells>
  <hyperlinks>
    <hyperlink ref="A2" r:id="rId1" xr:uid="{6002384B-AB6F-4D21-B218-47A3C9FC818A}"/>
    <hyperlink ref="A29" r:id="rId2" xr:uid="{079423BE-97AE-480C-9E07-1AFC7B3482C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497C3-CAC8-45A6-99E4-3116D14F8FCB}">
  <sheetPr codeName="Sheet14"/>
  <dimension ref="A2:AA88"/>
  <sheetViews>
    <sheetView workbookViewId="0">
      <selection activeCell="N32" sqref="N32"/>
    </sheetView>
  </sheetViews>
  <sheetFormatPr defaultRowHeight="14.4" x14ac:dyDescent="0.55000000000000004"/>
  <cols>
    <col min="2" max="2" width="29.20703125" customWidth="1"/>
    <col min="3" max="3" width="20.41796875" customWidth="1"/>
    <col min="4" max="4" width="12" bestFit="1" customWidth="1"/>
    <col min="7" max="7" width="13.20703125" hidden="1" customWidth="1"/>
    <col min="8" max="8" width="14.20703125" hidden="1" customWidth="1"/>
    <col min="9" max="9" width="13.41796875" customWidth="1"/>
    <col min="10" max="12" width="15.41796875" customWidth="1"/>
    <col min="13" max="14" width="11.5234375" bestFit="1" customWidth="1"/>
    <col min="15" max="15" width="13.20703125" customWidth="1"/>
    <col min="16" max="16" width="12" customWidth="1"/>
    <col min="17" max="17" width="12.5234375" bestFit="1" customWidth="1"/>
    <col min="18" max="18" width="15" customWidth="1"/>
    <col min="19" max="19" width="13.7890625" customWidth="1"/>
    <col min="20" max="21" width="11.5234375" customWidth="1"/>
    <col min="22" max="22" width="11.5234375" bestFit="1" customWidth="1"/>
    <col min="23" max="23" width="12.7890625" customWidth="1"/>
    <col min="24" max="24" width="15" customWidth="1"/>
    <col min="25" max="27" width="11.5234375" customWidth="1"/>
  </cols>
  <sheetData>
    <row r="2" spans="1:27" x14ac:dyDescent="0.55000000000000004">
      <c r="B2" t="s">
        <v>726</v>
      </c>
      <c r="C2" s="1">
        <v>3.5000000000000003E-2</v>
      </c>
      <c r="D2" s="35">
        <v>1.4999999999999999E-2</v>
      </c>
      <c r="N2" s="743" t="s">
        <v>129</v>
      </c>
      <c r="O2" s="743"/>
      <c r="P2" s="743"/>
      <c r="Q2" s="743"/>
      <c r="R2" s="743"/>
      <c r="S2" s="743"/>
      <c r="T2" s="471"/>
      <c r="U2" s="471"/>
      <c r="V2" s="743" t="s">
        <v>130</v>
      </c>
      <c r="W2" s="743"/>
      <c r="X2" s="743"/>
      <c r="Y2" s="743"/>
      <c r="Z2" s="471"/>
      <c r="AA2" s="471"/>
    </row>
    <row r="3" spans="1:27" ht="36.75" customHeight="1" x14ac:dyDescent="0.55000000000000004">
      <c r="B3" t="s">
        <v>727</v>
      </c>
      <c r="C3" s="1">
        <f>3%</f>
        <v>0.03</v>
      </c>
      <c r="D3" s="35">
        <v>0.01</v>
      </c>
      <c r="I3" s="742" t="s">
        <v>728</v>
      </c>
      <c r="J3" s="742"/>
      <c r="K3" s="742" t="s">
        <v>729</v>
      </c>
      <c r="L3" s="742"/>
      <c r="N3" s="744" t="s">
        <v>730</v>
      </c>
      <c r="O3" s="744"/>
      <c r="P3" s="744" t="s">
        <v>731</v>
      </c>
      <c r="Q3" s="744"/>
      <c r="R3" s="744" t="s">
        <v>732</v>
      </c>
      <c r="S3" s="744"/>
      <c r="T3" s="744" t="s">
        <v>733</v>
      </c>
      <c r="U3" s="744"/>
      <c r="V3" s="744" t="s">
        <v>730</v>
      </c>
      <c r="W3" s="744"/>
      <c r="X3" s="744" t="s">
        <v>732</v>
      </c>
      <c r="Y3" s="744"/>
      <c r="Z3" s="744" t="s">
        <v>733</v>
      </c>
      <c r="AA3" s="744"/>
    </row>
    <row r="4" spans="1:27" x14ac:dyDescent="0.55000000000000004">
      <c r="C4" s="1"/>
      <c r="G4" t="s">
        <v>734</v>
      </c>
      <c r="H4" t="s">
        <v>107</v>
      </c>
      <c r="I4" s="743" t="s">
        <v>108</v>
      </c>
      <c r="J4" s="743"/>
      <c r="K4" s="743" t="s">
        <v>108</v>
      </c>
      <c r="L4" s="743"/>
      <c r="N4" s="743" t="s">
        <v>108</v>
      </c>
      <c r="O4" s="743"/>
      <c r="P4" s="743" t="s">
        <v>108</v>
      </c>
      <c r="Q4" s="743"/>
      <c r="R4" s="743" t="s">
        <v>108</v>
      </c>
      <c r="S4" s="743"/>
      <c r="T4" s="743" t="s">
        <v>108</v>
      </c>
      <c r="U4" s="743"/>
      <c r="V4" s="743" t="s">
        <v>108</v>
      </c>
      <c r="W4" s="743"/>
      <c r="X4" s="743" t="s">
        <v>108</v>
      </c>
      <c r="Y4" s="743"/>
      <c r="Z4" s="743" t="s">
        <v>108</v>
      </c>
      <c r="AA4" s="743"/>
    </row>
    <row r="5" spans="1:27" x14ac:dyDescent="0.55000000000000004">
      <c r="B5" s="472" t="s">
        <v>229</v>
      </c>
      <c r="C5" s="2" t="s">
        <v>735</v>
      </c>
      <c r="D5" s="34" t="s">
        <v>736</v>
      </c>
      <c r="G5" s="1">
        <v>3.5000000000000003E-2</v>
      </c>
      <c r="H5" s="1">
        <v>3.5000000000000003E-2</v>
      </c>
      <c r="I5" s="1">
        <v>3.5000000000000003E-2</v>
      </c>
      <c r="J5" s="1">
        <v>1.4999999999999999E-2</v>
      </c>
      <c r="K5" s="1">
        <v>3.5000000000000003E-2</v>
      </c>
      <c r="L5" s="1">
        <v>1.4999999999999999E-2</v>
      </c>
      <c r="N5" s="1">
        <v>3.5000000000000003E-2</v>
      </c>
      <c r="O5" s="1">
        <v>1.4999999999999999E-2</v>
      </c>
      <c r="P5" s="1">
        <v>3.5000000000000003E-2</v>
      </c>
      <c r="Q5" s="1">
        <v>1.4999999999999999E-2</v>
      </c>
      <c r="R5" s="1">
        <v>3.5000000000000003E-2</v>
      </c>
      <c r="S5" s="1">
        <v>1.4999999999999999E-2</v>
      </c>
      <c r="T5" s="1">
        <v>3.5000000000000003E-2</v>
      </c>
      <c r="U5" s="1">
        <v>1.4999999999999999E-2</v>
      </c>
      <c r="V5" s="1">
        <v>3.5000000000000003E-2</v>
      </c>
      <c r="W5" s="1">
        <v>1.4999999999999999E-2</v>
      </c>
      <c r="X5" s="1">
        <v>3.5000000000000003E-2</v>
      </c>
      <c r="Y5" s="1">
        <v>1.4999999999999999E-2</v>
      </c>
      <c r="Z5" s="1">
        <v>3.5000000000000003E-2</v>
      </c>
      <c r="AA5" s="1">
        <v>1.4999999999999999E-2</v>
      </c>
    </row>
    <row r="6" spans="1:27" x14ac:dyDescent="0.55000000000000004">
      <c r="A6" s="471"/>
      <c r="B6" s="471">
        <v>0</v>
      </c>
      <c r="C6" s="3">
        <f>'A2 Discount'!E10</f>
        <v>1</v>
      </c>
      <c r="D6" s="4">
        <f>'A2 Discount'!G10</f>
        <v>1</v>
      </c>
      <c r="G6" s="18">
        <f>C6/C7*G7</f>
        <v>2381.0907079284525</v>
      </c>
      <c r="H6" s="18">
        <f t="shared" ref="H6:H14" si="0">C6/C7*H7</f>
        <v>3546.2452842014982</v>
      </c>
      <c r="I6" s="18">
        <f t="shared" ref="I6:I15" si="1">C6/C7*I7</f>
        <v>25613.652295358312</v>
      </c>
      <c r="J6" s="18">
        <f>I6</f>
        <v>25613.652295358312</v>
      </c>
      <c r="K6" s="18">
        <f>C6/C7*K7</f>
        <v>15481.321397816804</v>
      </c>
      <c r="L6" s="18">
        <f>K6</f>
        <v>15481.321397816804</v>
      </c>
      <c r="N6" s="18">
        <f>C6/C7*N7</f>
        <v>653.7336332277556</v>
      </c>
      <c r="O6" s="18">
        <f t="shared" ref="O6:O18" si="2">D6/D7*O7</f>
        <v>1568.960719746613</v>
      </c>
      <c r="P6" s="18">
        <f>$C6/$C7*P7</f>
        <v>41156.388105031823</v>
      </c>
      <c r="Q6" s="18">
        <f>$D6/$D7*Q7</f>
        <v>98775.331452076338</v>
      </c>
      <c r="R6" s="18">
        <f>C6/C7*R7</f>
        <v>50143.677201275488</v>
      </c>
      <c r="S6" s="18">
        <f>$D6/$D7*S7</f>
        <v>120344.82528306115</v>
      </c>
      <c r="T6" s="18">
        <f t="shared" ref="T6:T69" si="3">C6/C7*T7</f>
        <v>36946.827462688561</v>
      </c>
      <c r="U6" s="18">
        <f>$D6/$D7*U7</f>
        <v>88672.385910452518</v>
      </c>
      <c r="V6" s="18">
        <f>$C6/$C7*V7</f>
        <v>1632.7701270090363</v>
      </c>
      <c r="W6" s="18">
        <f>$D6/$D7*W7</f>
        <v>3918.6483048216865</v>
      </c>
      <c r="X6" s="18">
        <f>$C6/$C7*X7</f>
        <v>5820.5396621137716</v>
      </c>
      <c r="Y6" s="18">
        <f>$D6/$D7*Y7</f>
        <v>13969.295189073046</v>
      </c>
      <c r="Z6" s="18">
        <f>C6/C7*Z7</f>
        <v>22901.375679905599</v>
      </c>
      <c r="AA6" s="18">
        <f t="shared" ref="Y6:AA23" si="4">$D6/$D7*AA7</f>
        <v>54963.301631773436</v>
      </c>
    </row>
    <row r="7" spans="1:27" x14ac:dyDescent="0.55000000000000004">
      <c r="A7" s="471"/>
      <c r="B7" s="471">
        <v>1</v>
      </c>
      <c r="C7" s="3">
        <f>'A2 Discount'!E11</f>
        <v>0.96618357487922713</v>
      </c>
      <c r="D7" s="4">
        <f>'A2 Discount'!G11</f>
        <v>0.98522167487684742</v>
      </c>
      <c r="G7" s="18">
        <f t="shared" ref="G7:G14" si="5">C7/C8*G8</f>
        <v>2300.570732298022</v>
      </c>
      <c r="H7" s="18">
        <f t="shared" si="0"/>
        <v>3426.3239460884042</v>
      </c>
      <c r="I7" s="18">
        <f t="shared" si="1"/>
        <v>24747.490140442816</v>
      </c>
      <c r="J7" s="18">
        <f t="shared" ref="J7:J16" si="6">$J$6*D7</f>
        <v>25235.125414146125</v>
      </c>
      <c r="K7" s="18">
        <f t="shared" ref="K7:K15" si="7">C7/C8*K8</f>
        <v>14957.798451996914</v>
      </c>
      <c r="L7" s="18">
        <f t="shared" ref="L7:L15" si="8">$J$6*D7</f>
        <v>25235.125414146125</v>
      </c>
      <c r="N7" s="18">
        <f>C7/C8*N8</f>
        <v>631.62669877077838</v>
      </c>
      <c r="O7" s="18">
        <f t="shared" si="2"/>
        <v>1545.774108124742</v>
      </c>
      <c r="P7" s="18">
        <f t="shared" ref="P7:P23" si="9">C7/C8*P8</f>
        <v>39764.626188436545</v>
      </c>
      <c r="Q7" s="18">
        <f t="shared" ref="Q7:Q23" si="10">D7/D8*Q8</f>
        <v>97315.597489730397</v>
      </c>
      <c r="R7" s="18">
        <f t="shared" ref="R7:R69" si="11">C7/C8*R8</f>
        <v>48447.997295918351</v>
      </c>
      <c r="S7" s="18">
        <f t="shared" ref="S7:S22" si="12">D7/D8*S8</f>
        <v>118566.33032813907</v>
      </c>
      <c r="T7" s="18">
        <f t="shared" si="3"/>
        <v>35697.417838346439</v>
      </c>
      <c r="U7" s="18">
        <f t="shared" ref="U7:U22" si="13">D7/D8*U8</f>
        <v>87361.956562022198</v>
      </c>
      <c r="V7" s="18">
        <f t="shared" ref="V7:V18" si="14">$C7/$C8*V8</f>
        <v>1577.5556782696003</v>
      </c>
      <c r="W7" s="18">
        <f t="shared" ref="W7:W18" si="15">$D7/$D8*W8</f>
        <v>3860.7372461297409</v>
      </c>
      <c r="X7" s="18">
        <f t="shared" ref="X7:X70" si="16">$C7/$C8*X8</f>
        <v>5623.7098184674123</v>
      </c>
      <c r="Y7" s="18">
        <f t="shared" si="4"/>
        <v>13762.852403027633</v>
      </c>
      <c r="Z7" s="18">
        <f t="shared" ref="Z7:Z70" si="17">C7/C8*Z8</f>
        <v>22126.933024063383</v>
      </c>
      <c r="AA7" s="18">
        <f t="shared" si="4"/>
        <v>54151.036090417183</v>
      </c>
    </row>
    <row r="8" spans="1:27" x14ac:dyDescent="0.55000000000000004">
      <c r="A8" s="471"/>
      <c r="B8" s="471">
        <v>2</v>
      </c>
      <c r="C8" s="3">
        <f>'A2 Discount'!E12</f>
        <v>0.93351070036640305</v>
      </c>
      <c r="D8" s="4">
        <f>'A2 Discount'!G12</f>
        <v>0.97066174864714039</v>
      </c>
      <c r="G8" s="18">
        <f t="shared" si="5"/>
        <v>2222.7736543942242</v>
      </c>
      <c r="H8" s="18">
        <f t="shared" si="0"/>
        <v>3310.4579189259948</v>
      </c>
      <c r="I8" s="18">
        <f t="shared" si="1"/>
        <v>23910.618493181468</v>
      </c>
      <c r="J8" s="18">
        <f t="shared" si="6"/>
        <v>24862.19252625234</v>
      </c>
      <c r="K8" s="18">
        <f t="shared" si="7"/>
        <v>14451.979180673348</v>
      </c>
      <c r="L8" s="18">
        <f t="shared" si="8"/>
        <v>24862.19252625234</v>
      </c>
      <c r="N8" s="18">
        <f t="shared" ref="N8:N17" si="18">C8/C9*N9</f>
        <v>610.26734180751544</v>
      </c>
      <c r="O8" s="18">
        <f t="shared" si="2"/>
        <v>1522.9301557879232</v>
      </c>
      <c r="P8" s="18">
        <f t="shared" si="9"/>
        <v>38419.928684479753</v>
      </c>
      <c r="Q8" s="18">
        <f t="shared" si="10"/>
        <v>95877.4359504733</v>
      </c>
      <c r="R8" s="18">
        <f t="shared" si="11"/>
        <v>46809.65922310952</v>
      </c>
      <c r="S8" s="18">
        <f t="shared" si="12"/>
        <v>116814.11854989071</v>
      </c>
      <c r="T8" s="18">
        <f t="shared" si="3"/>
        <v>34490.258781011056</v>
      </c>
      <c r="U8" s="18">
        <f t="shared" si="13"/>
        <v>86070.893164553898</v>
      </c>
      <c r="V8" s="18">
        <f t="shared" si="14"/>
        <v>1524.2083848015463</v>
      </c>
      <c r="W8" s="18">
        <f t="shared" si="15"/>
        <v>3803.6820158913706</v>
      </c>
      <c r="X8" s="18">
        <f t="shared" si="16"/>
        <v>5433.5360564902539</v>
      </c>
      <c r="Y8" s="18">
        <f t="shared" si="4"/>
        <v>13559.460495593728</v>
      </c>
      <c r="Z8" s="18">
        <f t="shared" si="17"/>
        <v>21378.679250302786</v>
      </c>
      <c r="AA8" s="18">
        <f t="shared" si="4"/>
        <v>53350.774473317426</v>
      </c>
    </row>
    <row r="9" spans="1:27" x14ac:dyDescent="0.55000000000000004">
      <c r="A9" s="471"/>
      <c r="B9" s="471">
        <v>3</v>
      </c>
      <c r="C9" s="3">
        <f>'A2 Discount'!E13</f>
        <v>0.90194270566802237</v>
      </c>
      <c r="D9" s="4">
        <f>'A2 Discount'!G13</f>
        <v>0.95631699374102508</v>
      </c>
      <c r="G9" s="18">
        <f t="shared" si="5"/>
        <v>2147.6073955499751</v>
      </c>
      <c r="H9" s="18">
        <f t="shared" si="0"/>
        <v>3198.5100665951645</v>
      </c>
      <c r="I9" s="18">
        <f t="shared" si="1"/>
        <v>23102.046853315431</v>
      </c>
      <c r="J9" s="18">
        <f t="shared" si="6"/>
        <v>24494.770961824968</v>
      </c>
      <c r="K9" s="18">
        <f t="shared" si="7"/>
        <v>13963.264908863139</v>
      </c>
      <c r="L9" s="18">
        <f t="shared" si="8"/>
        <v>24494.770961824968</v>
      </c>
      <c r="N9" s="18">
        <f t="shared" si="18"/>
        <v>589.6302819396285</v>
      </c>
      <c r="O9" s="18">
        <f t="shared" si="2"/>
        <v>1500.4237988058358</v>
      </c>
      <c r="P9" s="18">
        <f t="shared" si="9"/>
        <v>37120.704042975609</v>
      </c>
      <c r="Q9" s="18">
        <f t="shared" si="10"/>
        <v>94460.528030022964</v>
      </c>
      <c r="R9" s="18">
        <f t="shared" si="11"/>
        <v>45226.723887062341</v>
      </c>
      <c r="S9" s="18">
        <f t="shared" si="12"/>
        <v>115087.80152698593</v>
      </c>
      <c r="T9" s="18">
        <f t="shared" si="3"/>
        <v>33323.921527546918</v>
      </c>
      <c r="U9" s="18">
        <f t="shared" si="13"/>
        <v>84798.909521727983</v>
      </c>
      <c r="V9" s="18">
        <f t="shared" si="14"/>
        <v>1472.6651060884508</v>
      </c>
      <c r="W9" s="18">
        <f t="shared" si="15"/>
        <v>3747.4699663954393</v>
      </c>
      <c r="X9" s="18">
        <f t="shared" si="16"/>
        <v>5249.7932912949318</v>
      </c>
      <c r="Y9" s="18">
        <f t="shared" si="4"/>
        <v>13359.074379895301</v>
      </c>
      <c r="Z9" s="18">
        <f t="shared" si="17"/>
        <v>20655.728744253902</v>
      </c>
      <c r="AA9" s="18">
        <f t="shared" si="4"/>
        <v>52562.33938257875</v>
      </c>
    </row>
    <row r="10" spans="1:27" x14ac:dyDescent="0.55000000000000004">
      <c r="A10" s="471"/>
      <c r="B10" s="471">
        <v>4</v>
      </c>
      <c r="C10" s="3">
        <f>'A2 Discount'!E14</f>
        <v>0.87144222769857238</v>
      </c>
      <c r="D10" s="4">
        <f>'A2 Discount'!G14</f>
        <v>0.94218423028672427</v>
      </c>
      <c r="G10" s="18">
        <f t="shared" si="5"/>
        <v>2074.9829908695415</v>
      </c>
      <c r="H10" s="18">
        <f t="shared" si="0"/>
        <v>3090.347890430111</v>
      </c>
      <c r="I10" s="18">
        <f t="shared" si="1"/>
        <v>22320.818215763702</v>
      </c>
      <c r="J10" s="18">
        <f t="shared" si="6"/>
        <v>24132.779272733958</v>
      </c>
      <c r="K10" s="18">
        <f t="shared" si="7"/>
        <v>13491.077206631053</v>
      </c>
      <c r="L10" s="18">
        <f t="shared" si="8"/>
        <v>24132.779272733958</v>
      </c>
      <c r="N10" s="18">
        <f t="shared" si="18"/>
        <v>569.69109366147688</v>
      </c>
      <c r="O10" s="18">
        <f t="shared" si="2"/>
        <v>1478.2500480845674</v>
      </c>
      <c r="P10" s="18">
        <f t="shared" si="9"/>
        <v>35865.414534275951</v>
      </c>
      <c r="Q10" s="18">
        <f t="shared" si="10"/>
        <v>93064.559635490616</v>
      </c>
      <c r="R10" s="18">
        <f t="shared" si="11"/>
        <v>43697.317765277628</v>
      </c>
      <c r="S10" s="18">
        <f t="shared" si="12"/>
        <v>113386.99657831127</v>
      </c>
      <c r="T10" s="18">
        <f t="shared" si="3"/>
        <v>32197.025630480115</v>
      </c>
      <c r="U10" s="18">
        <f t="shared" si="13"/>
        <v>83545.723666727092</v>
      </c>
      <c r="V10" s="18">
        <f t="shared" si="14"/>
        <v>1422.8648368004356</v>
      </c>
      <c r="W10" s="18">
        <f t="shared" si="15"/>
        <v>3692.0886368427978</v>
      </c>
      <c r="X10" s="18">
        <f t="shared" si="16"/>
        <v>5072.2640495603209</v>
      </c>
      <c r="Y10" s="18">
        <f t="shared" si="4"/>
        <v>13161.649635364829</v>
      </c>
      <c r="Z10" s="18">
        <f t="shared" si="17"/>
        <v>19957.225839858846</v>
      </c>
      <c r="AA10" s="18">
        <f t="shared" si="4"/>
        <v>51785.556041949509</v>
      </c>
    </row>
    <row r="11" spans="1:27" x14ac:dyDescent="0.55000000000000004">
      <c r="A11" s="471"/>
      <c r="B11" s="471">
        <v>5</v>
      </c>
      <c r="C11" s="3">
        <f>'A2 Discount'!E15</f>
        <v>0.84197316685852408</v>
      </c>
      <c r="D11" s="4">
        <f>'A2 Discount'!G15</f>
        <v>0.92826032540563974</v>
      </c>
      <c r="G11" s="18">
        <f t="shared" si="5"/>
        <v>2004.8144839319243</v>
      </c>
      <c r="H11" s="18">
        <f t="shared" si="0"/>
        <v>2985.8433723962426</v>
      </c>
      <c r="I11" s="18">
        <f t="shared" si="1"/>
        <v>21566.007937935945</v>
      </c>
      <c r="J11" s="18">
        <f t="shared" si="6"/>
        <v>23776.137214516217</v>
      </c>
      <c r="K11" s="18">
        <f t="shared" si="7"/>
        <v>13034.857204474449</v>
      </c>
      <c r="L11" s="18">
        <f t="shared" si="8"/>
        <v>23776.137214516217</v>
      </c>
      <c r="N11" s="18">
        <f>C11/C12*N12</f>
        <v>550.42617745070231</v>
      </c>
      <c r="O11" s="18">
        <f t="shared" si="2"/>
        <v>1456.4039882606578</v>
      </c>
      <c r="P11" s="18">
        <f t="shared" si="9"/>
        <v>34652.574429252127</v>
      </c>
      <c r="Q11" s="18">
        <f t="shared" si="10"/>
        <v>91689.221315754316</v>
      </c>
      <c r="R11" s="18">
        <f t="shared" si="11"/>
        <v>42219.6306910895</v>
      </c>
      <c r="S11" s="18">
        <f t="shared" si="12"/>
        <v>111711.3266781392</v>
      </c>
      <c r="T11" s="18">
        <f t="shared" si="3"/>
        <v>31108.237324135378</v>
      </c>
      <c r="U11" s="18">
        <f t="shared" si="13"/>
        <v>82311.057799731134</v>
      </c>
      <c r="V11" s="18">
        <f t="shared" si="14"/>
        <v>1374.748634589793</v>
      </c>
      <c r="W11" s="18">
        <f t="shared" si="15"/>
        <v>3637.5257505840377</v>
      </c>
      <c r="X11" s="18">
        <f t="shared" si="16"/>
        <v>4900.7382121355758</v>
      </c>
      <c r="Y11" s="18">
        <f t="shared" si="4"/>
        <v>12967.142497896384</v>
      </c>
      <c r="Z11" s="18">
        <f t="shared" si="17"/>
        <v>19282.343806626905</v>
      </c>
      <c r="AA11" s="18">
        <f t="shared" si="4"/>
        <v>51020.252258078341</v>
      </c>
    </row>
    <row r="12" spans="1:27" x14ac:dyDescent="0.55000000000000004">
      <c r="A12" s="471"/>
      <c r="B12" s="471">
        <v>6</v>
      </c>
      <c r="C12" s="3">
        <f>'A2 Discount'!E16</f>
        <v>0.81350064430775282</v>
      </c>
      <c r="D12" s="4">
        <f>'A2 Discount'!G16</f>
        <v>0.91454219251787172</v>
      </c>
      <c r="G12" s="18">
        <f t="shared" si="5"/>
        <v>1937.0188250549995</v>
      </c>
      <c r="H12" s="18">
        <f t="shared" si="0"/>
        <v>2884.8728235712492</v>
      </c>
      <c r="I12" s="18">
        <f t="shared" si="1"/>
        <v>20836.722645348742</v>
      </c>
      <c r="J12" s="18">
        <f t="shared" si="6"/>
        <v>23424.765728587408</v>
      </c>
      <c r="K12" s="18">
        <f t="shared" si="7"/>
        <v>12594.064931859371</v>
      </c>
      <c r="L12" s="18">
        <f t="shared" si="8"/>
        <v>23424.765728587408</v>
      </c>
      <c r="N12" s="18">
        <f t="shared" si="18"/>
        <v>531.81273183642736</v>
      </c>
      <c r="O12" s="18">
        <f t="shared" si="2"/>
        <v>1434.8807766114855</v>
      </c>
      <c r="P12" s="18">
        <f t="shared" si="9"/>
        <v>33480.748240823312</v>
      </c>
      <c r="Q12" s="18">
        <f t="shared" si="10"/>
        <v>90334.208192861406</v>
      </c>
      <c r="R12" s="18">
        <f t="shared" si="11"/>
        <v>40791.913711197587</v>
      </c>
      <c r="S12" s="18">
        <f t="shared" si="12"/>
        <v>110060.42037255094</v>
      </c>
      <c r="T12" s="18">
        <f t="shared" si="3"/>
        <v>30056.267946024524</v>
      </c>
      <c r="U12" s="18">
        <f t="shared" si="13"/>
        <v>81094.638226336101</v>
      </c>
      <c r="V12" s="18">
        <f t="shared" si="14"/>
        <v>1328.2595503283026</v>
      </c>
      <c r="W12" s="18">
        <f t="shared" si="15"/>
        <v>3583.7692123980669</v>
      </c>
      <c r="X12" s="18">
        <f t="shared" si="16"/>
        <v>4735.0127653483833</v>
      </c>
      <c r="Y12" s="18">
        <f t="shared" si="4"/>
        <v>12775.509850144223</v>
      </c>
      <c r="Z12" s="18">
        <f t="shared" si="17"/>
        <v>18630.283871137108</v>
      </c>
      <c r="AA12" s="18">
        <f t="shared" si="4"/>
        <v>50266.2583823432</v>
      </c>
    </row>
    <row r="13" spans="1:27" x14ac:dyDescent="0.55000000000000004">
      <c r="A13" s="471"/>
      <c r="B13" s="471">
        <v>7</v>
      </c>
      <c r="C13" s="3">
        <f>'A2 Discount'!E17</f>
        <v>0.78599096068381924</v>
      </c>
      <c r="D13" s="4">
        <f>'A2 Discount'!G17</f>
        <v>0.90102679065800173</v>
      </c>
      <c r="G13" s="18">
        <f t="shared" si="5"/>
        <v>1871.5157729999996</v>
      </c>
      <c r="H13" s="18">
        <f t="shared" si="0"/>
        <v>2787.3167377499994</v>
      </c>
      <c r="I13" s="18">
        <f t="shared" si="1"/>
        <v>20132.099174249994</v>
      </c>
      <c r="J13" s="18">
        <f t="shared" si="6"/>
        <v>23078.586924716659</v>
      </c>
      <c r="K13" s="18">
        <f t="shared" si="7"/>
        <v>12168.178678124998</v>
      </c>
      <c r="L13" s="18">
        <f t="shared" si="8"/>
        <v>23078.586924716659</v>
      </c>
      <c r="N13" s="18">
        <f t="shared" si="18"/>
        <v>513.8287264120072</v>
      </c>
      <c r="O13" s="18">
        <f t="shared" si="2"/>
        <v>1413.6756419817593</v>
      </c>
      <c r="P13" s="18">
        <f t="shared" si="9"/>
        <v>32348.549024950062</v>
      </c>
      <c r="Q13" s="18">
        <f t="shared" si="10"/>
        <v>88999.219894444745</v>
      </c>
      <c r="R13" s="18">
        <f t="shared" si="11"/>
        <v>39412.477015649849</v>
      </c>
      <c r="S13" s="18">
        <f t="shared" si="12"/>
        <v>108433.91169709453</v>
      </c>
      <c r="T13" s="18">
        <f t="shared" si="3"/>
        <v>29039.8724116179</v>
      </c>
      <c r="U13" s="18">
        <f t="shared" si="13"/>
        <v>79896.19529688287</v>
      </c>
      <c r="V13" s="18">
        <f t="shared" si="14"/>
        <v>1283.3425607036741</v>
      </c>
      <c r="W13" s="18">
        <f t="shared" si="15"/>
        <v>3530.8071058109035</v>
      </c>
      <c r="X13" s="18">
        <f t="shared" si="16"/>
        <v>4574.8915607230756</v>
      </c>
      <c r="Y13" s="18">
        <f t="shared" si="4"/>
        <v>12586.709211964753</v>
      </c>
      <c r="Z13" s="18">
        <f t="shared" si="17"/>
        <v>18000.274271630056</v>
      </c>
      <c r="AA13" s="18">
        <f t="shared" si="4"/>
        <v>49523.407273244535</v>
      </c>
    </row>
    <row r="14" spans="1:27" x14ac:dyDescent="0.55000000000000004">
      <c r="A14" s="471"/>
      <c r="B14" s="471">
        <v>8</v>
      </c>
      <c r="C14" s="3">
        <f>'A2 Discount'!E18</f>
        <v>0.75941155621625056</v>
      </c>
      <c r="D14" s="4">
        <f>'A2 Discount'!G18</f>
        <v>0.88771112380098705</v>
      </c>
      <c r="G14" s="18">
        <f t="shared" si="5"/>
        <v>1808.2277999999999</v>
      </c>
      <c r="H14" s="18">
        <f t="shared" si="0"/>
        <v>2693.0596499999997</v>
      </c>
      <c r="I14" s="18">
        <f t="shared" si="1"/>
        <v>19451.303549999997</v>
      </c>
      <c r="J14" s="18">
        <f t="shared" si="6"/>
        <v>22737.524063760258</v>
      </c>
      <c r="K14" s="18">
        <f t="shared" si="7"/>
        <v>11756.694374999999</v>
      </c>
      <c r="L14" s="18">
        <f t="shared" si="8"/>
        <v>22737.524063760258</v>
      </c>
      <c r="N14" s="18">
        <f t="shared" si="18"/>
        <v>496.45287576039351</v>
      </c>
      <c r="O14" s="18">
        <f t="shared" si="2"/>
        <v>1392.7838837258714</v>
      </c>
      <c r="P14" s="18">
        <f t="shared" si="9"/>
        <v>31254.636739082187</v>
      </c>
      <c r="Q14" s="18">
        <f t="shared" si="10"/>
        <v>87683.960487137694</v>
      </c>
      <c r="R14" s="18">
        <f t="shared" si="11"/>
        <v>38079.687937825947</v>
      </c>
      <c r="S14" s="18">
        <f t="shared" si="12"/>
        <v>106831.44009565965</v>
      </c>
      <c r="T14" s="18">
        <f t="shared" si="3"/>
        <v>28057.847740693625</v>
      </c>
      <c r="U14" s="18">
        <f t="shared" si="13"/>
        <v>78715.463346682634</v>
      </c>
      <c r="V14" s="18">
        <f t="shared" si="14"/>
        <v>1239.9445030953373</v>
      </c>
      <c r="W14" s="18">
        <f t="shared" si="15"/>
        <v>3478.6276904540923</v>
      </c>
      <c r="X14" s="18">
        <f t="shared" si="16"/>
        <v>4420.1850828242277</v>
      </c>
      <c r="Y14" s="18">
        <f t="shared" si="4"/>
        <v>12400.698730999758</v>
      </c>
      <c r="Z14" s="18">
        <f t="shared" si="17"/>
        <v>17391.569344570104</v>
      </c>
      <c r="AA14" s="18">
        <f t="shared" si="4"/>
        <v>48791.534259354223</v>
      </c>
    </row>
    <row r="15" spans="1:27" x14ac:dyDescent="0.55000000000000004">
      <c r="A15" s="471"/>
      <c r="B15" s="471">
        <v>9</v>
      </c>
      <c r="C15" s="3">
        <f>'A2 Discount'!E19</f>
        <v>0.73373097218961414</v>
      </c>
      <c r="D15" s="4">
        <f>'A2 Discount'!G19</f>
        <v>0.87459224019801685</v>
      </c>
      <c r="G15" s="18">
        <f>C15/C16*G16</f>
        <v>1747.08</v>
      </c>
      <c r="H15" s="18">
        <f>C15/C16*H16</f>
        <v>2601.9899999999998</v>
      </c>
      <c r="I15" s="18">
        <f t="shared" si="1"/>
        <v>18793.53</v>
      </c>
      <c r="J15" s="18">
        <f t="shared" si="6"/>
        <v>22401.501540650501</v>
      </c>
      <c r="K15" s="18">
        <f t="shared" si="7"/>
        <v>11359.125</v>
      </c>
      <c r="L15" s="18">
        <f t="shared" si="8"/>
        <v>22401.501540650501</v>
      </c>
      <c r="N15" s="18">
        <f t="shared" si="18"/>
        <v>479.66461426124982</v>
      </c>
      <c r="O15" s="18">
        <f t="shared" si="2"/>
        <v>1372.2008706658833</v>
      </c>
      <c r="P15" s="18">
        <f t="shared" si="9"/>
        <v>30197.716656118057</v>
      </c>
      <c r="Q15" s="18">
        <f t="shared" si="10"/>
        <v>86388.138410973101</v>
      </c>
      <c r="R15" s="18">
        <f t="shared" si="11"/>
        <v>36791.969022054058</v>
      </c>
      <c r="S15" s="18">
        <f t="shared" si="12"/>
        <v>105252.65034055139</v>
      </c>
      <c r="T15" s="18">
        <f t="shared" si="3"/>
        <v>27109.031633520412</v>
      </c>
      <c r="U15" s="18">
        <f t="shared" si="13"/>
        <v>77552.180637125755</v>
      </c>
      <c r="V15" s="18">
        <f t="shared" si="14"/>
        <v>1198.0140126524998</v>
      </c>
      <c r="W15" s="18">
        <f t="shared" si="15"/>
        <v>3427.2193994621603</v>
      </c>
      <c r="X15" s="18">
        <f t="shared" si="16"/>
        <v>4270.7102249509453</v>
      </c>
      <c r="Y15" s="18">
        <f t="shared" si="4"/>
        <v>12217.437173398777</v>
      </c>
      <c r="Z15" s="18">
        <f t="shared" si="17"/>
        <v>16803.448642096719</v>
      </c>
      <c r="AA15" s="18">
        <f t="shared" si="4"/>
        <v>48070.477102812045</v>
      </c>
    </row>
    <row r="16" spans="1:27" x14ac:dyDescent="0.55000000000000004">
      <c r="A16" s="471"/>
      <c r="B16" s="471">
        <v>10</v>
      </c>
      <c r="C16" s="3">
        <f>'A2 Discount'!E20</f>
        <v>0.70891881370977217</v>
      </c>
      <c r="D16" s="4">
        <f>'A2 Discount'!G20</f>
        <v>0.86166723172218418</v>
      </c>
      <c r="G16" s="36">
        <f>1688</f>
        <v>1688</v>
      </c>
      <c r="H16" s="36">
        <f>2514</f>
        <v>2514</v>
      </c>
      <c r="I16" s="36">
        <f>18158</f>
        <v>18158</v>
      </c>
      <c r="J16" s="18">
        <f t="shared" si="6"/>
        <v>22070.444867635964</v>
      </c>
      <c r="K16" s="36">
        <v>10975</v>
      </c>
      <c r="L16" s="18">
        <f>$L$6*D16</f>
        <v>13339.74735225822</v>
      </c>
      <c r="N16" s="18">
        <f t="shared" si="18"/>
        <v>463.44407174999986</v>
      </c>
      <c r="O16" s="18">
        <f t="shared" si="2"/>
        <v>1351.9220400649097</v>
      </c>
      <c r="P16" s="18">
        <f t="shared" si="9"/>
        <v>29176.537831998125</v>
      </c>
      <c r="Q16" s="18">
        <f t="shared" si="10"/>
        <v>85111.466414751834</v>
      </c>
      <c r="R16" s="18">
        <f t="shared" si="11"/>
        <v>35547.796156573975</v>
      </c>
      <c r="S16" s="18">
        <f t="shared" si="12"/>
        <v>103697.19245374523</v>
      </c>
      <c r="T16" s="18">
        <f t="shared" si="3"/>
        <v>26192.301095188806</v>
      </c>
      <c r="U16" s="18">
        <f t="shared" si="13"/>
        <v>76406.089297660845</v>
      </c>
      <c r="V16" s="18">
        <f t="shared" si="14"/>
        <v>1157.5014614999998</v>
      </c>
      <c r="W16" s="18">
        <f t="shared" si="15"/>
        <v>3376.5708369085328</v>
      </c>
      <c r="X16" s="18">
        <f t="shared" si="16"/>
        <v>4126.2900724163728</v>
      </c>
      <c r="Y16" s="18">
        <f t="shared" si="4"/>
        <v>12036.883914678599</v>
      </c>
      <c r="Z16" s="18">
        <f t="shared" si="17"/>
        <v>16235.216079320502</v>
      </c>
      <c r="AA16" s="18">
        <f t="shared" si="4"/>
        <v>47360.075963361625</v>
      </c>
    </row>
    <row r="17" spans="1:27" x14ac:dyDescent="0.55000000000000004">
      <c r="A17" s="471"/>
      <c r="B17" s="471">
        <v>11</v>
      </c>
      <c r="C17" s="3">
        <f>'A2 Discount'!E21</f>
        <v>0.68494571372924851</v>
      </c>
      <c r="D17" s="4">
        <f>'A2 Discount'!G21</f>
        <v>0.84893323322382686</v>
      </c>
      <c r="N17" s="18">
        <f t="shared" si="18"/>
        <v>447.77204999999992</v>
      </c>
      <c r="O17" s="18">
        <f t="shared" si="2"/>
        <v>1331.9428966156747</v>
      </c>
      <c r="P17" s="18">
        <f t="shared" si="9"/>
        <v>28189.891625118962</v>
      </c>
      <c r="Q17" s="18">
        <f t="shared" si="10"/>
        <v>83853.661492366344</v>
      </c>
      <c r="R17" s="18">
        <f t="shared" si="11"/>
        <v>34345.696769636692</v>
      </c>
      <c r="S17" s="18">
        <f t="shared" si="12"/>
        <v>102164.72162930566</v>
      </c>
      <c r="T17" s="18">
        <f t="shared" si="3"/>
        <v>25306.571106462616</v>
      </c>
      <c r="U17" s="18">
        <f t="shared" si="13"/>
        <v>75276.93526863138</v>
      </c>
      <c r="V17" s="18">
        <f t="shared" si="14"/>
        <v>1118.3588999999999</v>
      </c>
      <c r="W17" s="18">
        <f t="shared" si="15"/>
        <v>3326.6707752793432</v>
      </c>
      <c r="X17" s="18">
        <f t="shared" si="16"/>
        <v>3986.7536931559157</v>
      </c>
      <c r="Y17" s="18">
        <f t="shared" si="4"/>
        <v>11858.998930717833</v>
      </c>
      <c r="Z17" s="18">
        <f t="shared" si="17"/>
        <v>15686.199110454592</v>
      </c>
      <c r="AA17" s="18">
        <f t="shared" si="4"/>
        <v>46660.173362917863</v>
      </c>
    </row>
    <row r="18" spans="1:27" x14ac:dyDescent="0.55000000000000004">
      <c r="A18" s="471"/>
      <c r="B18" s="471">
        <v>12</v>
      </c>
      <c r="C18" s="3">
        <f>'A2 Discount'!E22</f>
        <v>0.66178329828912907</v>
      </c>
      <c r="D18" s="4">
        <f>'A2 Discount'!G22</f>
        <v>0.83638742189539594</v>
      </c>
      <c r="G18" t="s">
        <v>737</v>
      </c>
      <c r="I18" s="18"/>
      <c r="K18" s="18"/>
      <c r="N18" s="18">
        <f>C18/C19*N19</f>
        <v>432.62999999999994</v>
      </c>
      <c r="O18" s="18">
        <f t="shared" si="2"/>
        <v>1312.2590114440147</v>
      </c>
      <c r="P18" s="18">
        <f t="shared" si="9"/>
        <v>27236.610265815423</v>
      </c>
      <c r="Q18" s="18">
        <f t="shared" si="10"/>
        <v>82614.444820065371</v>
      </c>
      <c r="R18" s="18">
        <f>C18/C19*R19</f>
        <v>33184.248086605505</v>
      </c>
      <c r="S18" s="18">
        <f t="shared" si="12"/>
        <v>100654.8981569514</v>
      </c>
      <c r="T18" s="18">
        <f t="shared" si="3"/>
        <v>24450.793339577409</v>
      </c>
      <c r="U18" s="18">
        <f t="shared" si="13"/>
        <v>74164.468244957025</v>
      </c>
      <c r="V18" s="18">
        <f t="shared" si="14"/>
        <v>1080.54</v>
      </c>
      <c r="W18" s="18">
        <f t="shared" si="15"/>
        <v>3277.5081529845747</v>
      </c>
      <c r="X18" s="18">
        <f t="shared" si="16"/>
        <v>3851.9359354163439</v>
      </c>
      <c r="Y18" s="18">
        <f t="shared" si="4"/>
        <v>11683.742788884565</v>
      </c>
      <c r="Z18" s="18">
        <f t="shared" si="17"/>
        <v>15155.747932806371</v>
      </c>
      <c r="AA18" s="18">
        <f t="shared" si="4"/>
        <v>45970.614150657995</v>
      </c>
    </row>
    <row r="19" spans="1:27" x14ac:dyDescent="0.55000000000000004">
      <c r="A19" s="471"/>
      <c r="B19" s="471">
        <v>13</v>
      </c>
      <c r="C19" s="3">
        <f>'A2 Discount'!E23</f>
        <v>0.63940415293635666</v>
      </c>
      <c r="D19" s="4">
        <f>'A2 Discount'!G23</f>
        <v>0.82402701664571032</v>
      </c>
      <c r="N19" s="18">
        <v>418</v>
      </c>
      <c r="O19" s="18">
        <f>N6*$D19*60/25</f>
        <v>1292.8660211271083</v>
      </c>
      <c r="P19" s="18">
        <f t="shared" si="9"/>
        <v>26315.565474217801</v>
      </c>
      <c r="Q19" s="18">
        <f t="shared" si="10"/>
        <v>81393.541694645697</v>
      </c>
      <c r="R19" s="18">
        <f t="shared" si="11"/>
        <v>32062.075445995662</v>
      </c>
      <c r="S19" s="18">
        <f t="shared" si="12"/>
        <v>99167.387346750154</v>
      </c>
      <c r="T19" s="18">
        <f t="shared" si="3"/>
        <v>23623.954917466097</v>
      </c>
      <c r="U19" s="18">
        <f t="shared" si="13"/>
        <v>73068.441620647325</v>
      </c>
      <c r="V19" s="18">
        <v>1044</v>
      </c>
      <c r="W19" s="18">
        <f>V6*$D19*60/25</f>
        <v>3229.0720719059855</v>
      </c>
      <c r="X19" s="18">
        <f t="shared" si="16"/>
        <v>3721.677232286323</v>
      </c>
      <c r="Y19" s="18">
        <f t="shared" si="4"/>
        <v>11511.076639295139</v>
      </c>
      <c r="Z19" s="18">
        <f t="shared" si="17"/>
        <v>14643.234717687315</v>
      </c>
      <c r="AA19" s="18">
        <f t="shared" si="4"/>
        <v>45291.245468628571</v>
      </c>
    </row>
    <row r="20" spans="1:27" x14ac:dyDescent="0.55000000000000004">
      <c r="A20" s="471"/>
      <c r="B20" s="471">
        <v>14</v>
      </c>
      <c r="C20" s="3">
        <f>'A2 Discount'!E24</f>
        <v>0.61778179027667313</v>
      </c>
      <c r="D20" s="4">
        <f>'A2 Discount'!G24</f>
        <v>0.81184927748345848</v>
      </c>
      <c r="G20" s="18">
        <f t="shared" ref="G20:H20" si="19">G16*(_202021/_201213)</f>
        <v>2050.8207643059868</v>
      </c>
      <c r="H20" s="18">
        <f t="shared" si="19"/>
        <v>3054.3622046595087</v>
      </c>
      <c r="I20" s="18">
        <f t="shared" ref="I20:J20" si="20">I16*60/25</f>
        <v>43579.199999999997</v>
      </c>
      <c r="J20" s="18">
        <f t="shared" si="20"/>
        <v>52969.067682326313</v>
      </c>
      <c r="K20" s="18">
        <f>K16*60/25</f>
        <v>26340</v>
      </c>
      <c r="L20" s="18">
        <f>L16*60/25</f>
        <v>32015.393645419728</v>
      </c>
      <c r="N20" s="18"/>
      <c r="P20" s="18">
        <f t="shared" si="9"/>
        <v>25425.667124848118</v>
      </c>
      <c r="Q20" s="18">
        <f t="shared" si="10"/>
        <v>80190.681472557349</v>
      </c>
      <c r="R20" s="18">
        <f t="shared" si="11"/>
        <v>30977.850672459579</v>
      </c>
      <c r="S20" s="18">
        <f t="shared" si="12"/>
        <v>97701.859454926263</v>
      </c>
      <c r="T20" s="18">
        <f t="shared" si="3"/>
        <v>22825.077214943092</v>
      </c>
      <c r="U20" s="18">
        <f t="shared" si="13"/>
        <v>71988.612434135299</v>
      </c>
      <c r="V20" s="18"/>
      <c r="X20" s="18">
        <f t="shared" si="16"/>
        <v>3595.8234128370273</v>
      </c>
      <c r="Y20" s="18">
        <f t="shared" si="4"/>
        <v>11340.962206202108</v>
      </c>
      <c r="Z20" s="18">
        <f t="shared" si="17"/>
        <v>14148.05286733074</v>
      </c>
      <c r="AA20" s="18">
        <f t="shared" si="4"/>
        <v>44621.916717860666</v>
      </c>
    </row>
    <row r="21" spans="1:27" x14ac:dyDescent="0.55000000000000004">
      <c r="A21" s="471"/>
      <c r="B21" s="471">
        <v>15</v>
      </c>
      <c r="C21" s="3">
        <f>'A2 Discount'!E25</f>
        <v>0.59689061862480497</v>
      </c>
      <c r="D21" s="4">
        <f>'A2 Discount'!G25</f>
        <v>0.79985150490981138</v>
      </c>
      <c r="N21" s="18"/>
      <c r="P21" s="18">
        <f t="shared" si="9"/>
        <v>24565.861956374996</v>
      </c>
      <c r="Q21" s="18">
        <f t="shared" si="10"/>
        <v>79005.597509908723</v>
      </c>
      <c r="R21" s="18">
        <f t="shared" si="11"/>
        <v>29930.290504791865</v>
      </c>
      <c r="S21" s="18">
        <f t="shared" si="12"/>
        <v>96257.989610764795</v>
      </c>
      <c r="T21" s="18">
        <f t="shared" si="3"/>
        <v>22053.214700428111</v>
      </c>
      <c r="U21" s="18">
        <f t="shared" si="13"/>
        <v>70924.741314419021</v>
      </c>
      <c r="V21" s="18"/>
      <c r="X21" s="18">
        <f t="shared" si="16"/>
        <v>3474.225519649302</v>
      </c>
      <c r="Y21" s="18">
        <f t="shared" si="4"/>
        <v>11173.361779509467</v>
      </c>
      <c r="Z21" s="18">
        <f t="shared" si="17"/>
        <v>13669.616296937915</v>
      </c>
      <c r="AA21" s="18">
        <f t="shared" si="4"/>
        <v>43962.47952498588</v>
      </c>
    </row>
    <row r="22" spans="1:27" x14ac:dyDescent="0.55000000000000004">
      <c r="A22" s="471"/>
      <c r="B22" s="471">
        <v>16</v>
      </c>
      <c r="C22" s="3">
        <f>'A2 Discount'!E26</f>
        <v>0.57670591171478747</v>
      </c>
      <c r="D22" s="4">
        <f>'A2 Discount'!G26</f>
        <v>0.78803103932001128</v>
      </c>
      <c r="G22" s="22" t="s">
        <v>300</v>
      </c>
      <c r="N22" s="18"/>
      <c r="P22" s="18">
        <f t="shared" si="9"/>
        <v>23735.132324999999</v>
      </c>
      <c r="Q22" s="18">
        <f t="shared" si="10"/>
        <v>77838.027103358356</v>
      </c>
      <c r="R22" s="18">
        <f t="shared" si="11"/>
        <v>28918.15507709359</v>
      </c>
      <c r="S22" s="18">
        <f t="shared" si="12"/>
        <v>94835.457744595871</v>
      </c>
      <c r="T22" s="18">
        <f t="shared" si="3"/>
        <v>21307.453816838755</v>
      </c>
      <c r="U22" s="18">
        <f t="shared" si="13"/>
        <v>69876.592427999043</v>
      </c>
      <c r="V22" s="18"/>
      <c r="X22" s="18">
        <f t="shared" si="16"/>
        <v>3356.7396325114032</v>
      </c>
      <c r="Y22" s="18">
        <f t="shared" si="4"/>
        <v>11008.238206413269</v>
      </c>
      <c r="Z22" s="18">
        <f t="shared" si="17"/>
        <v>13207.358741002818</v>
      </c>
      <c r="AA22" s="18">
        <f t="shared" si="4"/>
        <v>43312.787709345699</v>
      </c>
    </row>
    <row r="23" spans="1:27" x14ac:dyDescent="0.55000000000000004">
      <c r="A23" s="471"/>
      <c r="B23" s="471">
        <v>17</v>
      </c>
      <c r="C23" s="3">
        <f>'A2 Discount'!E27</f>
        <v>0.55720377943457733</v>
      </c>
      <c r="D23" s="4">
        <f>'A2 Discount'!G27</f>
        <v>0.77638526041380429</v>
      </c>
      <c r="N23" s="18"/>
      <c r="P23" s="18">
        <f t="shared" si="9"/>
        <v>22932.494999999999</v>
      </c>
      <c r="Q23" s="18">
        <f t="shared" si="10"/>
        <v>76687.711431880161</v>
      </c>
      <c r="R23" s="18">
        <f t="shared" si="11"/>
        <v>27940.246451298157</v>
      </c>
      <c r="S23" s="18">
        <f>D23/D24*S24</f>
        <v>93433.948516843229</v>
      </c>
      <c r="T23" s="18">
        <f t="shared" si="3"/>
        <v>20586.911900327301</v>
      </c>
      <c r="U23" s="18">
        <f>D23/D24*U24</f>
        <v>68843.933426600051</v>
      </c>
      <c r="V23" s="18"/>
      <c r="X23" s="18">
        <f t="shared" si="16"/>
        <v>3243.2266980786508</v>
      </c>
      <c r="Y23" s="18">
        <f t="shared" si="4"/>
        <v>10845.554883165783</v>
      </c>
      <c r="Z23" s="18">
        <f t="shared" si="17"/>
        <v>12760.73308309451</v>
      </c>
      <c r="AA23" s="18">
        <f t="shared" si="4"/>
        <v>42672.697250586898</v>
      </c>
    </row>
    <row r="24" spans="1:27" x14ac:dyDescent="0.55000000000000004">
      <c r="A24" s="471"/>
      <c r="B24" s="471">
        <v>18</v>
      </c>
      <c r="C24" s="3">
        <f>'A2 Discount'!E28</f>
        <v>0.53836113955031628</v>
      </c>
      <c r="D24" s="4">
        <f>'A2 Discount'!G28</f>
        <v>0.76491158661458558</v>
      </c>
      <c r="P24" s="18">
        <v>22157</v>
      </c>
      <c r="Q24" s="18">
        <f>P6*$D24*60/25</f>
        <v>75554.395499389328</v>
      </c>
      <c r="R24" s="18">
        <f t="shared" si="11"/>
        <v>26995.407199321893</v>
      </c>
      <c r="S24" s="18">
        <f>R6*D24*60/25</f>
        <v>92053.151248121416</v>
      </c>
      <c r="T24" s="18">
        <f t="shared" si="3"/>
        <v>19890.736135581934</v>
      </c>
      <c r="U24" s="18">
        <f>T6*D24*60/25</f>
        <v>67826.53539566508</v>
      </c>
      <c r="X24" s="18">
        <f t="shared" si="16"/>
        <v>3133.5523652933825</v>
      </c>
      <c r="Y24" s="18">
        <f>X6*$D24*60/25</f>
        <v>10685.275746961364</v>
      </c>
      <c r="Z24" s="18">
        <f t="shared" si="17"/>
        <v>12329.210708303875</v>
      </c>
      <c r="AA24" s="18">
        <f>Z6*D24*60/25</f>
        <v>42042.066256735867</v>
      </c>
    </row>
    <row r="25" spans="1:27" x14ac:dyDescent="0.55000000000000004">
      <c r="A25" s="471"/>
      <c r="B25" s="471">
        <v>19</v>
      </c>
      <c r="C25" s="3">
        <f>'A2 Discount'!E29</f>
        <v>0.520155690386779</v>
      </c>
      <c r="D25" s="4">
        <f>'A2 Discount'!G29</f>
        <v>0.75360747449712873</v>
      </c>
      <c r="N25" s="18"/>
      <c r="R25" s="18">
        <f t="shared" si="11"/>
        <v>26082.51903316125</v>
      </c>
      <c r="S25" s="18"/>
      <c r="T25" s="18">
        <f t="shared" si="3"/>
        <v>19218.102546455975</v>
      </c>
      <c r="U25" s="18"/>
      <c r="V25" s="18"/>
      <c r="X25" s="18">
        <f t="shared" si="16"/>
        <v>3027.5868263704183</v>
      </c>
      <c r="Y25" s="18"/>
      <c r="Z25" s="18">
        <f t="shared" si="17"/>
        <v>11912.280877588286</v>
      </c>
      <c r="AA25" s="18"/>
    </row>
    <row r="26" spans="1:27" x14ac:dyDescent="0.55000000000000004">
      <c r="A26" s="471"/>
      <c r="B26" s="471">
        <v>20</v>
      </c>
      <c r="C26" s="3">
        <f>'A2 Discount'!E30</f>
        <v>0.50256588443167061</v>
      </c>
      <c r="D26" s="4">
        <f>'A2 Discount'!G30</f>
        <v>0.74247041822377224</v>
      </c>
      <c r="R26" s="18">
        <f t="shared" si="11"/>
        <v>25200.501481315219</v>
      </c>
      <c r="S26" s="18"/>
      <c r="T26" s="18">
        <f t="shared" si="3"/>
        <v>18568.215020730411</v>
      </c>
      <c r="U26" s="18"/>
      <c r="X26" s="18">
        <f t="shared" si="16"/>
        <v>2925.2046631598246</v>
      </c>
      <c r="Y26" s="18"/>
      <c r="Z26" s="18">
        <f t="shared" si="17"/>
        <v>11509.450123273708</v>
      </c>
      <c r="AA26" s="18"/>
    </row>
    <row r="27" spans="1:27" x14ac:dyDescent="0.55000000000000004">
      <c r="B27" s="471">
        <v>21</v>
      </c>
      <c r="C27" s="3">
        <f>'A2 Discount'!E31</f>
        <v>0.48557090283253201</v>
      </c>
      <c r="D27" s="4">
        <f>'A2 Discount'!G31</f>
        <v>0.73149794898893827</v>
      </c>
      <c r="R27" s="18">
        <f t="shared" si="11"/>
        <v>24348.310609966396</v>
      </c>
      <c r="S27" s="18"/>
      <c r="T27" s="18">
        <f t="shared" si="3"/>
        <v>17940.304367855471</v>
      </c>
      <c r="U27" s="18"/>
      <c r="X27" s="18">
        <f t="shared" si="16"/>
        <v>2826.2846987051448</v>
      </c>
      <c r="Y27" s="18"/>
      <c r="Z27" s="18">
        <f t="shared" si="17"/>
        <v>11120.241664998752</v>
      </c>
      <c r="AA27" s="18"/>
    </row>
    <row r="28" spans="1:27" x14ac:dyDescent="0.55000000000000004">
      <c r="B28" s="471">
        <v>22</v>
      </c>
      <c r="C28" s="3">
        <f>'A2 Discount'!E32</f>
        <v>0.46915063075606961</v>
      </c>
      <c r="D28" s="4">
        <f>'A2 Discount'!G32</f>
        <v>0.72068763447186046</v>
      </c>
      <c r="R28" s="18">
        <f t="shared" si="11"/>
        <v>23524.937787407147</v>
      </c>
      <c r="S28" s="18"/>
      <c r="T28" s="18">
        <f t="shared" si="3"/>
        <v>17333.627408556011</v>
      </c>
      <c r="U28" s="18"/>
      <c r="X28" s="18">
        <f t="shared" si="16"/>
        <v>2730.7098538213963</v>
      </c>
      <c r="Y28" s="18"/>
      <c r="Z28" s="18">
        <f t="shared" si="17"/>
        <v>10744.194845409424</v>
      </c>
      <c r="AA28" s="18"/>
    </row>
    <row r="29" spans="1:27" x14ac:dyDescent="0.55000000000000004">
      <c r="B29" s="471">
        <v>23</v>
      </c>
      <c r="C29" s="3">
        <f>'A2 Discount'!E33</f>
        <v>0.45328563358074364</v>
      </c>
      <c r="D29" s="4">
        <f>'A2 Discount'!G33</f>
        <v>0.71003707829739948</v>
      </c>
      <c r="R29" s="18">
        <f t="shared" si="11"/>
        <v>22729.408490248454</v>
      </c>
      <c r="S29" s="18"/>
      <c r="T29" s="18">
        <f t="shared" si="3"/>
        <v>16747.466095223201</v>
      </c>
      <c r="U29" s="18"/>
      <c r="X29" s="18">
        <f t="shared" si="16"/>
        <v>2638.3670085230883</v>
      </c>
      <c r="Y29" s="18"/>
      <c r="Z29" s="18">
        <f t="shared" si="17"/>
        <v>10380.864584936642</v>
      </c>
      <c r="AA29" s="18"/>
    </row>
    <row r="30" spans="1:27" x14ac:dyDescent="0.55000000000000004">
      <c r="B30" s="471">
        <v>24</v>
      </c>
      <c r="C30" s="3">
        <f>'A2 Discount'!E34</f>
        <v>0.43795713389443836</v>
      </c>
      <c r="D30" s="4">
        <f>'A2 Discount'!G34</f>
        <v>0.69954391950482719</v>
      </c>
      <c r="R30" s="18">
        <f t="shared" si="11"/>
        <v>21960.781149998507</v>
      </c>
      <c r="S30" s="18"/>
      <c r="T30" s="18">
        <f t="shared" si="3"/>
        <v>16181.126662051402</v>
      </c>
      <c r="U30" s="18"/>
      <c r="X30" s="18">
        <f t="shared" si="16"/>
        <v>2549.1468681382498</v>
      </c>
      <c r="Y30" s="18"/>
      <c r="Z30" s="18">
        <f t="shared" si="17"/>
        <v>10029.820855011249</v>
      </c>
      <c r="AA30" s="18"/>
    </row>
    <row r="31" spans="1:27" x14ac:dyDescent="0.55000000000000004">
      <c r="B31" s="471">
        <v>25</v>
      </c>
      <c r="C31" s="3">
        <f>'A2 Discount'!E35</f>
        <v>0.42314698926998878</v>
      </c>
      <c r="D31" s="4">
        <f>'A2 Discount'!G35</f>
        <v>0.6892058320244604</v>
      </c>
      <c r="R31" s="18">
        <f t="shared" si="11"/>
        <v>21218.146038645904</v>
      </c>
      <c r="S31" s="18"/>
      <c r="T31" s="18">
        <f t="shared" si="3"/>
        <v>15633.9388039144</v>
      </c>
      <c r="U31" s="18"/>
      <c r="X31" s="18">
        <f t="shared" si="16"/>
        <v>2462.9438339500002</v>
      </c>
      <c r="Y31" s="18"/>
      <c r="Z31" s="18">
        <f t="shared" si="17"/>
        <v>9690.6481690929941</v>
      </c>
      <c r="AA31" s="18"/>
    </row>
    <row r="32" spans="1:27" x14ac:dyDescent="0.55000000000000004">
      <c r="B32" s="471">
        <v>26</v>
      </c>
      <c r="C32" s="3">
        <f>'A2 Discount'!E36</f>
        <v>0.40883767079225974</v>
      </c>
      <c r="D32" s="4">
        <f>'A2 Discount'!G36</f>
        <v>0.67902052416202996</v>
      </c>
      <c r="R32" s="18">
        <f t="shared" si="11"/>
        <v>20500.624191928411</v>
      </c>
      <c r="S32" s="18"/>
      <c r="T32" s="18">
        <f t="shared" si="3"/>
        <v>15105.254883009084</v>
      </c>
      <c r="U32" s="18"/>
      <c r="X32" s="18">
        <f t="shared" si="16"/>
        <v>2379.6558782125608</v>
      </c>
      <c r="Y32" s="18"/>
      <c r="Z32" s="18">
        <f t="shared" si="17"/>
        <v>9362.9450909111056</v>
      </c>
      <c r="AA32" s="18"/>
    </row>
    <row r="33" spans="2:27" x14ac:dyDescent="0.55000000000000004">
      <c r="B33" s="471">
        <v>27</v>
      </c>
      <c r="C33" s="3">
        <f>'A2 Discount'!E37</f>
        <v>0.39501224231136212</v>
      </c>
      <c r="D33" s="4">
        <f>'A2 Discount'!G37</f>
        <v>0.66898573809066997</v>
      </c>
      <c r="R33" s="18">
        <f t="shared" si="11"/>
        <v>19807.366369012958</v>
      </c>
      <c r="S33" s="18"/>
      <c r="T33" s="18">
        <f t="shared" si="3"/>
        <v>14594.449162327619</v>
      </c>
      <c r="U33" s="18"/>
      <c r="X33" s="18">
        <f t="shared" si="16"/>
        <v>2299.1844233937786</v>
      </c>
      <c r="Y33" s="18"/>
      <c r="Z33" s="18">
        <f t="shared" si="17"/>
        <v>9046.323759334402</v>
      </c>
      <c r="AA33" s="18"/>
    </row>
    <row r="34" spans="2:27" x14ac:dyDescent="0.55000000000000004">
      <c r="B34" s="471">
        <v>28</v>
      </c>
      <c r="C34" s="3">
        <f>'A2 Discount'!E38</f>
        <v>0.38165434039745133</v>
      </c>
      <c r="D34" s="4">
        <f>'A2 Discount'!G38</f>
        <v>0.65909924935041386</v>
      </c>
      <c r="R34" s="18">
        <f t="shared" si="11"/>
        <v>19137.552047355515</v>
      </c>
      <c r="S34" s="18"/>
      <c r="T34" s="18">
        <f t="shared" si="3"/>
        <v>14100.91706505084</v>
      </c>
      <c r="U34" s="18"/>
      <c r="X34" s="18">
        <f t="shared" si="16"/>
        <v>2221.4342255012357</v>
      </c>
      <c r="Y34" s="18"/>
      <c r="Z34" s="18">
        <f t="shared" si="17"/>
        <v>8740.4094293086018</v>
      </c>
      <c r="AA34" s="18"/>
    </row>
    <row r="35" spans="2:27" x14ac:dyDescent="0.55000000000000004">
      <c r="B35" s="471">
        <v>29</v>
      </c>
      <c r="C35" s="3">
        <f>'A2 Discount'!E39</f>
        <v>0.36874815497338298</v>
      </c>
      <c r="D35" s="4">
        <f>'A2 Discount'!G39</f>
        <v>0.64935886635508766</v>
      </c>
      <c r="R35" s="18">
        <f t="shared" si="11"/>
        <v>18490.388451551225</v>
      </c>
      <c r="S35" s="18"/>
      <c r="T35" s="18">
        <f t="shared" si="3"/>
        <v>13624.074458986321</v>
      </c>
      <c r="U35" s="18"/>
      <c r="X35" s="18">
        <f t="shared" si="16"/>
        <v>2146.313261353851</v>
      </c>
      <c r="Y35" s="18"/>
      <c r="Z35" s="18">
        <f t="shared" si="17"/>
        <v>8444.8400283174906</v>
      </c>
      <c r="AA35" s="18"/>
    </row>
    <row r="36" spans="2:27" x14ac:dyDescent="0.55000000000000004">
      <c r="B36" s="471">
        <v>30</v>
      </c>
      <c r="C36" s="3">
        <f>'A2 Discount'!E40</f>
        <v>0.35627841060230242</v>
      </c>
      <c r="D36" s="4">
        <f>'A2 Discount'!G40</f>
        <v>0.63976242990649035</v>
      </c>
      <c r="R36" s="18">
        <f t="shared" si="11"/>
        <v>17865.10961502534</v>
      </c>
      <c r="S36" s="18"/>
      <c r="T36" s="18">
        <f t="shared" si="3"/>
        <v>13163.356965204175</v>
      </c>
      <c r="U36" s="18"/>
      <c r="X36" s="18">
        <f t="shared" si="16"/>
        <v>2073.7326196655567</v>
      </c>
      <c r="Y36" s="18"/>
      <c r="Z36" s="18">
        <f t="shared" si="17"/>
        <v>8159.2657278429861</v>
      </c>
      <c r="AA36" s="18"/>
    </row>
    <row r="37" spans="2:27" x14ac:dyDescent="0.55000000000000004">
      <c r="B37" s="5">
        <v>31</v>
      </c>
      <c r="C37" s="3">
        <f>'A2 Discount'!E41</f>
        <v>0.34590136951679845</v>
      </c>
      <c r="D37" s="4">
        <f>'A2 Discount'!G41</f>
        <v>0.63164132712911603</v>
      </c>
      <c r="R37" s="18">
        <f t="shared" si="11"/>
        <v>17344.766616529454</v>
      </c>
      <c r="S37" s="18"/>
      <c r="T37" s="18">
        <f t="shared" si="3"/>
        <v>12779.95821864483</v>
      </c>
      <c r="U37" s="18"/>
      <c r="X37" s="18">
        <f t="shared" si="16"/>
        <v>2013.3326404519969</v>
      </c>
      <c r="Y37" s="18"/>
      <c r="Z37" s="18">
        <f t="shared" si="17"/>
        <v>7921.6172114980445</v>
      </c>
      <c r="AA37" s="18"/>
    </row>
    <row r="38" spans="2:27" x14ac:dyDescent="0.55000000000000004">
      <c r="B38" s="471">
        <v>32</v>
      </c>
      <c r="C38" s="3">
        <f>'A2 Discount'!E42</f>
        <v>0.33582657234640628</v>
      </c>
      <c r="D38" s="4">
        <f>'A2 Discount'!G42</f>
        <v>0.62362331310349961</v>
      </c>
      <c r="R38" s="18">
        <f t="shared" si="11"/>
        <v>16839.579239348983</v>
      </c>
      <c r="S38" s="18"/>
      <c r="T38" s="18">
        <f t="shared" si="3"/>
        <v>12407.726425868766</v>
      </c>
      <c r="U38" s="18"/>
      <c r="X38" s="18">
        <f t="shared" si="16"/>
        <v>1954.6918839339776</v>
      </c>
      <c r="Y38" s="18"/>
      <c r="Z38" s="18">
        <f t="shared" si="17"/>
        <v>7690.8904966000428</v>
      </c>
      <c r="AA38" s="18"/>
    </row>
    <row r="39" spans="2:27" x14ac:dyDescent="0.55000000000000004">
      <c r="B39" s="471">
        <v>33</v>
      </c>
      <c r="C39" s="3">
        <f>'A2 Discount'!E43</f>
        <v>0.32604521587029733</v>
      </c>
      <c r="D39" s="4">
        <f>'A2 Discount'!G43</f>
        <v>0.61570707922771473</v>
      </c>
      <c r="R39" s="18">
        <f t="shared" si="11"/>
        <v>16349.106057620371</v>
      </c>
      <c r="S39" s="18"/>
      <c r="T39" s="18">
        <f t="shared" si="3"/>
        <v>12046.336335794918</v>
      </c>
      <c r="U39" s="18"/>
      <c r="X39" s="18">
        <f t="shared" si="16"/>
        <v>1897.7591106155121</v>
      </c>
      <c r="Y39" s="18"/>
      <c r="Z39" s="18">
        <f t="shared" si="17"/>
        <v>7466.8839772815945</v>
      </c>
      <c r="AA39" s="18"/>
    </row>
    <row r="40" spans="2:27" x14ac:dyDescent="0.55000000000000004">
      <c r="B40" s="471">
        <v>34</v>
      </c>
      <c r="C40" s="3">
        <f>'A2 Discount'!E44</f>
        <v>0.31654875327213333</v>
      </c>
      <c r="D40" s="4">
        <f>'A2 Discount'!G44</f>
        <v>0.60789133351114288</v>
      </c>
      <c r="R40" s="18">
        <f t="shared" si="11"/>
        <v>15872.918502544049</v>
      </c>
      <c r="S40" s="18"/>
      <c r="T40" s="18">
        <f t="shared" si="3"/>
        <v>11695.472170674677</v>
      </c>
      <c r="U40" s="18"/>
      <c r="X40" s="18">
        <f t="shared" si="16"/>
        <v>1842.4845734131186</v>
      </c>
      <c r="Y40" s="18"/>
      <c r="Z40" s="18">
        <f t="shared" si="17"/>
        <v>7249.4019196908685</v>
      </c>
      <c r="AA40" s="18"/>
    </row>
    <row r="41" spans="2:27" x14ac:dyDescent="0.55000000000000004">
      <c r="B41" s="471">
        <v>35</v>
      </c>
      <c r="C41" s="3">
        <f>'A2 Discount'!E45</f>
        <v>0.30732888667197411</v>
      </c>
      <c r="D41" s="4">
        <f>'A2 Discount'!G45</f>
        <v>0.60017480036361071</v>
      </c>
      <c r="R41" s="18">
        <f t="shared" si="11"/>
        <v>15410.600487906844</v>
      </c>
      <c r="S41" s="18"/>
      <c r="T41" s="18">
        <f t="shared" si="3"/>
        <v>11354.827350169589</v>
      </c>
      <c r="U41" s="18"/>
      <c r="X41" s="18">
        <f t="shared" si="16"/>
        <v>1788.8199741874937</v>
      </c>
      <c r="Y41" s="18"/>
      <c r="Z41" s="18">
        <f t="shared" si="17"/>
        <v>7038.2542909620079</v>
      </c>
      <c r="AA41" s="18"/>
    </row>
    <row r="42" spans="2:27" x14ac:dyDescent="0.55000000000000004">
      <c r="B42" s="471">
        <v>36</v>
      </c>
      <c r="C42" s="3">
        <f>'A2 Discount'!E46</f>
        <v>0.29837755987570302</v>
      </c>
      <c r="D42" s="4">
        <f>'A2 Discount'!G46</f>
        <v>0.59255622038720379</v>
      </c>
      <c r="R42" s="18">
        <f t="shared" si="11"/>
        <v>14961.748046511499</v>
      </c>
      <c r="S42" s="18"/>
      <c r="T42" s="18">
        <f t="shared" si="3"/>
        <v>11024.10422346562</v>
      </c>
      <c r="U42" s="18"/>
      <c r="X42" s="18">
        <f t="shared" si="16"/>
        <v>1736.718421541256</v>
      </c>
      <c r="Y42" s="18"/>
      <c r="Z42" s="18">
        <f t="shared" si="17"/>
        <v>6833.2565931669978</v>
      </c>
      <c r="AA42" s="18"/>
    </row>
    <row r="43" spans="2:27" x14ac:dyDescent="0.55000000000000004">
      <c r="B43" s="471">
        <v>37</v>
      </c>
      <c r="C43" s="3">
        <f>'A2 Discount'!E47</f>
        <v>0.28968695133563399</v>
      </c>
      <c r="D43" s="4">
        <f>'A2 Discount'!G47</f>
        <v>0.58503435017072303</v>
      </c>
      <c r="R43" s="18">
        <f t="shared" si="11"/>
        <v>14525.968977195629</v>
      </c>
      <c r="S43" s="18"/>
      <c r="T43" s="18">
        <f t="shared" si="3"/>
        <v>10703.013809189923</v>
      </c>
      <c r="U43" s="18"/>
      <c r="X43" s="18">
        <f t="shared" si="16"/>
        <v>1686.1343898458797</v>
      </c>
      <c r="Y43" s="18"/>
      <c r="Z43" s="18">
        <f t="shared" si="17"/>
        <v>6634.2297021038812</v>
      </c>
      <c r="AA43" s="18"/>
    </row>
    <row r="44" spans="2:27" x14ac:dyDescent="0.55000000000000004">
      <c r="B44" s="471">
        <v>38</v>
      </c>
      <c r="C44" s="3">
        <f>'A2 Discount'!E48</f>
        <v>0.28124946731614953</v>
      </c>
      <c r="D44" s="4">
        <f>'A2 Discount'!G48</f>
        <v>0.57760796208675047</v>
      </c>
      <c r="R44" s="18">
        <f t="shared" si="11"/>
        <v>14102.882502131679</v>
      </c>
      <c r="S44" s="18"/>
      <c r="T44" s="18">
        <f t="shared" si="3"/>
        <v>10391.275542902837</v>
      </c>
      <c r="U44" s="18"/>
      <c r="X44" s="18">
        <f t="shared" si="16"/>
        <v>1637.0236794620191</v>
      </c>
      <c r="Y44" s="18"/>
      <c r="Z44" s="18">
        <f t="shared" si="17"/>
        <v>6440.9997107804675</v>
      </c>
      <c r="AA44" s="18"/>
    </row>
    <row r="45" spans="2:27" x14ac:dyDescent="0.55000000000000004">
      <c r="B45" s="471">
        <v>39</v>
      </c>
      <c r="C45" s="3">
        <f>'A2 Discount'!E49</f>
        <v>0.2730577352583976</v>
      </c>
      <c r="D45" s="4">
        <f>'A2 Discount'!G49</f>
        <v>0.57027584409129095</v>
      </c>
      <c r="R45" s="18">
        <f t="shared" si="11"/>
        <v>13692.118934108426</v>
      </c>
      <c r="S45" s="18"/>
      <c r="T45" s="18">
        <f t="shared" si="3"/>
        <v>10088.617031944501</v>
      </c>
      <c r="U45" s="18"/>
      <c r="X45" s="18">
        <f t="shared" si="16"/>
        <v>1589.3433781184651</v>
      </c>
      <c r="Y45" s="18"/>
      <c r="Z45" s="18">
        <f t="shared" si="17"/>
        <v>6253.3977774567647</v>
      </c>
      <c r="AA45" s="18"/>
    </row>
    <row r="46" spans="2:27" x14ac:dyDescent="0.55000000000000004">
      <c r="B46" s="471">
        <v>40</v>
      </c>
      <c r="C46" s="3">
        <f>'A2 Discount'!E50</f>
        <v>0.26510459733825009</v>
      </c>
      <c r="D46" s="4">
        <f>'A2 Discount'!G50</f>
        <v>0.5630367995259572</v>
      </c>
      <c r="R46" s="18">
        <f t="shared" si="11"/>
        <v>13293.319353503326</v>
      </c>
      <c r="S46" s="18"/>
      <c r="T46" s="18">
        <f t="shared" si="3"/>
        <v>9794.7738174218448</v>
      </c>
      <c r="U46" s="18"/>
      <c r="X46" s="18">
        <f t="shared" si="16"/>
        <v>1543.0518234159856</v>
      </c>
      <c r="Y46" s="18"/>
      <c r="Z46" s="18">
        <f t="shared" si="17"/>
        <v>6071.259978113364</v>
      </c>
      <c r="AA46" s="18"/>
    </row>
    <row r="47" spans="2:27" x14ac:dyDescent="0.55000000000000004">
      <c r="B47" s="471">
        <v>41</v>
      </c>
      <c r="C47" s="3">
        <f>'A2 Discount'!E51</f>
        <v>0.25738310421189331</v>
      </c>
      <c r="D47" s="4">
        <f>'A2 Discount'!G51</f>
        <v>0.55588964692266574</v>
      </c>
      <c r="R47" s="18">
        <f t="shared" si="11"/>
        <v>12906.135294663423</v>
      </c>
      <c r="S47" s="18"/>
      <c r="T47" s="18">
        <f t="shared" si="3"/>
        <v>9509.4891431280048</v>
      </c>
      <c r="U47" s="18"/>
      <c r="X47" s="18">
        <f t="shared" si="16"/>
        <v>1498.1085664232869</v>
      </c>
      <c r="Y47" s="18"/>
      <c r="Z47" s="18">
        <f t="shared" si="17"/>
        <v>5894.4271632168584</v>
      </c>
      <c r="AA47" s="18"/>
    </row>
    <row r="48" spans="2:27" x14ac:dyDescent="0.55000000000000004">
      <c r="B48" s="471">
        <v>42</v>
      </c>
      <c r="C48" s="3">
        <f>'A2 Discount'!E52</f>
        <v>0.24988650894358574</v>
      </c>
      <c r="D48" s="4">
        <f>'A2 Discount'!G52</f>
        <v>0.54883321981081246</v>
      </c>
      <c r="R48" s="18">
        <f t="shared" si="11"/>
        <v>12530.228441420799</v>
      </c>
      <c r="S48" s="18"/>
      <c r="T48" s="18">
        <f t="shared" si="3"/>
        <v>9232.5137311922372</v>
      </c>
      <c r="U48" s="18"/>
      <c r="X48" s="18">
        <f t="shared" si="16"/>
        <v>1454.4743363332882</v>
      </c>
      <c r="Y48" s="18"/>
      <c r="Z48" s="18">
        <f t="shared" si="17"/>
        <v>5722.7448186571437</v>
      </c>
      <c r="AA48" s="18"/>
    </row>
    <row r="49" spans="2:27" x14ac:dyDescent="0.55000000000000004">
      <c r="B49" s="471">
        <v>43</v>
      </c>
      <c r="C49" s="3">
        <f>'A2 Discount'!E53</f>
        <v>0.24260826111027742</v>
      </c>
      <c r="D49" s="4">
        <f>'A2 Discount'!G53</f>
        <v>0.54186636652689524</v>
      </c>
      <c r="R49" s="18">
        <f t="shared" si="11"/>
        <v>12165.270331476504</v>
      </c>
      <c r="S49" s="18"/>
      <c r="T49" s="18">
        <f t="shared" si="3"/>
        <v>8963.6055642643078</v>
      </c>
      <c r="U49" s="18"/>
      <c r="X49" s="18">
        <f t="shared" si="16"/>
        <v>1412.1110061488234</v>
      </c>
      <c r="Y49" s="18"/>
      <c r="Z49" s="18">
        <f t="shared" si="17"/>
        <v>5556.062930735091</v>
      </c>
      <c r="AA49" s="18"/>
    </row>
    <row r="50" spans="2:27" x14ac:dyDescent="0.55000000000000004">
      <c r="B50" s="471">
        <v>44</v>
      </c>
      <c r="C50" s="3">
        <f>'A2 Discount'!E54</f>
        <v>0.23554200107793924</v>
      </c>
      <c r="D50" s="4">
        <f>'A2 Discount'!G54</f>
        <v>0.53498795002655386</v>
      </c>
      <c r="R50" s="18">
        <f t="shared" si="11"/>
        <v>11810.942069394663</v>
      </c>
      <c r="S50" s="18"/>
      <c r="T50" s="18">
        <f t="shared" si="3"/>
        <v>8702.5296740430167</v>
      </c>
      <c r="U50" s="18"/>
      <c r="X50" s="18">
        <f t="shared" si="16"/>
        <v>1370.9815593677897</v>
      </c>
      <c r="Y50" s="18"/>
      <c r="Z50" s="18">
        <f t="shared" si="17"/>
        <v>5394.235855082612</v>
      </c>
      <c r="AA50" s="18"/>
    </row>
    <row r="51" spans="2:27" x14ac:dyDescent="0.55000000000000004">
      <c r="B51" s="471">
        <v>45</v>
      </c>
      <c r="C51" s="3">
        <f>'A2 Discount'!E55</f>
        <v>0.2286815544446012</v>
      </c>
      <c r="D51" s="4">
        <f>'A2 Discount'!G55</f>
        <v>0.52819684769899533</v>
      </c>
      <c r="R51" s="18">
        <f t="shared" si="11"/>
        <v>11466.934047955983</v>
      </c>
      <c r="S51" s="18"/>
      <c r="T51" s="18">
        <f t="shared" si="3"/>
        <v>8449.0579359640942</v>
      </c>
      <c r="U51" s="18"/>
      <c r="X51" s="18">
        <f t="shared" si="16"/>
        <v>1331.0500576386307</v>
      </c>
      <c r="Y51" s="18"/>
      <c r="Z51" s="18">
        <f t="shared" si="17"/>
        <v>5237.1221894005939</v>
      </c>
      <c r="AA51" s="18"/>
    </row>
    <row r="52" spans="2:27" x14ac:dyDescent="0.55000000000000004">
      <c r="B52" s="471">
        <v>46</v>
      </c>
      <c r="C52" s="3">
        <f>'A2 Discount'!E56</f>
        <v>0.22202092664524387</v>
      </c>
      <c r="D52" s="4">
        <f>'A2 Discount'!G56</f>
        <v>0.52149195118377534</v>
      </c>
      <c r="R52" s="18">
        <f t="shared" si="11"/>
        <v>11132.945677627167</v>
      </c>
      <c r="S52" s="18"/>
      <c r="T52" s="18">
        <f t="shared" si="3"/>
        <v>8202.9688698680529</v>
      </c>
      <c r="U52" s="18"/>
      <c r="X52" s="18">
        <f t="shared" si="16"/>
        <v>1292.2816093578938</v>
      </c>
      <c r="Y52" s="18"/>
      <c r="Z52" s="18">
        <f t="shared" si="17"/>
        <v>5084.5846499034888</v>
      </c>
      <c r="AA52" s="18"/>
    </row>
    <row r="53" spans="2:27" x14ac:dyDescent="0.55000000000000004">
      <c r="B53" s="471">
        <v>47</v>
      </c>
      <c r="C53" s="3">
        <f>'A2 Discount'!E57</f>
        <v>0.215554297713829</v>
      </c>
      <c r="D53" s="4">
        <f>'A2 Discount'!G57</f>
        <v>0.51487216618990506</v>
      </c>
      <c r="R53" s="18">
        <f t="shared" si="11"/>
        <v>10808.685123909871</v>
      </c>
      <c r="S53" s="18"/>
      <c r="T53" s="18">
        <f t="shared" si="3"/>
        <v>7964.0474464738381</v>
      </c>
      <c r="U53" s="18"/>
      <c r="X53" s="18">
        <f t="shared" si="16"/>
        <v>1254.6423391824212</v>
      </c>
      <c r="Y53" s="18"/>
      <c r="Z53" s="18">
        <f t="shared" si="17"/>
        <v>4936.4899513626106</v>
      </c>
      <c r="AA53" s="18"/>
    </row>
    <row r="54" spans="2:27" x14ac:dyDescent="0.55000000000000004">
      <c r="B54" s="471">
        <v>48</v>
      </c>
      <c r="C54" s="3">
        <f>'A2 Discount'!E58</f>
        <v>0.20927601719789224</v>
      </c>
      <c r="D54" s="4">
        <f>'A2 Discount'!G58</f>
        <v>0.50833641231725457</v>
      </c>
      <c r="R54" s="18">
        <f t="shared" si="11"/>
        <v>10493.86905233968</v>
      </c>
      <c r="S54" s="18"/>
      <c r="T54" s="18">
        <f t="shared" si="3"/>
        <v>7732.084899489163</v>
      </c>
      <c r="U54" s="18"/>
      <c r="X54" s="18">
        <f t="shared" si="16"/>
        <v>1218.0993584295352</v>
      </c>
      <c r="Y54" s="18"/>
      <c r="Z54" s="18">
        <f t="shared" si="17"/>
        <v>4792.7086906433115</v>
      </c>
      <c r="AA54" s="18"/>
    </row>
    <row r="55" spans="2:27" x14ac:dyDescent="0.55000000000000004">
      <c r="B55" s="471">
        <v>49</v>
      </c>
      <c r="C55" s="3">
        <f>'A2 Discount'!E59</f>
        <v>0.20318059922125459</v>
      </c>
      <c r="D55" s="4">
        <f>'A2 Discount'!G59</f>
        <v>0.50188362288022315</v>
      </c>
      <c r="R55" s="18">
        <f>C55/C56*R56</f>
        <v>10188.22238091231</v>
      </c>
      <c r="S55" s="18"/>
      <c r="T55" s="18">
        <f t="shared" si="3"/>
        <v>7506.878543193362</v>
      </c>
      <c r="U55" s="18"/>
      <c r="X55" s="18">
        <f t="shared" si="16"/>
        <v>1182.6207363393546</v>
      </c>
      <c r="Y55" s="18"/>
      <c r="Z55" s="18">
        <f t="shared" si="17"/>
        <v>4653.115233634283</v>
      </c>
      <c r="AA55" s="18"/>
    </row>
    <row r="56" spans="2:27" x14ac:dyDescent="0.55000000000000004">
      <c r="B56" s="471">
        <v>50</v>
      </c>
      <c r="C56" s="3">
        <f>'A2 Discount'!E60</f>
        <v>0.19726271769053844</v>
      </c>
      <c r="D56" s="4">
        <f>'A2 Discount'!G60</f>
        <v>0.49551274473364765</v>
      </c>
      <c r="R56" s="18">
        <f t="shared" si="11"/>
        <v>9891.4780397206887</v>
      </c>
      <c r="S56" s="18"/>
      <c r="T56" s="18">
        <f t="shared" si="3"/>
        <v>7288.2315953333609</v>
      </c>
      <c r="U56" s="18"/>
      <c r="X56" s="18">
        <f t="shared" si="16"/>
        <v>1148.1754721741306</v>
      </c>
      <c r="Y56" s="18"/>
      <c r="Z56" s="18">
        <f t="shared" si="17"/>
        <v>4517.5876054701776</v>
      </c>
      <c r="AA56" s="18"/>
    </row>
    <row r="57" spans="2:27" x14ac:dyDescent="0.55000000000000004">
      <c r="B57" s="471">
        <v>51</v>
      </c>
      <c r="C57" s="3">
        <f>'A2 Discount'!E61</f>
        <v>0.19151720164129946</v>
      </c>
      <c r="D57" s="4">
        <f>'A2 Discount'!G61</f>
        <v>0.48922273810092148</v>
      </c>
      <c r="R57" s="18">
        <f t="shared" si="11"/>
        <v>9603.3767375929019</v>
      </c>
      <c r="S57" s="18"/>
      <c r="T57" s="18">
        <f t="shared" si="3"/>
        <v>7075.9530051780202</v>
      </c>
      <c r="U57" s="18"/>
      <c r="X57" s="18">
        <f t="shared" si="16"/>
        <v>1114.7334681302239</v>
      </c>
      <c r="Y57" s="18"/>
      <c r="Z57" s="18">
        <f t="shared" si="17"/>
        <v>4386.007383951629</v>
      </c>
      <c r="AA57" s="18"/>
    </row>
    <row r="58" spans="2:27" x14ac:dyDescent="0.55000000000000004">
      <c r="B58" s="471">
        <v>52</v>
      </c>
      <c r="C58" s="3">
        <f>'A2 Discount'!E62</f>
        <v>0.18593903071970821</v>
      </c>
      <c r="D58" s="4">
        <f>'A2 Discount'!G62</f>
        <v>0.48301257640429479</v>
      </c>
      <c r="R58" s="18">
        <f t="shared" si="11"/>
        <v>9323.6667355270893</v>
      </c>
      <c r="S58" s="18"/>
      <c r="T58" s="18">
        <f t="shared" si="3"/>
        <v>6869.8572865806018</v>
      </c>
      <c r="U58" s="18"/>
      <c r="X58" s="18">
        <f t="shared" si="16"/>
        <v>1082.2655030390522</v>
      </c>
      <c r="Y58" s="18"/>
      <c r="Z58" s="18">
        <f t="shared" si="17"/>
        <v>4258.2595960695426</v>
      </c>
      <c r="AA58" s="18"/>
    </row>
    <row r="59" spans="2:27" x14ac:dyDescent="0.55000000000000004">
      <c r="B59" s="471">
        <v>53</v>
      </c>
      <c r="C59" s="3">
        <f>'A2 Discount'!E63</f>
        <v>0.18052333079583321</v>
      </c>
      <c r="D59" s="4">
        <f>'A2 Discount'!G63</f>
        <v>0.47688124609732913</v>
      </c>
      <c r="R59" s="18">
        <f t="shared" si="11"/>
        <v>9052.1036267253294</v>
      </c>
      <c r="S59" s="18"/>
      <c r="T59" s="18">
        <f t="shared" si="3"/>
        <v>6669.7643559034968</v>
      </c>
      <c r="U59" s="18"/>
      <c r="X59" s="18">
        <f t="shared" si="16"/>
        <v>1050.7432068340313</v>
      </c>
      <c r="Y59" s="18"/>
      <c r="Z59" s="18">
        <f t="shared" si="17"/>
        <v>4134.2326175432454</v>
      </c>
      <c r="AA59" s="18"/>
    </row>
    <row r="60" spans="2:27" x14ac:dyDescent="0.55000000000000004">
      <c r="B60" s="471">
        <v>54</v>
      </c>
      <c r="C60" s="3">
        <f>'A2 Discount'!E64</f>
        <v>0.17526536970469245</v>
      </c>
      <c r="D60" s="4">
        <f>'A2 Discount'!G64</f>
        <v>0.47082774649947867</v>
      </c>
      <c r="R60" s="18">
        <f t="shared" si="11"/>
        <v>8788.4501230342994</v>
      </c>
      <c r="S60" s="18"/>
      <c r="T60" s="18">
        <f t="shared" si="3"/>
        <v>6475.4993746635892</v>
      </c>
      <c r="U60" s="18"/>
      <c r="X60" s="18">
        <f t="shared" si="16"/>
        <v>1020.1390357611954</v>
      </c>
      <c r="Y60" s="18"/>
      <c r="Z60" s="18">
        <f t="shared" si="17"/>
        <v>4013.8180752847038</v>
      </c>
      <c r="AA60" s="18"/>
    </row>
    <row r="61" spans="2:27" x14ac:dyDescent="0.55000000000000004">
      <c r="B61" s="471">
        <v>55</v>
      </c>
      <c r="C61" s="3">
        <f>'A2 Discount'!E65</f>
        <v>0.17016055311135189</v>
      </c>
      <c r="D61" s="4">
        <f>'A2 Discount'!G65</f>
        <v>0.46485108963277161</v>
      </c>
      <c r="R61" s="18">
        <f t="shared" si="11"/>
        <v>8532.4758476061161</v>
      </c>
      <c r="S61" s="18"/>
      <c r="T61" s="18">
        <f t="shared" si="3"/>
        <v>6286.8925967607656</v>
      </c>
      <c r="U61" s="18"/>
      <c r="X61" s="18">
        <f t="shared" si="16"/>
        <v>990.42624831184014</v>
      </c>
      <c r="Y61" s="18"/>
      <c r="Z61" s="18">
        <f t="shared" si="17"/>
        <v>3896.9107527035958</v>
      </c>
      <c r="AA61" s="18"/>
    </row>
    <row r="62" spans="2:27" x14ac:dyDescent="0.55000000000000004">
      <c r="B62" s="471">
        <v>56</v>
      </c>
      <c r="C62" s="3">
        <f>'A2 Discount'!E66</f>
        <v>0.16520442049645814</v>
      </c>
      <c r="D62" s="4">
        <f>'A2 Discount'!G66</f>
        <v>0.45895030006056431</v>
      </c>
      <c r="R62" s="18">
        <f t="shared" si="11"/>
        <v>8283.9571335981709</v>
      </c>
      <c r="S62" s="18"/>
      <c r="T62" s="18">
        <f t="shared" si="3"/>
        <v>6103.7792201560833</v>
      </c>
      <c r="U62" s="18"/>
      <c r="X62" s="18">
        <f t="shared" si="16"/>
        <v>961.57888185615548</v>
      </c>
      <c r="Y62" s="18"/>
      <c r="Z62" s="18">
        <f t="shared" si="17"/>
        <v>3783.4084977704811</v>
      </c>
      <c r="AA62" s="18"/>
    </row>
    <row r="63" spans="2:27" x14ac:dyDescent="0.55000000000000004">
      <c r="B63" s="471">
        <v>57</v>
      </c>
      <c r="C63" s="3">
        <f>'A2 Discount'!E67</f>
        <v>0.16039264125869723</v>
      </c>
      <c r="D63" s="4">
        <f>'A2 Discount'!G67</f>
        <v>0.45312441472834275</v>
      </c>
      <c r="R63" s="18">
        <f t="shared" si="11"/>
        <v>8042.6768287360874</v>
      </c>
      <c r="S63" s="18"/>
      <c r="T63" s="18">
        <f t="shared" si="3"/>
        <v>5925.9992428699834</v>
      </c>
      <c r="U63" s="18"/>
      <c r="X63" s="18">
        <f t="shared" si="16"/>
        <v>933.57172995743247</v>
      </c>
      <c r="Y63" s="18"/>
      <c r="Z63" s="18">
        <f t="shared" si="17"/>
        <v>3673.2121337577487</v>
      </c>
      <c r="AA63" s="18"/>
    </row>
    <row r="64" spans="2:27" x14ac:dyDescent="0.55000000000000004">
      <c r="B64" s="471">
        <v>58</v>
      </c>
      <c r="C64" s="3">
        <f>'A2 Discount'!E68</f>
        <v>0.15572101093077401</v>
      </c>
      <c r="D64" s="4">
        <f>'A2 Discount'!G68</f>
        <v>0.44737248280654429</v>
      </c>
      <c r="R64" s="18">
        <f t="shared" si="11"/>
        <v>7808.4241055690163</v>
      </c>
      <c r="S64" s="18"/>
      <c r="T64" s="18">
        <f t="shared" si="3"/>
        <v>5753.3973231747414</v>
      </c>
      <c r="U64" s="18"/>
      <c r="X64" s="18">
        <f t="shared" si="16"/>
        <v>906.38032034702178</v>
      </c>
      <c r="Y64" s="18"/>
      <c r="Z64" s="18">
        <f t="shared" si="17"/>
        <v>3566.2253725803384</v>
      </c>
      <c r="AA64" s="18"/>
    </row>
    <row r="65" spans="2:27" x14ac:dyDescent="0.55000000000000004">
      <c r="B65" s="471">
        <v>59</v>
      </c>
      <c r="C65" s="3">
        <f>'A2 Discount'!E69</f>
        <v>0.15118544750560584</v>
      </c>
      <c r="D65" s="4">
        <f>'A2 Discount'!G69</f>
        <v>0.44169356553537514</v>
      </c>
      <c r="R65" s="18">
        <f t="shared" si="11"/>
        <v>7580.9942772514723</v>
      </c>
      <c r="S65" s="18"/>
      <c r="T65" s="18">
        <f t="shared" si="3"/>
        <v>5585.8226438589718</v>
      </c>
      <c r="U65" s="18"/>
      <c r="X65" s="18">
        <f t="shared" si="16"/>
        <v>879.98089354079787</v>
      </c>
      <c r="Y65" s="18"/>
      <c r="Z65" s="18">
        <f t="shared" si="17"/>
        <v>3462.3547306605228</v>
      </c>
      <c r="AA65" s="18"/>
    </row>
    <row r="66" spans="2:27" x14ac:dyDescent="0.55000000000000004">
      <c r="B66" s="471">
        <v>60</v>
      </c>
      <c r="C66" s="3">
        <f>'A2 Discount'!E70</f>
        <v>0.14678198786952024</v>
      </c>
      <c r="D66" s="4">
        <f>'A2 Discount'!G70</f>
        <v>0.43608673607159743</v>
      </c>
      <c r="R66" s="18">
        <f t="shared" si="11"/>
        <v>7360.1886186907495</v>
      </c>
      <c r="S66" s="18"/>
      <c r="T66" s="18">
        <f t="shared" si="3"/>
        <v>5423.1287804456033</v>
      </c>
      <c r="U66" s="18"/>
      <c r="X66" s="18">
        <f t="shared" si="16"/>
        <v>854.35038207844445</v>
      </c>
      <c r="Y66" s="18"/>
      <c r="Z66" s="18">
        <f t="shared" si="17"/>
        <v>3361.5094472432261</v>
      </c>
      <c r="AA66" s="18"/>
    </row>
    <row r="67" spans="2:27" x14ac:dyDescent="0.55000000000000004">
      <c r="B67" s="471">
        <v>61</v>
      </c>
      <c r="C67" s="3">
        <f>'A2 Discount'!E71</f>
        <v>0.14250678433934003</v>
      </c>
      <c r="D67" s="4">
        <f>'A2 Discount'!G71</f>
        <v>0.43055107933726117</v>
      </c>
      <c r="R67" s="18">
        <f t="shared" si="11"/>
        <v>7145.8141929036401</v>
      </c>
      <c r="S67" s="18"/>
      <c r="T67" s="18">
        <f t="shared" si="3"/>
        <v>5265.1735732481584</v>
      </c>
      <c r="U67" s="18"/>
      <c r="X67" s="18">
        <f t="shared" si="16"/>
        <v>829.46639036742181</v>
      </c>
      <c r="Y67" s="18"/>
      <c r="Z67" s="18">
        <f t="shared" si="17"/>
        <v>3263.6014050905105</v>
      </c>
      <c r="AA67" s="18"/>
    </row>
    <row r="68" spans="2:27" x14ac:dyDescent="0.55000000000000004">
      <c r="B68" s="471">
        <v>62</v>
      </c>
      <c r="C68" s="3">
        <f>'A2 Discount'!E72</f>
        <v>0.13835610130033013</v>
      </c>
      <c r="D68" s="4">
        <f>'A2 Discount'!G72</f>
        <v>0.42508569187035655</v>
      </c>
      <c r="R68" s="18">
        <f t="shared" si="11"/>
        <v>6937.6836824307184</v>
      </c>
      <c r="S68" s="18"/>
      <c r="T68" s="18">
        <f t="shared" si="3"/>
        <v>5111.8190031535514</v>
      </c>
      <c r="U68" s="18"/>
      <c r="X68" s="18">
        <f t="shared" si="16"/>
        <v>805.30717511400178</v>
      </c>
      <c r="Y68" s="18"/>
      <c r="Z68" s="18">
        <f t="shared" si="17"/>
        <v>3168.5450534859324</v>
      </c>
      <c r="AA68" s="18"/>
    </row>
    <row r="69" spans="2:27" x14ac:dyDescent="0.55000000000000004">
      <c r="B69" s="471">
        <v>63</v>
      </c>
      <c r="C69" s="3">
        <f>'A2 Discount'!E73</f>
        <v>0.13432631194206809</v>
      </c>
      <c r="D69" s="4">
        <f>'A2 Discount'!G73</f>
        <v>0.41968968167736187</v>
      </c>
      <c r="R69" s="18">
        <f t="shared" si="11"/>
        <v>6735.6152256608912</v>
      </c>
      <c r="S69" s="18"/>
      <c r="T69" s="18">
        <f t="shared" si="3"/>
        <v>4962.9310710228656</v>
      </c>
      <c r="U69" s="18"/>
      <c r="X69" s="18">
        <f t="shared" si="16"/>
        <v>781.85162632427352</v>
      </c>
      <c r="Y69" s="18"/>
      <c r="Z69" s="18">
        <f t="shared" si="17"/>
        <v>3076.2573334814879</v>
      </c>
      <c r="AA69" s="18"/>
    </row>
    <row r="70" spans="2:27" x14ac:dyDescent="0.55000000000000004">
      <c r="B70" s="471">
        <v>64</v>
      </c>
      <c r="C70" s="3">
        <f>'A2 Discount'!E74</f>
        <v>0.1304138950893865</v>
      </c>
      <c r="D70" s="4">
        <f>'A2 Discount'!G74</f>
        <v>0.4143621680876633</v>
      </c>
      <c r="R70" s="18">
        <f t="shared" ref="R70:R80" si="21">C70/C71*R71</f>
        <v>6539.4322579231948</v>
      </c>
      <c r="S70" s="18"/>
      <c r="T70" s="18">
        <f t="shared" ref="T70:T80" si="22">C70/C71*T71</f>
        <v>4818.3796806047239</v>
      </c>
      <c r="U70" s="18"/>
      <c r="X70" s="18">
        <f t="shared" si="16"/>
        <v>759.07924885851799</v>
      </c>
      <c r="Y70" s="18"/>
      <c r="Z70" s="18">
        <f t="shared" si="17"/>
        <v>2986.6576053218328</v>
      </c>
      <c r="AA70" s="18"/>
    </row>
    <row r="71" spans="2:27" x14ac:dyDescent="0.55000000000000004">
      <c r="B71" s="471">
        <v>65</v>
      </c>
      <c r="C71" s="3">
        <f>'A2 Discount'!E75</f>
        <v>0.12661543212561796</v>
      </c>
      <c r="D71" s="4">
        <f>'A2 Discount'!G75</f>
        <v>0.4091022816098227</v>
      </c>
      <c r="R71" s="18">
        <f t="shared" si="21"/>
        <v>6348.9633572069852</v>
      </c>
      <c r="S71" s="18"/>
      <c r="T71" s="18">
        <f t="shared" si="22"/>
        <v>4678.0385248589555</v>
      </c>
      <c r="U71" s="18"/>
      <c r="X71" s="18">
        <f t="shared" ref="X71:X81" si="23">$C71/$C72*X72</f>
        <v>736.97014452283292</v>
      </c>
      <c r="Y71" s="18"/>
      <c r="Z71" s="18">
        <f t="shared" ref="Z71:Z81" si="24">C71/C72*Z72</f>
        <v>2899.6675779823618</v>
      </c>
      <c r="AA71" s="18"/>
    </row>
    <row r="72" spans="2:27" x14ac:dyDescent="0.55000000000000004">
      <c r="B72" s="471">
        <v>66</v>
      </c>
      <c r="C72" s="3">
        <f>'A2 Discount'!E76</f>
        <v>0.12292760400545433</v>
      </c>
      <c r="D72" s="4">
        <f>'A2 Discount'!G76</f>
        <v>0.40390916378966979</v>
      </c>
      <c r="R72" s="18">
        <f t="shared" si="21"/>
        <v>6164.0420943757135</v>
      </c>
      <c r="S72" s="18"/>
      <c r="T72" s="18">
        <f t="shared" si="22"/>
        <v>4541.7849755912184</v>
      </c>
      <c r="U72" s="18"/>
      <c r="X72" s="18">
        <f t="shared" si="23"/>
        <v>715.50499468236205</v>
      </c>
      <c r="Y72" s="18"/>
      <c r="Z72" s="18">
        <f t="shared" si="24"/>
        <v>2815.2112407595746</v>
      </c>
      <c r="AA72" s="18"/>
    </row>
    <row r="73" spans="2:27" x14ac:dyDescent="0.55000000000000004">
      <c r="B73" s="471">
        <v>67</v>
      </c>
      <c r="C73" s="3">
        <f>'A2 Discount'!E77</f>
        <v>0.11934718835481002</v>
      </c>
      <c r="D73" s="4">
        <f>'A2 Discount'!G77</f>
        <v>0.39878196707019581</v>
      </c>
      <c r="R73" s="18">
        <f t="shared" si="21"/>
        <v>5984.5068877434114</v>
      </c>
      <c r="S73" s="18"/>
      <c r="T73" s="18">
        <f t="shared" si="22"/>
        <v>4409.4999763021533</v>
      </c>
      <c r="U73" s="18"/>
      <c r="X73" s="18">
        <f t="shared" si="23"/>
        <v>694.66504338093398</v>
      </c>
      <c r="Y73" s="18"/>
      <c r="Z73" s="18">
        <f t="shared" si="24"/>
        <v>2733.2147968539557</v>
      </c>
      <c r="AA73" s="18"/>
    </row>
    <row r="74" spans="2:27" x14ac:dyDescent="0.55000000000000004">
      <c r="B74" s="471">
        <v>68</v>
      </c>
      <c r="C74" s="3">
        <f>'A2 Discount'!E78</f>
        <v>0.11587105665515536</v>
      </c>
      <c r="D74" s="4">
        <f>'A2 Discount'!G78</f>
        <v>0.39371985465322573</v>
      </c>
      <c r="R74" s="18">
        <f t="shared" si="21"/>
        <v>5810.2008618868067</v>
      </c>
      <c r="S74" s="18"/>
      <c r="T74" s="18">
        <f t="shared" si="22"/>
        <v>4281.06793815743</v>
      </c>
      <c r="U74" s="18"/>
      <c r="X74" s="18">
        <f t="shared" si="23"/>
        <v>674.43208095236309</v>
      </c>
      <c r="Y74" s="18"/>
      <c r="Z74" s="18">
        <f t="shared" si="24"/>
        <v>2653.6065988873356</v>
      </c>
      <c r="AA74" s="18"/>
    </row>
    <row r="75" spans="2:27" x14ac:dyDescent="0.55000000000000004">
      <c r="B75" s="471">
        <v>69</v>
      </c>
      <c r="C75" s="3">
        <f>'A2 Discount'!E79</f>
        <v>0.11249617150985958</v>
      </c>
      <c r="D75" s="4">
        <f>'A2 Discount'!G79</f>
        <v>0.38872200036284627</v>
      </c>
      <c r="R75" s="18">
        <f t="shared" si="21"/>
        <v>5640.9717105697155</v>
      </c>
      <c r="S75" s="18"/>
      <c r="T75" s="18">
        <f t="shared" si="22"/>
        <v>4156.3766389877965</v>
      </c>
      <c r="U75" s="18"/>
      <c r="X75" s="18">
        <f t="shared" si="23"/>
        <v>654.78842810909032</v>
      </c>
      <c r="Y75" s="18"/>
      <c r="Z75" s="18">
        <f t="shared" si="24"/>
        <v>2576.3170862983839</v>
      </c>
      <c r="AA75" s="18"/>
    </row>
    <row r="76" spans="2:27" x14ac:dyDescent="0.55000000000000004">
      <c r="B76" s="471">
        <v>70</v>
      </c>
      <c r="C76" s="3">
        <f>'A2 Discount'!E80</f>
        <v>0.10921958399015493</v>
      </c>
      <c r="D76" s="4">
        <f>'A2 Discount'!G80</f>
        <v>0.38378758851056755</v>
      </c>
      <c r="R76" s="18">
        <f t="shared" si="21"/>
        <v>5476.6715636599174</v>
      </c>
      <c r="S76" s="18"/>
      <c r="T76" s="18">
        <f t="shared" si="22"/>
        <v>4035.3171252308703</v>
      </c>
      <c r="U76" s="18"/>
      <c r="X76" s="18">
        <f t="shared" si="23"/>
        <v>635.71692049426247</v>
      </c>
      <c r="Y76" s="18"/>
      <c r="Z76" s="18">
        <f t="shared" si="24"/>
        <v>2501.2787245615377</v>
      </c>
      <c r="AA76" s="18"/>
    </row>
    <row r="77" spans="2:27" x14ac:dyDescent="0.55000000000000004">
      <c r="B77" s="471">
        <v>71</v>
      </c>
      <c r="C77" s="3">
        <f>'A2 Discount'!E81</f>
        <v>0.10603843105840284</v>
      </c>
      <c r="D77" s="4">
        <f>'A2 Discount'!G81</f>
        <v>0.37891581376219641</v>
      </c>
      <c r="R77" s="18">
        <f t="shared" si="21"/>
        <v>5317.1568579222494</v>
      </c>
      <c r="S77" s="18"/>
      <c r="T77" s="18">
        <f t="shared" si="22"/>
        <v>3917.7836167290002</v>
      </c>
      <c r="U77" s="18"/>
      <c r="X77" s="18">
        <f t="shared" si="23"/>
        <v>617.20089368375</v>
      </c>
      <c r="Y77" s="18"/>
      <c r="Z77" s="18">
        <f t="shared" si="24"/>
        <v>2428.4259461762504</v>
      </c>
      <c r="AA77" s="18"/>
    </row>
    <row r="78" spans="2:27" x14ac:dyDescent="0.55000000000000004">
      <c r="B78" s="471">
        <v>72</v>
      </c>
      <c r="C78" s="3">
        <f>'A2 Discount'!E82</f>
        <v>0.10294993306641052</v>
      </c>
      <c r="D78" s="4">
        <f>'A2 Discount'!G82</f>
        <v>0.3741058810063998</v>
      </c>
      <c r="R78" s="18">
        <f t="shared" si="21"/>
        <v>5162.288211574999</v>
      </c>
      <c r="S78" s="18"/>
      <c r="T78" s="18">
        <f t="shared" si="22"/>
        <v>3803.6734142999999</v>
      </c>
      <c r="U78" s="18"/>
      <c r="X78" s="18">
        <f t="shared" si="23"/>
        <v>599.22416862499995</v>
      </c>
      <c r="Y78" s="18"/>
      <c r="Z78" s="18">
        <f t="shared" si="24"/>
        <v>2357.6950933750004</v>
      </c>
      <c r="AA78" s="18"/>
    </row>
    <row r="79" spans="2:27" x14ac:dyDescent="0.55000000000000004">
      <c r="B79" s="471">
        <v>73</v>
      </c>
      <c r="C79" s="3">
        <f>'A2 Discount'!E83</f>
        <v>9.9951391326612155E-2</v>
      </c>
      <c r="D79" s="4">
        <f>'A2 Discount'!G83</f>
        <v>0.36935700522493631</v>
      </c>
      <c r="R79" s="18">
        <f t="shared" si="21"/>
        <v>5011.930302499999</v>
      </c>
      <c r="S79" s="18"/>
      <c r="T79" s="18">
        <f t="shared" si="22"/>
        <v>3692.88681</v>
      </c>
      <c r="U79" s="18"/>
      <c r="X79" s="18">
        <f t="shared" si="23"/>
        <v>581.77103749999992</v>
      </c>
      <c r="Y79" s="18"/>
      <c r="Z79" s="18">
        <f t="shared" si="24"/>
        <v>2289.0243625000003</v>
      </c>
      <c r="AA79" s="18"/>
    </row>
    <row r="80" spans="2:27" x14ac:dyDescent="0.55000000000000004">
      <c r="B80" s="471">
        <v>74</v>
      </c>
      <c r="C80" s="3">
        <f>'A2 Discount'!E84</f>
        <v>9.7040185753992383E-2</v>
      </c>
      <c r="D80" s="4">
        <f>'A2 Discount'!G84</f>
        <v>0.36466841136453515</v>
      </c>
      <c r="R80" s="18">
        <f t="shared" si="21"/>
        <v>4865.9517499999993</v>
      </c>
      <c r="S80" s="18"/>
      <c r="T80" s="18">
        <f t="shared" si="22"/>
        <v>3585.3269999999998</v>
      </c>
      <c r="U80" s="18"/>
      <c r="X80" s="18">
        <f t="shared" si="23"/>
        <v>564.82624999999996</v>
      </c>
      <c r="Y80" s="18"/>
      <c r="Z80" s="18">
        <f t="shared" si="24"/>
        <v>2222.3537500000002</v>
      </c>
      <c r="AA80" s="18"/>
    </row>
    <row r="81" spans="2:27" x14ac:dyDescent="0.55000000000000004">
      <c r="B81" s="471">
        <v>75</v>
      </c>
      <c r="C81" s="3">
        <f>'A2 Discount'!E85</f>
        <v>9.4213772576691626E-2</v>
      </c>
      <c r="D81" s="4">
        <f>'A2 Discount'!G85</f>
        <v>0.36003933421040141</v>
      </c>
      <c r="R81" s="18">
        <f>C81/C82*R82</f>
        <v>4724.2249999999995</v>
      </c>
      <c r="S81" s="18"/>
      <c r="T81" s="18">
        <f>C81/C82*T82</f>
        <v>3480.8999999999996</v>
      </c>
      <c r="U81" s="18"/>
      <c r="X81" s="18">
        <f t="shared" si="23"/>
        <v>548.375</v>
      </c>
      <c r="Y81" s="18"/>
      <c r="Z81" s="18">
        <f t="shared" si="24"/>
        <v>2157.625</v>
      </c>
      <c r="AA81" s="18"/>
    </row>
    <row r="82" spans="2:27" x14ac:dyDescent="0.55000000000000004">
      <c r="B82" s="471">
        <v>76</v>
      </c>
      <c r="C82" s="3">
        <f>'A2 Discount'!E86</f>
        <v>9.1915875684577208E-2</v>
      </c>
      <c r="D82" s="4">
        <f>'A2 Discount'!G86</f>
        <v>0.35622266282301202</v>
      </c>
      <c r="R82" s="18">
        <v>4609</v>
      </c>
      <c r="S82" s="18"/>
      <c r="T82" s="18">
        <v>3396</v>
      </c>
      <c r="U82" s="18"/>
      <c r="X82" s="18">
        <v>535</v>
      </c>
      <c r="Y82" s="18"/>
      <c r="Z82" s="18">
        <v>2105</v>
      </c>
      <c r="AA82" s="18"/>
    </row>
    <row r="83" spans="2:27" x14ac:dyDescent="0.55000000000000004">
      <c r="B83" s="471">
        <v>77</v>
      </c>
      <c r="C83" s="3">
        <f>'A2 Discount'!E87</f>
        <v>8.9674025058124107E-2</v>
      </c>
      <c r="D83" s="4">
        <f>'A2 Discount'!G87</f>
        <v>0.35244645084962323</v>
      </c>
    </row>
    <row r="84" spans="2:27" x14ac:dyDescent="0.55000000000000004">
      <c r="B84" s="471">
        <v>78</v>
      </c>
      <c r="C84" s="3">
        <f>'A2 Discount'!E88</f>
        <v>8.7486853715243035E-2</v>
      </c>
      <c r="D84" s="4">
        <f>'A2 Discount'!G88</f>
        <v>0.3487102693918534</v>
      </c>
    </row>
    <row r="85" spans="2:27" x14ac:dyDescent="0.55000000000000004">
      <c r="B85" s="471">
        <v>79</v>
      </c>
      <c r="C85" s="3">
        <f>'A2 Discount'!E89</f>
        <v>8.5353028014871254E-2</v>
      </c>
      <c r="D85" s="4">
        <f>'A2 Discount'!G89</f>
        <v>0.34501369409794685</v>
      </c>
    </row>
    <row r="86" spans="2:27" x14ac:dyDescent="0.55000000000000004">
      <c r="B86" s="471">
        <v>80</v>
      </c>
      <c r="C86" s="3">
        <f>'A2 Discount'!E90</f>
        <v>8.3271246843776847E-2</v>
      </c>
      <c r="D86" s="4">
        <f>'A2 Discount'!G90</f>
        <v>0.34135630511457643</v>
      </c>
    </row>
    <row r="87" spans="2:27" x14ac:dyDescent="0.55000000000000004">
      <c r="B87" s="471"/>
      <c r="C87" s="3"/>
      <c r="D87" s="4"/>
    </row>
    <row r="88" spans="2:27" x14ac:dyDescent="0.55000000000000004">
      <c r="B88" s="471"/>
      <c r="C88" s="3"/>
      <c r="D88" s="4"/>
    </row>
  </sheetData>
  <mergeCells count="20">
    <mergeCell ref="Z3:AA3"/>
    <mergeCell ref="Z4:AA4"/>
    <mergeCell ref="V4:W4"/>
    <mergeCell ref="X4:Y4"/>
    <mergeCell ref="N2:S2"/>
    <mergeCell ref="V2:Y2"/>
    <mergeCell ref="V3:W3"/>
    <mergeCell ref="X3:Y3"/>
    <mergeCell ref="R3:S3"/>
    <mergeCell ref="R4:S4"/>
    <mergeCell ref="P3:Q3"/>
    <mergeCell ref="P4:Q4"/>
    <mergeCell ref="T3:U3"/>
    <mergeCell ref="T4:U4"/>
    <mergeCell ref="I3:J3"/>
    <mergeCell ref="K3:L3"/>
    <mergeCell ref="K4:L4"/>
    <mergeCell ref="I4:J4"/>
    <mergeCell ref="N4:O4"/>
    <mergeCell ref="N3:O3"/>
  </mergeCells>
  <hyperlinks>
    <hyperlink ref="G22" r:id="rId1" xr:uid="{C5027A84-AB8E-4298-9BB0-4B4D47987A3B}"/>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1EED9-E58B-49CC-8BE4-F42CA7384CE0}">
  <sheetPr codeName="Sheet15"/>
  <dimension ref="C2:H40"/>
  <sheetViews>
    <sheetView topLeftCell="A12" workbookViewId="0">
      <selection activeCell="H35" sqref="H35"/>
    </sheetView>
  </sheetViews>
  <sheetFormatPr defaultRowHeight="14.4" x14ac:dyDescent="0.55000000000000004"/>
  <cols>
    <col min="3" max="3" width="18" bestFit="1" customWidth="1"/>
    <col min="4" max="4" width="16.7890625" customWidth="1"/>
    <col min="7" max="7" width="18" bestFit="1" customWidth="1"/>
    <col min="8" max="8" width="16.5234375" customWidth="1"/>
  </cols>
  <sheetData>
    <row r="2" spans="3:3" x14ac:dyDescent="0.55000000000000004">
      <c r="C2" s="31" t="s">
        <v>738</v>
      </c>
    </row>
    <row r="34" spans="3:8" ht="15.3" x14ac:dyDescent="0.55000000000000004">
      <c r="C34" t="s">
        <v>739</v>
      </c>
      <c r="D34" s="38" t="s">
        <v>740</v>
      </c>
      <c r="H34" s="22" t="s">
        <v>741</v>
      </c>
    </row>
    <row r="35" spans="3:8" x14ac:dyDescent="0.55000000000000004">
      <c r="C35" t="s">
        <v>742</v>
      </c>
      <c r="D35">
        <v>0.77310000000000001</v>
      </c>
    </row>
    <row r="37" spans="3:8" x14ac:dyDescent="0.55000000000000004">
      <c r="C37" t="s">
        <v>743</v>
      </c>
      <c r="D37" s="37">
        <f>2978*D35</f>
        <v>2302.2918</v>
      </c>
    </row>
    <row r="38" spans="3:8" x14ac:dyDescent="0.55000000000000004">
      <c r="C38" t="s">
        <v>326</v>
      </c>
      <c r="D38" s="37">
        <f>13573*D35</f>
        <v>10493.2863</v>
      </c>
    </row>
    <row r="39" spans="3:8" x14ac:dyDescent="0.55000000000000004">
      <c r="C39" t="s">
        <v>328</v>
      </c>
      <c r="D39" s="37">
        <f>1055*D35</f>
        <v>815.62049999999999</v>
      </c>
    </row>
    <row r="40" spans="3:8" x14ac:dyDescent="0.55000000000000004">
      <c r="C40" t="s">
        <v>330</v>
      </c>
      <c r="D40" s="37">
        <f>4549*D35</f>
        <v>3516.8319000000001</v>
      </c>
    </row>
  </sheetData>
  <hyperlinks>
    <hyperlink ref="H34" r:id="rId1" xr:uid="{C44FBA81-6B9E-4CEE-A27B-173379B8CAE7}"/>
  </hyperlinks>
  <pageMargins left="0.7" right="0.7" top="0.75" bottom="0.75" header="0.3" footer="0.3"/>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77A5E-61BB-40E9-BE2B-EEE783837B56}">
  <sheetPr codeName="Sheet16"/>
  <dimension ref="B2:R52"/>
  <sheetViews>
    <sheetView zoomScaleNormal="100" workbookViewId="0">
      <selection activeCell="I19" sqref="I19"/>
    </sheetView>
  </sheetViews>
  <sheetFormatPr defaultRowHeight="14.4" x14ac:dyDescent="0.55000000000000004"/>
  <cols>
    <col min="1" max="1" width="6.7890625" customWidth="1"/>
    <col min="2" max="2" width="9.5234375" bestFit="1" customWidth="1"/>
    <col min="3" max="4" width="6.7890625" customWidth="1"/>
    <col min="5" max="5" width="43.5234375" customWidth="1"/>
    <col min="6" max="6" width="30.20703125" customWidth="1"/>
    <col min="7" max="7" width="23.41796875" bestFit="1" customWidth="1"/>
    <col min="8" max="8" width="23.41796875" customWidth="1"/>
    <col min="9" max="9" width="20.20703125" customWidth="1"/>
    <col min="10" max="10" width="30" bestFit="1" customWidth="1"/>
    <col min="11" max="11" width="20.5234375" customWidth="1"/>
    <col min="12" max="16" width="19" customWidth="1"/>
    <col min="17" max="17" width="16.20703125" customWidth="1"/>
    <col min="18" max="18" width="10.20703125" bestFit="1" customWidth="1"/>
    <col min="19" max="31" width="6.7890625" customWidth="1"/>
  </cols>
  <sheetData>
    <row r="2" spans="5:18" x14ac:dyDescent="0.55000000000000004">
      <c r="E2" s="745" t="s">
        <v>744</v>
      </c>
      <c r="F2" s="745" t="s">
        <v>745</v>
      </c>
      <c r="G2" s="745"/>
      <c r="H2" s="473"/>
      <c r="I2" s="745" t="s">
        <v>746</v>
      </c>
      <c r="J2" s="745"/>
      <c r="K2" s="745"/>
      <c r="L2" s="745"/>
      <c r="M2" s="745"/>
      <c r="N2" s="745"/>
      <c r="O2" s="745" t="s">
        <v>405</v>
      </c>
      <c r="P2" s="745"/>
      <c r="Q2" s="745" t="s">
        <v>747</v>
      </c>
    </row>
    <row r="3" spans="5:18" x14ac:dyDescent="0.55000000000000004">
      <c r="E3" s="745"/>
      <c r="F3" s="745"/>
      <c r="G3" s="745"/>
      <c r="H3" s="473"/>
      <c r="I3" s="745"/>
      <c r="J3" s="745"/>
      <c r="K3" s="745"/>
      <c r="L3" s="745"/>
      <c r="M3" s="745"/>
      <c r="N3" s="745"/>
      <c r="O3" s="745"/>
      <c r="P3" s="745"/>
      <c r="Q3" s="745"/>
    </row>
    <row r="4" spans="5:18" ht="28.8" x14ac:dyDescent="0.55000000000000004">
      <c r="E4" s="745"/>
      <c r="F4" s="6" t="s">
        <v>748</v>
      </c>
      <c r="G4" s="6" t="s">
        <v>749</v>
      </c>
      <c r="H4" s="6"/>
      <c r="I4" s="7" t="s">
        <v>750</v>
      </c>
      <c r="J4" s="6" t="s">
        <v>751</v>
      </c>
      <c r="K4" s="6" t="s">
        <v>395</v>
      </c>
      <c r="L4" s="6" t="s">
        <v>752</v>
      </c>
      <c r="M4" s="6"/>
      <c r="N4" s="6" t="s">
        <v>753</v>
      </c>
      <c r="O4" s="6" t="s">
        <v>754</v>
      </c>
      <c r="P4" s="6" t="s">
        <v>755</v>
      </c>
      <c r="Q4" s="745"/>
    </row>
    <row r="5" spans="5:18" x14ac:dyDescent="0.55000000000000004">
      <c r="E5" s="8" t="s">
        <v>307</v>
      </c>
      <c r="F5" s="9"/>
      <c r="G5" s="9"/>
      <c r="H5" s="9"/>
      <c r="I5" s="9"/>
      <c r="J5" s="9"/>
      <c r="K5" s="9"/>
      <c r="L5" s="9"/>
      <c r="M5" s="9"/>
      <c r="N5" s="9"/>
      <c r="O5" s="9"/>
      <c r="P5" s="9"/>
      <c r="Q5" s="9"/>
    </row>
    <row r="6" spans="5:18" x14ac:dyDescent="0.55000000000000004">
      <c r="E6" s="9" t="s">
        <v>756</v>
      </c>
      <c r="F6" s="10">
        <v>61060</v>
      </c>
      <c r="G6" s="10">
        <v>10</v>
      </c>
      <c r="H6" s="10"/>
      <c r="I6" s="11" t="s">
        <v>429</v>
      </c>
      <c r="J6" s="10">
        <v>2082430</v>
      </c>
      <c r="K6" s="10">
        <v>254710</v>
      </c>
      <c r="L6" s="10">
        <v>1110</v>
      </c>
      <c r="M6" s="10"/>
      <c r="N6" s="10">
        <v>5480</v>
      </c>
      <c r="O6" s="10">
        <v>11960</v>
      </c>
      <c r="P6" s="10">
        <v>800980</v>
      </c>
      <c r="Q6" s="10">
        <v>3217740</v>
      </c>
      <c r="R6" s="260">
        <f>SUM(N6:P6,J6:L6,F6:G6)</f>
        <v>3217740</v>
      </c>
    </row>
    <row r="7" spans="5:18" x14ac:dyDescent="0.55000000000000004">
      <c r="E7" s="9" t="s">
        <v>757</v>
      </c>
      <c r="F7" s="10">
        <v>330</v>
      </c>
      <c r="G7" s="10">
        <v>10</v>
      </c>
      <c r="H7" s="10"/>
      <c r="I7" s="11" t="s">
        <v>429</v>
      </c>
      <c r="J7" s="10">
        <v>8240</v>
      </c>
      <c r="K7" s="10">
        <v>2060</v>
      </c>
      <c r="L7" s="10">
        <v>920</v>
      </c>
      <c r="M7" s="10"/>
      <c r="N7" s="10">
        <v>0</v>
      </c>
      <c r="O7" s="10">
        <v>1130</v>
      </c>
      <c r="P7" s="10">
        <v>1370</v>
      </c>
      <c r="Q7" s="10">
        <v>14050</v>
      </c>
    </row>
    <row r="8" spans="5:18" x14ac:dyDescent="0.55000000000000004">
      <c r="E8" s="9" t="s">
        <v>758</v>
      </c>
      <c r="F8" s="10">
        <v>110</v>
      </c>
      <c r="G8" s="10">
        <v>10</v>
      </c>
      <c r="H8" s="10"/>
      <c r="I8" s="11" t="s">
        <v>429</v>
      </c>
      <c r="J8" s="10">
        <v>2810</v>
      </c>
      <c r="K8" s="10">
        <v>670</v>
      </c>
      <c r="L8" s="10">
        <v>270</v>
      </c>
      <c r="M8" s="10"/>
      <c r="N8" s="10">
        <v>10</v>
      </c>
      <c r="O8" s="10">
        <v>810</v>
      </c>
      <c r="P8" s="10">
        <v>1250</v>
      </c>
      <c r="Q8" s="10">
        <v>5930</v>
      </c>
    </row>
    <row r="9" spans="5:18" x14ac:dyDescent="0.55000000000000004">
      <c r="E9" s="9" t="s">
        <v>759</v>
      </c>
      <c r="F9" s="10">
        <v>970</v>
      </c>
      <c r="G9" s="10">
        <v>10</v>
      </c>
      <c r="H9" s="10"/>
      <c r="I9" s="11" t="s">
        <v>429</v>
      </c>
      <c r="J9" s="10">
        <v>24390</v>
      </c>
      <c r="K9" s="10">
        <v>5900</v>
      </c>
      <c r="L9" s="10">
        <v>1110</v>
      </c>
      <c r="M9" s="10"/>
      <c r="N9" s="10">
        <v>40</v>
      </c>
      <c r="O9" s="10">
        <v>6360</v>
      </c>
      <c r="P9" s="10">
        <v>580</v>
      </c>
      <c r="Q9" s="10">
        <v>39360</v>
      </c>
    </row>
    <row r="10" spans="5:18" x14ac:dyDescent="0.55000000000000004">
      <c r="E10" s="9" t="s">
        <v>760</v>
      </c>
      <c r="F10" s="10">
        <v>150</v>
      </c>
      <c r="G10" s="10">
        <v>10</v>
      </c>
      <c r="H10" s="10"/>
      <c r="I10" s="11" t="s">
        <v>429</v>
      </c>
      <c r="J10" s="10">
        <v>3700</v>
      </c>
      <c r="K10" s="10">
        <v>1120</v>
      </c>
      <c r="L10" s="10">
        <v>390</v>
      </c>
      <c r="M10" s="10"/>
      <c r="N10" s="10">
        <v>10</v>
      </c>
      <c r="O10" s="10">
        <v>570</v>
      </c>
      <c r="P10" s="10">
        <v>580</v>
      </c>
      <c r="Q10" s="10">
        <v>6520</v>
      </c>
    </row>
    <row r="11" spans="5:18" x14ac:dyDescent="0.55000000000000004">
      <c r="E11" s="9" t="s">
        <v>140</v>
      </c>
      <c r="F11" s="10">
        <v>190</v>
      </c>
      <c r="G11" s="10">
        <v>140</v>
      </c>
      <c r="H11" s="10"/>
      <c r="I11" s="10">
        <v>1030</v>
      </c>
      <c r="J11" s="10">
        <v>3590</v>
      </c>
      <c r="K11" s="10">
        <v>920</v>
      </c>
      <c r="L11" s="10">
        <v>760</v>
      </c>
      <c r="M11" s="10"/>
      <c r="N11" s="10">
        <v>10</v>
      </c>
      <c r="O11" s="10">
        <v>1010</v>
      </c>
      <c r="P11" s="10">
        <v>3670</v>
      </c>
      <c r="Q11" s="10">
        <v>11320</v>
      </c>
    </row>
    <row r="12" spans="5:18" x14ac:dyDescent="0.55000000000000004">
      <c r="E12" s="9" t="s">
        <v>761</v>
      </c>
      <c r="F12" s="10">
        <v>320</v>
      </c>
      <c r="G12" s="10">
        <v>390</v>
      </c>
      <c r="H12" s="10"/>
      <c r="I12" s="10">
        <v>1400</v>
      </c>
      <c r="J12" s="10">
        <v>1190</v>
      </c>
      <c r="K12" s="10">
        <v>440</v>
      </c>
      <c r="L12" s="10">
        <v>380</v>
      </c>
      <c r="M12" s="10"/>
      <c r="N12" s="10">
        <v>0</v>
      </c>
      <c r="O12" s="10">
        <v>530</v>
      </c>
      <c r="P12" s="10">
        <v>1270</v>
      </c>
      <c r="Q12" s="10">
        <v>5930</v>
      </c>
    </row>
    <row r="13" spans="5:18" x14ac:dyDescent="0.55000000000000004">
      <c r="E13" s="9" t="s">
        <v>762</v>
      </c>
      <c r="F13" s="10">
        <v>1010</v>
      </c>
      <c r="G13" s="10">
        <v>720</v>
      </c>
      <c r="H13" s="10"/>
      <c r="I13" s="10">
        <v>4140</v>
      </c>
      <c r="J13" s="10">
        <v>270</v>
      </c>
      <c r="K13" s="10">
        <v>150</v>
      </c>
      <c r="L13" s="10">
        <v>100</v>
      </c>
      <c r="M13" s="10"/>
      <c r="N13" s="10">
        <v>0</v>
      </c>
      <c r="O13" s="10">
        <v>2030</v>
      </c>
      <c r="P13" s="10">
        <v>1870</v>
      </c>
      <c r="Q13" s="10">
        <v>10290</v>
      </c>
    </row>
    <row r="14" spans="5:18" x14ac:dyDescent="0.55000000000000004">
      <c r="E14" s="9" t="s">
        <v>763</v>
      </c>
      <c r="F14" s="10">
        <v>110</v>
      </c>
      <c r="G14" s="10">
        <v>0</v>
      </c>
      <c r="H14" s="10"/>
      <c r="I14" s="10">
        <v>350</v>
      </c>
      <c r="J14" s="10">
        <v>140</v>
      </c>
      <c r="K14" s="10">
        <v>60</v>
      </c>
      <c r="L14" s="10">
        <v>40</v>
      </c>
      <c r="M14" s="10"/>
      <c r="N14" s="10">
        <v>0</v>
      </c>
      <c r="O14" s="10">
        <v>80</v>
      </c>
      <c r="P14" s="10">
        <v>100</v>
      </c>
      <c r="Q14" s="10">
        <v>870</v>
      </c>
    </row>
    <row r="15" spans="5:18" x14ac:dyDescent="0.55000000000000004">
      <c r="E15" s="9" t="s">
        <v>764</v>
      </c>
      <c r="F15" s="10">
        <v>20</v>
      </c>
      <c r="G15" s="10">
        <v>0</v>
      </c>
      <c r="H15" s="10"/>
      <c r="I15" s="10">
        <v>180</v>
      </c>
      <c r="J15" s="10">
        <v>410</v>
      </c>
      <c r="K15" s="10">
        <v>120</v>
      </c>
      <c r="L15" s="10">
        <v>210</v>
      </c>
      <c r="M15" s="10"/>
      <c r="N15" s="10">
        <v>0</v>
      </c>
      <c r="O15" s="10">
        <v>40</v>
      </c>
      <c r="P15" s="10">
        <v>390</v>
      </c>
      <c r="Q15" s="10">
        <v>1380</v>
      </c>
    </row>
    <row r="16" spans="5:18" x14ac:dyDescent="0.55000000000000004">
      <c r="E16" s="9" t="s">
        <v>765</v>
      </c>
      <c r="F16" s="10">
        <v>110</v>
      </c>
      <c r="G16" s="10">
        <v>220</v>
      </c>
      <c r="H16" s="10"/>
      <c r="I16" s="10">
        <v>1600</v>
      </c>
      <c r="J16" s="10">
        <v>980</v>
      </c>
      <c r="K16" s="10">
        <v>340</v>
      </c>
      <c r="L16" s="10">
        <v>180</v>
      </c>
      <c r="M16" s="10"/>
      <c r="N16" s="10">
        <v>10</v>
      </c>
      <c r="O16" s="10">
        <v>1080</v>
      </c>
      <c r="P16" s="10">
        <v>3900</v>
      </c>
      <c r="Q16" s="10">
        <v>8420</v>
      </c>
    </row>
    <row r="17" spans="5:17" x14ac:dyDescent="0.55000000000000004">
      <c r="E17" s="9" t="s">
        <v>766</v>
      </c>
      <c r="F17" s="10">
        <v>20</v>
      </c>
      <c r="G17" s="10">
        <v>40</v>
      </c>
      <c r="H17" s="10"/>
      <c r="I17" s="10">
        <v>330</v>
      </c>
      <c r="J17" s="10">
        <v>270</v>
      </c>
      <c r="K17" s="10">
        <v>80</v>
      </c>
      <c r="L17" s="10">
        <v>90</v>
      </c>
      <c r="M17" s="10"/>
      <c r="N17" s="10">
        <v>0</v>
      </c>
      <c r="O17" s="10">
        <v>150</v>
      </c>
      <c r="P17" s="10">
        <v>350</v>
      </c>
      <c r="Q17" s="10">
        <v>1350</v>
      </c>
    </row>
    <row r="18" spans="5:17" x14ac:dyDescent="0.55000000000000004">
      <c r="E18" s="9" t="s">
        <v>767</v>
      </c>
      <c r="F18" s="10">
        <v>170</v>
      </c>
      <c r="G18" s="10">
        <v>50</v>
      </c>
      <c r="H18" s="10"/>
      <c r="I18" s="10">
        <v>500</v>
      </c>
      <c r="J18" s="10">
        <v>200</v>
      </c>
      <c r="K18" s="10">
        <v>60</v>
      </c>
      <c r="L18" s="10">
        <v>70</v>
      </c>
      <c r="M18" s="10"/>
      <c r="N18" s="10">
        <v>0</v>
      </c>
      <c r="O18" s="10">
        <v>60</v>
      </c>
      <c r="P18" s="10">
        <v>170</v>
      </c>
      <c r="Q18" s="10">
        <v>1290</v>
      </c>
    </row>
    <row r="19" spans="5:17" x14ac:dyDescent="0.55000000000000004">
      <c r="E19" s="9" t="s">
        <v>768</v>
      </c>
      <c r="F19" s="10">
        <v>290</v>
      </c>
      <c r="G19" s="10">
        <v>0</v>
      </c>
      <c r="H19" s="10"/>
      <c r="I19" s="10">
        <v>10</v>
      </c>
      <c r="J19" s="10">
        <v>150</v>
      </c>
      <c r="K19" s="10">
        <v>50</v>
      </c>
      <c r="L19" s="10">
        <v>50</v>
      </c>
      <c r="M19" s="10"/>
      <c r="N19" s="9" t="s">
        <v>429</v>
      </c>
      <c r="O19" s="9" t="s">
        <v>429</v>
      </c>
      <c r="P19" s="10">
        <v>0</v>
      </c>
      <c r="Q19" s="10">
        <v>550</v>
      </c>
    </row>
    <row r="21" spans="5:17" x14ac:dyDescent="0.55000000000000004">
      <c r="E21" s="745" t="s">
        <v>744</v>
      </c>
      <c r="F21" s="745" t="s">
        <v>745</v>
      </c>
      <c r="G21" s="745"/>
      <c r="H21" s="473"/>
      <c r="I21" s="745" t="s">
        <v>746</v>
      </c>
      <c r="J21" s="745"/>
      <c r="K21" s="745"/>
      <c r="L21" s="745"/>
      <c r="M21" s="745"/>
      <c r="N21" s="745"/>
      <c r="O21" s="745" t="s">
        <v>405</v>
      </c>
      <c r="P21" s="745"/>
      <c r="Q21" s="745" t="s">
        <v>747</v>
      </c>
    </row>
    <row r="22" spans="5:17" x14ac:dyDescent="0.55000000000000004">
      <c r="E22" s="745"/>
      <c r="F22" s="745"/>
      <c r="G22" s="745"/>
      <c r="H22" s="473"/>
      <c r="I22" s="745"/>
      <c r="J22" s="745"/>
      <c r="K22" s="745"/>
      <c r="L22" s="745"/>
      <c r="M22" s="745"/>
      <c r="N22" s="745"/>
      <c r="O22" s="745"/>
      <c r="P22" s="745"/>
      <c r="Q22" s="745"/>
    </row>
    <row r="23" spans="5:17" ht="28.8" x14ac:dyDescent="0.55000000000000004">
      <c r="E23" s="745"/>
      <c r="F23" s="12" t="s">
        <v>748</v>
      </c>
      <c r="G23" s="12" t="s">
        <v>749</v>
      </c>
      <c r="H23" s="12"/>
      <c r="I23" s="13" t="s">
        <v>750</v>
      </c>
      <c r="J23" s="12" t="s">
        <v>751</v>
      </c>
      <c r="K23" s="12" t="s">
        <v>395</v>
      </c>
      <c r="L23" s="12" t="s">
        <v>752</v>
      </c>
      <c r="M23" s="12"/>
      <c r="N23" s="12" t="s">
        <v>753</v>
      </c>
      <c r="O23" s="12" t="s">
        <v>754</v>
      </c>
      <c r="P23" s="12" t="s">
        <v>755</v>
      </c>
      <c r="Q23" s="745"/>
    </row>
    <row r="24" spans="5:17" x14ac:dyDescent="0.55000000000000004">
      <c r="E24" s="8" t="s">
        <v>769</v>
      </c>
      <c r="F24" s="9"/>
      <c r="G24" s="9"/>
      <c r="H24" s="9"/>
      <c r="I24" s="9"/>
      <c r="J24" s="9"/>
      <c r="K24" s="9"/>
      <c r="L24" s="9"/>
      <c r="M24" s="9"/>
      <c r="N24" s="9"/>
      <c r="O24" s="9"/>
      <c r="P24" s="9"/>
      <c r="Q24" s="9"/>
    </row>
    <row r="25" spans="5:17" x14ac:dyDescent="0.55000000000000004">
      <c r="E25" s="9" t="s">
        <v>770</v>
      </c>
      <c r="F25" s="10">
        <v>2060</v>
      </c>
      <c r="G25" s="10">
        <v>240</v>
      </c>
      <c r="H25" s="10"/>
      <c r="I25" s="10">
        <v>980</v>
      </c>
      <c r="J25" s="10">
        <v>4170</v>
      </c>
      <c r="K25" s="10">
        <v>2250</v>
      </c>
      <c r="L25" s="10">
        <v>600</v>
      </c>
      <c r="M25" s="10"/>
      <c r="N25" s="10">
        <v>20</v>
      </c>
      <c r="O25" s="10">
        <v>1010</v>
      </c>
      <c r="P25" s="10">
        <v>3670</v>
      </c>
      <c r="Q25" s="10">
        <v>15000</v>
      </c>
    </row>
    <row r="26" spans="5:17" x14ac:dyDescent="0.55000000000000004">
      <c r="E26" s="9" t="s">
        <v>771</v>
      </c>
      <c r="F26" s="10">
        <v>7170</v>
      </c>
      <c r="G26" s="10">
        <v>860</v>
      </c>
      <c r="H26" s="10"/>
      <c r="I26" s="10">
        <v>3600</v>
      </c>
      <c r="J26" s="10">
        <v>510</v>
      </c>
      <c r="K26" s="10">
        <v>380</v>
      </c>
      <c r="L26" s="10">
        <v>160</v>
      </c>
      <c r="M26" s="10"/>
      <c r="N26" s="10">
        <v>0</v>
      </c>
      <c r="O26" s="10">
        <v>530</v>
      </c>
      <c r="P26" s="10">
        <v>2240</v>
      </c>
      <c r="Q26" s="10">
        <v>15460</v>
      </c>
    </row>
    <row r="27" spans="5:17" x14ac:dyDescent="0.55000000000000004">
      <c r="E27" s="9" t="s">
        <v>772</v>
      </c>
      <c r="F27" s="10">
        <v>210</v>
      </c>
      <c r="G27" s="10">
        <v>10</v>
      </c>
      <c r="H27" s="10"/>
      <c r="I27" s="10">
        <v>510</v>
      </c>
      <c r="J27" s="10">
        <v>0</v>
      </c>
      <c r="K27" s="10">
        <v>0</v>
      </c>
      <c r="L27" s="10">
        <v>0</v>
      </c>
      <c r="M27" s="10"/>
      <c r="N27" s="10">
        <v>0</v>
      </c>
      <c r="O27" s="10">
        <v>40</v>
      </c>
      <c r="P27" s="10">
        <v>200</v>
      </c>
      <c r="Q27" s="10">
        <v>970</v>
      </c>
    </row>
    <row r="28" spans="5:17" x14ac:dyDescent="0.55000000000000004">
      <c r="E28" s="9" t="s">
        <v>773</v>
      </c>
      <c r="F28" s="10">
        <v>4040</v>
      </c>
      <c r="G28" s="10">
        <v>1880</v>
      </c>
      <c r="H28" s="10"/>
      <c r="I28" s="10">
        <v>24800</v>
      </c>
      <c r="J28" s="10">
        <v>360</v>
      </c>
      <c r="K28" s="10">
        <v>190</v>
      </c>
      <c r="L28" s="10">
        <v>10</v>
      </c>
      <c r="M28" s="10"/>
      <c r="N28" s="10">
        <v>0</v>
      </c>
      <c r="O28" s="10">
        <v>2030</v>
      </c>
      <c r="P28" s="10">
        <v>1870</v>
      </c>
      <c r="Q28" s="10">
        <v>35180</v>
      </c>
    </row>
    <row r="29" spans="5:17" x14ac:dyDescent="0.55000000000000004">
      <c r="E29" s="9" t="s">
        <v>774</v>
      </c>
      <c r="F29" s="10">
        <v>220</v>
      </c>
      <c r="G29" s="10">
        <v>20</v>
      </c>
      <c r="H29" s="10"/>
      <c r="I29" s="10">
        <v>1280</v>
      </c>
      <c r="J29" s="10">
        <v>100</v>
      </c>
      <c r="K29" s="10">
        <v>80</v>
      </c>
      <c r="L29" s="10">
        <v>0</v>
      </c>
      <c r="M29" s="10"/>
      <c r="N29" s="10">
        <v>0</v>
      </c>
      <c r="O29" s="10">
        <v>80</v>
      </c>
      <c r="P29" s="10">
        <v>100</v>
      </c>
      <c r="Q29" s="10">
        <v>1870</v>
      </c>
    </row>
    <row r="30" spans="5:17" x14ac:dyDescent="0.55000000000000004">
      <c r="E30" s="9" t="s">
        <v>775</v>
      </c>
      <c r="F30" s="10">
        <v>1300</v>
      </c>
      <c r="G30" s="10">
        <v>530</v>
      </c>
      <c r="H30" s="10"/>
      <c r="I30" s="10">
        <v>2230</v>
      </c>
      <c r="J30" s="10">
        <v>1010</v>
      </c>
      <c r="K30" s="10">
        <v>510</v>
      </c>
      <c r="L30" s="10">
        <v>340</v>
      </c>
      <c r="M30" s="10"/>
      <c r="N30" s="10">
        <v>10</v>
      </c>
      <c r="O30" s="10">
        <v>1080</v>
      </c>
      <c r="P30" s="10">
        <v>3900</v>
      </c>
      <c r="Q30" s="10">
        <v>10930</v>
      </c>
    </row>
    <row r="31" spans="5:17" x14ac:dyDescent="0.55000000000000004">
      <c r="E31" s="9" t="s">
        <v>776</v>
      </c>
      <c r="F31" s="10">
        <v>210</v>
      </c>
      <c r="G31" s="10">
        <v>110</v>
      </c>
      <c r="H31" s="10"/>
      <c r="I31" s="10">
        <v>460</v>
      </c>
      <c r="J31" s="10">
        <v>60</v>
      </c>
      <c r="K31" s="10">
        <v>30</v>
      </c>
      <c r="L31" s="10">
        <v>40</v>
      </c>
      <c r="M31" s="10"/>
      <c r="N31" s="10">
        <v>0</v>
      </c>
      <c r="O31" s="10">
        <v>150</v>
      </c>
      <c r="P31" s="10">
        <v>350</v>
      </c>
      <c r="Q31" s="10">
        <v>1420</v>
      </c>
    </row>
    <row r="34" spans="2:18" x14ac:dyDescent="0.55000000000000004">
      <c r="G34" s="746" t="s">
        <v>777</v>
      </c>
      <c r="H34" s="746"/>
      <c r="I34" s="746"/>
      <c r="J34" s="746"/>
      <c r="K34" s="746"/>
      <c r="L34" s="746"/>
      <c r="M34" s="746"/>
      <c r="N34" s="746"/>
      <c r="O34" s="746"/>
      <c r="P34" s="746"/>
    </row>
    <row r="35" spans="2:18" x14ac:dyDescent="0.55000000000000004">
      <c r="B35" s="257" t="s">
        <v>778</v>
      </c>
      <c r="C35" s="257"/>
      <c r="G35" s="14" t="s">
        <v>107</v>
      </c>
      <c r="H35" s="14" t="s">
        <v>108</v>
      </c>
      <c r="I35" s="40" t="s">
        <v>734</v>
      </c>
      <c r="J35" s="15" t="s">
        <v>779</v>
      </c>
      <c r="K35" s="14"/>
      <c r="L35" s="14"/>
      <c r="M35" s="14"/>
      <c r="N35" s="14"/>
      <c r="O35" s="15"/>
      <c r="P35" s="14"/>
      <c r="Q35" s="16"/>
    </row>
    <row r="36" spans="2:18" x14ac:dyDescent="0.55000000000000004">
      <c r="B36" s="14" t="s">
        <v>108</v>
      </c>
      <c r="C36" s="15" t="s">
        <v>780</v>
      </c>
      <c r="G36" s="17"/>
      <c r="H36" s="17"/>
      <c r="I36" s="17"/>
      <c r="J36" s="17"/>
      <c r="L36" s="18"/>
      <c r="M36" s="18"/>
      <c r="N36" s="18"/>
      <c r="O36" s="18"/>
      <c r="P36" s="18"/>
      <c r="Q36" s="19"/>
      <c r="R36" s="19"/>
    </row>
    <row r="37" spans="2:18" x14ac:dyDescent="0.55000000000000004">
      <c r="B37" s="258"/>
      <c r="F37" t="s">
        <v>401</v>
      </c>
      <c r="G37" s="17">
        <v>2400</v>
      </c>
      <c r="H37" s="17">
        <v>7270.5882352941171</v>
      </c>
      <c r="I37" s="17">
        <f>N7+O7+P7+L7</f>
        <v>3420</v>
      </c>
      <c r="J37" s="17">
        <f>G37+H37+I37</f>
        <v>13090.588235294117</v>
      </c>
      <c r="L37" s="18"/>
      <c r="M37" s="18"/>
      <c r="N37" s="18"/>
      <c r="O37" s="18"/>
      <c r="P37" s="18"/>
      <c r="Q37" s="19"/>
      <c r="R37" s="19"/>
    </row>
    <row r="38" spans="2:18" x14ac:dyDescent="0.55000000000000004">
      <c r="B38" s="258"/>
      <c r="F38" t="s">
        <v>407</v>
      </c>
      <c r="G38" s="17">
        <v>790</v>
      </c>
      <c r="H38" s="17">
        <v>2479.411764705882</v>
      </c>
      <c r="I38" s="17">
        <f t="shared" ref="I38:I43" si="0">N8+O8+P8+L8</f>
        <v>2340</v>
      </c>
      <c r="J38" s="17">
        <f t="shared" ref="J38:J48" si="1">G38+H38+I38</f>
        <v>5609.411764705882</v>
      </c>
      <c r="L38" s="18"/>
      <c r="M38" s="18"/>
      <c r="N38" s="18"/>
      <c r="O38" s="18"/>
      <c r="P38" s="18"/>
      <c r="Q38" s="19"/>
      <c r="R38" s="19"/>
    </row>
    <row r="39" spans="2:18" x14ac:dyDescent="0.55000000000000004">
      <c r="B39" s="258"/>
      <c r="F39" t="s">
        <v>759</v>
      </c>
      <c r="G39" s="17">
        <v>6880</v>
      </c>
      <c r="H39" s="17">
        <v>21520.588235294119</v>
      </c>
      <c r="I39" s="17">
        <f t="shared" si="0"/>
        <v>8090</v>
      </c>
      <c r="J39" s="17">
        <f t="shared" si="1"/>
        <v>36490.588235294119</v>
      </c>
      <c r="L39" s="18"/>
      <c r="M39" s="18"/>
      <c r="N39" s="18"/>
      <c r="O39" s="18"/>
      <c r="P39" s="18"/>
      <c r="Q39" s="19"/>
      <c r="R39" s="19"/>
    </row>
    <row r="40" spans="2:18" x14ac:dyDescent="0.55000000000000004">
      <c r="B40" s="258"/>
      <c r="F40" t="s">
        <v>760</v>
      </c>
      <c r="G40" s="17">
        <v>1280</v>
      </c>
      <c r="H40" s="17">
        <v>3264.7058823529414</v>
      </c>
      <c r="I40" s="17">
        <f t="shared" si="0"/>
        <v>1550</v>
      </c>
      <c r="J40" s="17">
        <f t="shared" si="1"/>
        <v>6094.7058823529414</v>
      </c>
      <c r="L40" s="18"/>
      <c r="M40" s="18"/>
      <c r="N40" s="18"/>
      <c r="O40" s="18"/>
      <c r="P40" s="18"/>
      <c r="Q40" s="19"/>
      <c r="R40" s="19"/>
    </row>
    <row r="41" spans="2:18" x14ac:dyDescent="0.55000000000000004">
      <c r="B41" s="258"/>
      <c r="F41" t="s">
        <v>140</v>
      </c>
      <c r="G41" s="17">
        <v>1250</v>
      </c>
      <c r="H41" s="17">
        <v>3167.6470588235293</v>
      </c>
      <c r="I41" s="17">
        <f t="shared" si="0"/>
        <v>5450</v>
      </c>
      <c r="J41" s="17">
        <f t="shared" si="1"/>
        <v>9867.6470588235297</v>
      </c>
      <c r="L41" s="18"/>
      <c r="M41" s="18"/>
      <c r="N41" s="18"/>
      <c r="O41" s="18"/>
      <c r="P41" s="18"/>
      <c r="Q41" s="19"/>
      <c r="R41" s="19"/>
    </row>
    <row r="42" spans="2:18" x14ac:dyDescent="0.55000000000000004">
      <c r="B42" s="258"/>
      <c r="F42" t="s">
        <v>761</v>
      </c>
      <c r="G42" s="17">
        <v>1150</v>
      </c>
      <c r="H42" s="17">
        <v>1050</v>
      </c>
      <c r="I42" s="17">
        <f t="shared" si="0"/>
        <v>2180</v>
      </c>
      <c r="J42" s="17">
        <f t="shared" si="1"/>
        <v>4380</v>
      </c>
      <c r="L42" s="18"/>
      <c r="M42" s="18"/>
      <c r="N42" s="18"/>
      <c r="O42" s="18"/>
      <c r="P42" s="18"/>
      <c r="Q42" s="19"/>
      <c r="R42" s="19"/>
    </row>
    <row r="43" spans="2:18" x14ac:dyDescent="0.55000000000000004">
      <c r="B43" s="258"/>
      <c r="F43" t="s">
        <v>781</v>
      </c>
      <c r="G43" s="17">
        <v>1880</v>
      </c>
      <c r="H43" s="17">
        <v>238.23529411764704</v>
      </c>
      <c r="I43" s="17">
        <f t="shared" si="0"/>
        <v>4000</v>
      </c>
      <c r="J43" s="17">
        <f t="shared" si="1"/>
        <v>6118.2352941176468</v>
      </c>
      <c r="L43" s="18"/>
      <c r="M43" s="18"/>
      <c r="N43" s="18"/>
      <c r="O43" s="18"/>
      <c r="P43" s="18"/>
      <c r="Q43" s="19"/>
      <c r="R43" s="19"/>
    </row>
    <row r="44" spans="2:18" x14ac:dyDescent="0.55000000000000004">
      <c r="B44" s="258"/>
      <c r="F44" t="s">
        <v>782</v>
      </c>
      <c r="G44" s="17">
        <v>170</v>
      </c>
      <c r="H44" s="17">
        <v>123.52941176470588</v>
      </c>
      <c r="I44" s="17">
        <f>N14+O14+P14+L14</f>
        <v>220</v>
      </c>
      <c r="J44" s="17">
        <f t="shared" si="1"/>
        <v>513.52941176470586</v>
      </c>
      <c r="L44" s="18"/>
      <c r="M44" s="18"/>
      <c r="N44" s="18"/>
      <c r="O44" s="18"/>
      <c r="P44" s="18"/>
      <c r="Q44" s="19"/>
      <c r="R44" s="19"/>
    </row>
    <row r="45" spans="2:18" x14ac:dyDescent="0.55000000000000004">
      <c r="B45" s="258"/>
      <c r="F45" t="s">
        <v>783</v>
      </c>
      <c r="G45" s="17">
        <v>140</v>
      </c>
      <c r="H45" s="17">
        <v>361.76470588235293</v>
      </c>
      <c r="I45" s="17">
        <f>N15+O15+P15+L15</f>
        <v>640</v>
      </c>
      <c r="J45" s="17">
        <f>G45+H45+I45</f>
        <v>1141.7647058823529</v>
      </c>
      <c r="L45" s="18"/>
      <c r="M45" s="18"/>
      <c r="N45" s="18"/>
      <c r="O45" s="18"/>
      <c r="P45" s="18"/>
      <c r="Q45" s="19"/>
      <c r="R45" s="19"/>
    </row>
    <row r="46" spans="2:18" x14ac:dyDescent="0.55000000000000004">
      <c r="B46" s="259" t="s">
        <v>784</v>
      </c>
      <c r="C46" s="259" t="s">
        <v>785</v>
      </c>
      <c r="F46" s="24" t="s">
        <v>411</v>
      </c>
      <c r="G46" s="41">
        <v>140</v>
      </c>
      <c r="H46" s="41">
        <v>238.23529411764704</v>
      </c>
      <c r="I46" s="41">
        <f>AVERAGE(L16:P17)</f>
        <v>720</v>
      </c>
      <c r="J46" s="41">
        <f>G46+H46+I46</f>
        <v>1098.2352941176471</v>
      </c>
      <c r="L46" s="18"/>
      <c r="M46" s="18"/>
      <c r="N46" s="18"/>
      <c r="O46" s="18"/>
      <c r="P46" s="18"/>
      <c r="Q46" s="19"/>
      <c r="R46" s="19"/>
    </row>
    <row r="47" spans="2:18" x14ac:dyDescent="0.55000000000000004">
      <c r="B47" s="259" t="s">
        <v>786</v>
      </c>
      <c r="C47" s="259" t="s">
        <v>785</v>
      </c>
      <c r="F47" t="s">
        <v>767</v>
      </c>
      <c r="G47" s="17">
        <v>280</v>
      </c>
      <c r="H47" s="17">
        <v>176.47058823529412</v>
      </c>
      <c r="I47" s="17">
        <f>N18+O18+P18+L18</f>
        <v>300</v>
      </c>
      <c r="J47" s="17">
        <f t="shared" si="1"/>
        <v>756.47058823529414</v>
      </c>
      <c r="L47" s="18"/>
      <c r="M47" s="18"/>
      <c r="N47" s="18"/>
      <c r="O47" s="18"/>
      <c r="P47" s="18"/>
      <c r="Q47" s="19"/>
      <c r="R47" s="19"/>
    </row>
    <row r="48" spans="2:18" x14ac:dyDescent="0.55000000000000004">
      <c r="B48" s="259" t="s">
        <v>787</v>
      </c>
      <c r="C48" s="259" t="s">
        <v>785</v>
      </c>
      <c r="F48" t="s">
        <v>770</v>
      </c>
      <c r="G48" s="17">
        <v>4550</v>
      </c>
      <c r="H48" s="17">
        <v>3679.4117647058824</v>
      </c>
      <c r="I48" s="17">
        <f>N25+O25+P25+L25</f>
        <v>5300</v>
      </c>
      <c r="J48" s="17">
        <f t="shared" si="1"/>
        <v>13529.411764705883</v>
      </c>
      <c r="L48" s="18"/>
      <c r="M48" s="18"/>
      <c r="N48" s="18"/>
      <c r="O48" s="18"/>
      <c r="P48" s="18"/>
      <c r="Q48" s="19"/>
      <c r="R48" s="19"/>
    </row>
    <row r="49" spans="2:18" x14ac:dyDescent="0.55000000000000004">
      <c r="B49" s="259" t="s">
        <v>788</v>
      </c>
      <c r="C49" s="259" t="s">
        <v>785</v>
      </c>
      <c r="F49" t="s">
        <v>771</v>
      </c>
      <c r="G49" s="17">
        <v>8410</v>
      </c>
      <c r="H49" s="17">
        <v>450</v>
      </c>
      <c r="I49" s="17">
        <f>N26+O26+P26+L26</f>
        <v>2930</v>
      </c>
      <c r="J49" s="17">
        <f>G49+H49+I49</f>
        <v>11790</v>
      </c>
      <c r="L49" s="18"/>
      <c r="M49" s="18"/>
      <c r="N49" s="18"/>
      <c r="O49" s="18"/>
      <c r="P49" s="18"/>
      <c r="Q49" s="19"/>
      <c r="R49" s="19"/>
    </row>
    <row r="50" spans="2:18" x14ac:dyDescent="0.55000000000000004">
      <c r="G50" s="17"/>
      <c r="H50" s="17"/>
      <c r="I50" s="17"/>
      <c r="J50" s="17"/>
      <c r="L50" s="18"/>
      <c r="M50" s="18"/>
      <c r="N50" s="18"/>
      <c r="O50" s="18"/>
      <c r="P50" s="18"/>
      <c r="Q50" s="19"/>
      <c r="R50" s="19"/>
    </row>
    <row r="51" spans="2:18" x14ac:dyDescent="0.55000000000000004">
      <c r="B51" s="258"/>
      <c r="C51" s="258"/>
      <c r="F51" t="s">
        <v>139</v>
      </c>
      <c r="G51" s="17">
        <v>0</v>
      </c>
      <c r="H51" s="17"/>
      <c r="I51" s="17">
        <v>130</v>
      </c>
      <c r="J51" s="17">
        <v>130</v>
      </c>
      <c r="L51" s="18">
        <v>0</v>
      </c>
      <c r="M51" s="18">
        <v>0</v>
      </c>
      <c r="N51" s="18">
        <v>135.55221888555224</v>
      </c>
      <c r="O51" s="18">
        <v>135.55221888555224</v>
      </c>
      <c r="P51" s="18"/>
      <c r="Q51" s="19"/>
      <c r="R51" s="19"/>
    </row>
    <row r="52" spans="2:18" x14ac:dyDescent="0.55000000000000004">
      <c r="B52" s="258"/>
      <c r="C52" s="258"/>
      <c r="F52" t="s">
        <v>789</v>
      </c>
      <c r="G52" s="17">
        <v>221.79425837320571</v>
      </c>
      <c r="H52" s="17">
        <v>73.276104700253313</v>
      </c>
      <c r="I52" s="17">
        <v>974.92963692654098</v>
      </c>
      <c r="J52" s="33">
        <v>1270</v>
      </c>
      <c r="L52" s="18">
        <v>231.26695275818082</v>
      </c>
      <c r="M52" s="18">
        <v>73.276104700253313</v>
      </c>
      <c r="N52" s="18">
        <v>1016.5682734052189</v>
      </c>
      <c r="O52" s="18">
        <v>1324.2409075742412</v>
      </c>
      <c r="P52" s="18"/>
      <c r="Q52" s="19"/>
      <c r="R52" s="19"/>
    </row>
  </sheetData>
  <mergeCells count="12">
    <mergeCell ref="G34:K34"/>
    <mergeCell ref="L34:P34"/>
    <mergeCell ref="E2:E4"/>
    <mergeCell ref="F2:G3"/>
    <mergeCell ref="I2:N3"/>
    <mergeCell ref="O2:P3"/>
    <mergeCell ref="Q2:Q4"/>
    <mergeCell ref="E21:E23"/>
    <mergeCell ref="F21:G22"/>
    <mergeCell ref="I21:N22"/>
    <mergeCell ref="O21:P22"/>
    <mergeCell ref="Q21:Q23"/>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7bfe6dff-662b-4ef1-86e7-7c70f2032d75">
      <UserInfo>
        <DisplayName>William Naughton</DisplayName>
        <AccountId>29</AccountId>
        <AccountType/>
      </UserInfo>
      <UserInfo>
        <DisplayName>Alexandra Melaugh</DisplayName>
        <AccountId>31</AccountId>
        <AccountType/>
      </UserInfo>
      <UserInfo>
        <DisplayName>Danielle Mervyn</DisplayName>
        <AccountId>20</AccountId>
        <AccountType/>
      </UserInfo>
      <UserInfo>
        <DisplayName>Daniel Brier</DisplayName>
        <AccountId>21</AccountId>
        <AccountType/>
      </UserInfo>
      <UserInfo>
        <DisplayName>Tim Murray</DisplayName>
        <AccountId>22</AccountId>
        <AccountType/>
      </UserInfo>
      <UserInfo>
        <DisplayName>Sandy Knight</DisplayName>
        <AccountId>32</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25D6BFB689F3548BAF5ECD824627985" ma:contentTypeVersion="6" ma:contentTypeDescription="Create a new document." ma:contentTypeScope="" ma:versionID="b44f648cea943627dfd525425b7b76af">
  <xsd:schema xmlns:xsd="http://www.w3.org/2001/XMLSchema" xmlns:xs="http://www.w3.org/2001/XMLSchema" xmlns:p="http://schemas.microsoft.com/office/2006/metadata/properties" xmlns:ns2="02104ae5-1337-48b3-820d-0c01340aa8d4" xmlns:ns3="7bfe6dff-662b-4ef1-86e7-7c70f2032d75" targetNamespace="http://schemas.microsoft.com/office/2006/metadata/properties" ma:root="true" ma:fieldsID="9c78f87632c866c623dbd274a3ddcd21" ns2:_="" ns3:_="">
    <xsd:import namespace="02104ae5-1337-48b3-820d-0c01340aa8d4"/>
    <xsd:import namespace="7bfe6dff-662b-4ef1-86e7-7c70f2032d7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104ae5-1337-48b3-820d-0c01340aa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fe6dff-662b-4ef1-86e7-7c70f2032d7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27F19D4-0F40-4A6F-B6E7-6ACC56F7CA7D}">
  <ds:schemaRefs>
    <ds:schemaRef ds:uri="02104ae5-1337-48b3-820d-0c01340aa8d4"/>
    <ds:schemaRef ds:uri="7bfe6dff-662b-4ef1-86e7-7c70f2032d75"/>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elements/1.1/"/>
  </ds:schemaRefs>
</ds:datastoreItem>
</file>

<file path=customXml/itemProps2.xml><?xml version="1.0" encoding="utf-8"?>
<ds:datastoreItem xmlns:ds="http://schemas.openxmlformats.org/officeDocument/2006/customXml" ds:itemID="{4EB9C501-F2AA-4D4A-9E57-2FCF1B194C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104ae5-1337-48b3-820d-0c01340aa8d4"/>
    <ds:schemaRef ds:uri="7bfe6dff-662b-4ef1-86e7-7c70f2032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2B2D30-71C0-4C49-ABCD-DCB70943C2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Front sheet</vt:lpstr>
      <vt:lpstr>Part 1 - Social cost-benefit</vt:lpstr>
      <vt:lpstr>Benefit tool</vt:lpstr>
      <vt:lpstr>Worked examples</vt:lpstr>
      <vt:lpstr>Part 2 - UC database</vt:lpstr>
      <vt:lpstr>Social, YP &amp; kinship care</vt:lpstr>
      <vt:lpstr>Education</vt:lpstr>
      <vt:lpstr>Disorders</vt:lpstr>
      <vt:lpstr>Homelessness</vt:lpstr>
      <vt:lpstr>NHS &amp; LA treatment</vt:lpstr>
      <vt:lpstr>DA &amp; crime</vt:lpstr>
      <vt:lpstr>Part 3 - Annexes</vt:lpstr>
      <vt:lpstr>A1 GDP deflator</vt:lpstr>
      <vt:lpstr>A2 Discount</vt:lpstr>
      <vt:lpstr>A3 Market forces</vt:lpstr>
      <vt:lpstr>_200506</vt:lpstr>
      <vt:lpstr>_201213</vt:lpstr>
      <vt:lpstr>_201516</vt:lpstr>
      <vt:lpstr>_201617</vt:lpstr>
      <vt:lpstr>_201718</vt:lpstr>
      <vt:lpstr>_201819</vt:lpstr>
      <vt:lpstr>_201920</vt:lpstr>
      <vt:lpstr>_202021</vt:lpstr>
      <vt:lpstr>'Front sheet'!_GoBack</vt:lpstr>
      <vt:lpstr>Disc</vt:lpstr>
      <vt:lpstr>Disc2</vt:lpstr>
      <vt:lpstr>'A1 GDP deflator'!Print_Area</vt:lpstr>
      <vt:lpstr>QALYDisc</vt:lpstr>
      <vt:lpstr>QALYDisc2</vt:lpstr>
      <vt:lpstr>Select</vt:lpstr>
      <vt:lpstr>y_n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Parents with problem alcohol and drug use: Investing in families workbook, 2020 to 2021</dc:title>
  <dc:subject/>
  <dc:creator>PHE2@PHEcloud.onmicrosoft.com</dc:creator>
  <cp:keywords/>
  <dc:description/>
  <cp:lastModifiedBy>Sandy Knight</cp:lastModifiedBy>
  <cp:revision/>
  <dcterms:created xsi:type="dcterms:W3CDTF">2020-03-31T12:03:50Z</dcterms:created>
  <dcterms:modified xsi:type="dcterms:W3CDTF">2025-01-17T12:31:44Z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0x010100C25D6BFB689F3548BAF5ECD824627985</vt:lpwstr>
  </property>
</Properties>
</file>