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firstSheet="6" activeTab="9"/>
  </bookViews>
  <sheets>
    <sheet name="jmvc8.5" sheetId="2" r:id="rId1"/>
    <sheet name="compare" sheetId="7" r:id="rId2"/>
    <sheet name="i7_org" sheetId="6" r:id="rId3"/>
    <sheet name="i7_paper" sheetId="13" r:id="rId4"/>
    <sheet name="i7_new" sheetId="8" r:id="rId5"/>
    <sheet name="i7_org_iraster=5" sheetId="11" r:id="rId6"/>
    <sheet name="i7_paper_iraster=5" sheetId="12" r:id="rId7"/>
    <sheet name="i7_new_iraster=5" sheetId="10" r:id="rId8"/>
    <sheet name="i7_new2_iraster=5" sheetId="16" r:id="rId9"/>
    <sheet name="result" sheetId="9" r:id="rId10"/>
    <sheet name="round=3" sheetId="15" r:id="rId11"/>
  </sheets>
  <calcPr calcId="125725"/>
</workbook>
</file>

<file path=xl/calcChain.xml><?xml version="1.0" encoding="utf-8"?>
<calcChain xmlns="http://schemas.openxmlformats.org/spreadsheetml/2006/main">
  <c r="R58" i="9"/>
  <c r="S58" s="1"/>
  <c r="R57"/>
  <c r="R56"/>
  <c r="S56" s="1"/>
  <c r="R55"/>
  <c r="S55" s="1"/>
  <c r="R54"/>
  <c r="R53"/>
  <c r="R52"/>
  <c r="R51"/>
  <c r="R50"/>
  <c r="R49"/>
  <c r="R48"/>
  <c r="R47"/>
  <c r="I132" i="16"/>
  <c r="I121"/>
  <c r="I110"/>
  <c r="I99"/>
  <c r="I88"/>
  <c r="I77"/>
  <c r="I66"/>
  <c r="I55"/>
  <c r="I44"/>
  <c r="I33"/>
  <c r="I22"/>
  <c r="I11"/>
  <c r="E121"/>
  <c r="P58" i="9"/>
  <c r="M58"/>
  <c r="I58"/>
  <c r="E58"/>
  <c r="S57"/>
  <c r="P57"/>
  <c r="M57"/>
  <c r="I57"/>
  <c r="E57"/>
  <c r="P56"/>
  <c r="M56"/>
  <c r="I56"/>
  <c r="E56"/>
  <c r="P55"/>
  <c r="M55"/>
  <c r="N58" s="1"/>
  <c r="I55"/>
  <c r="J58" s="1"/>
  <c r="E55"/>
  <c r="F58" s="1"/>
  <c r="S54"/>
  <c r="P54"/>
  <c r="M54"/>
  <c r="I54"/>
  <c r="E54"/>
  <c r="P53"/>
  <c r="S53" s="1"/>
  <c r="M53"/>
  <c r="I53"/>
  <c r="E53"/>
  <c r="P52"/>
  <c r="M52"/>
  <c r="I52"/>
  <c r="E52"/>
  <c r="P51"/>
  <c r="S51" s="1"/>
  <c r="M51"/>
  <c r="I51"/>
  <c r="E51"/>
  <c r="F54" s="1"/>
  <c r="S50"/>
  <c r="P50"/>
  <c r="M50"/>
  <c r="I50"/>
  <c r="E50"/>
  <c r="S49"/>
  <c r="P49"/>
  <c r="M49"/>
  <c r="I49"/>
  <c r="E49"/>
  <c r="S48"/>
  <c r="P48"/>
  <c r="M48"/>
  <c r="I48"/>
  <c r="E48"/>
  <c r="S47"/>
  <c r="T50" s="1"/>
  <c r="P47"/>
  <c r="M47"/>
  <c r="I47"/>
  <c r="J50" s="1"/>
  <c r="E47"/>
  <c r="F50" s="1"/>
  <c r="E3" i="16"/>
  <c r="G132"/>
  <c r="F132"/>
  <c r="D132"/>
  <c r="C132"/>
  <c r="B132"/>
  <c r="E131"/>
  <c r="E130"/>
  <c r="E129"/>
  <c r="E128"/>
  <c r="E127"/>
  <c r="E126"/>
  <c r="E125"/>
  <c r="E124"/>
  <c r="E132" s="1"/>
  <c r="G121"/>
  <c r="F121"/>
  <c r="D121"/>
  <c r="C121"/>
  <c r="B121"/>
  <c r="E120"/>
  <c r="E119"/>
  <c r="E118"/>
  <c r="E117"/>
  <c r="E116"/>
  <c r="E115"/>
  <c r="E114"/>
  <c r="E113"/>
  <c r="G110"/>
  <c r="F110"/>
  <c r="D110"/>
  <c r="C110"/>
  <c r="B110"/>
  <c r="E109"/>
  <c r="E108"/>
  <c r="E107"/>
  <c r="E106"/>
  <c r="E105"/>
  <c r="E104"/>
  <c r="E103"/>
  <c r="E102"/>
  <c r="G99"/>
  <c r="F99"/>
  <c r="D99"/>
  <c r="C99"/>
  <c r="B99"/>
  <c r="E98"/>
  <c r="E97"/>
  <c r="E96"/>
  <c r="E95"/>
  <c r="E94"/>
  <c r="E93"/>
  <c r="E92"/>
  <c r="E91"/>
  <c r="G88"/>
  <c r="F88"/>
  <c r="D88"/>
  <c r="C88"/>
  <c r="B88"/>
  <c r="E87"/>
  <c r="E86"/>
  <c r="E85"/>
  <c r="E84"/>
  <c r="E83"/>
  <c r="E82"/>
  <c r="E81"/>
  <c r="E80"/>
  <c r="E88" s="1"/>
  <c r="G77"/>
  <c r="F77"/>
  <c r="D77"/>
  <c r="C77"/>
  <c r="B77"/>
  <c r="E76"/>
  <c r="E75"/>
  <c r="E74"/>
  <c r="E73"/>
  <c r="E72"/>
  <c r="E71"/>
  <c r="E70"/>
  <c r="E69"/>
  <c r="G66"/>
  <c r="F66"/>
  <c r="D66"/>
  <c r="C66"/>
  <c r="B66"/>
  <c r="E65"/>
  <c r="E64"/>
  <c r="E63"/>
  <c r="E62"/>
  <c r="E61"/>
  <c r="E60"/>
  <c r="E59"/>
  <c r="E58"/>
  <c r="G55"/>
  <c r="F55"/>
  <c r="D55"/>
  <c r="C55"/>
  <c r="B55"/>
  <c r="E54"/>
  <c r="E53"/>
  <c r="E52"/>
  <c r="E51"/>
  <c r="E50"/>
  <c r="E49"/>
  <c r="E48"/>
  <c r="E47"/>
  <c r="G44"/>
  <c r="F44"/>
  <c r="D44"/>
  <c r="C44"/>
  <c r="B44"/>
  <c r="E43"/>
  <c r="E42"/>
  <c r="E41"/>
  <c r="E40"/>
  <c r="E39"/>
  <c r="E38"/>
  <c r="E37"/>
  <c r="E36"/>
  <c r="E44" s="1"/>
  <c r="G33"/>
  <c r="F33"/>
  <c r="D33"/>
  <c r="C33"/>
  <c r="B33"/>
  <c r="E32"/>
  <c r="E31"/>
  <c r="E30"/>
  <c r="E29"/>
  <c r="E28"/>
  <c r="E27"/>
  <c r="E26"/>
  <c r="E25"/>
  <c r="G22"/>
  <c r="F22"/>
  <c r="D22"/>
  <c r="C22"/>
  <c r="B22"/>
  <c r="E21"/>
  <c r="E20"/>
  <c r="E19"/>
  <c r="E18"/>
  <c r="E17"/>
  <c r="E16"/>
  <c r="E15"/>
  <c r="E14"/>
  <c r="G11"/>
  <c r="F11"/>
  <c r="D11"/>
  <c r="C11"/>
  <c r="B11"/>
  <c r="E10"/>
  <c r="E9"/>
  <c r="E8"/>
  <c r="E7"/>
  <c r="E6"/>
  <c r="E5"/>
  <c r="E4"/>
  <c r="M44" i="15"/>
  <c r="K44"/>
  <c r="J44"/>
  <c r="I44"/>
  <c r="L43"/>
  <c r="L42"/>
  <c r="L41"/>
  <c r="L40"/>
  <c r="L39"/>
  <c r="L38"/>
  <c r="L37"/>
  <c r="L36"/>
  <c r="L44" s="1"/>
  <c r="E36"/>
  <c r="F44"/>
  <c r="D44"/>
  <c r="C44"/>
  <c r="B44"/>
  <c r="E43"/>
  <c r="E42"/>
  <c r="E41"/>
  <c r="E40"/>
  <c r="E39"/>
  <c r="E38"/>
  <c r="E37"/>
  <c r="E44"/>
  <c r="F33"/>
  <c r="D33"/>
  <c r="C33"/>
  <c r="B33"/>
  <c r="E32"/>
  <c r="E31"/>
  <c r="E30"/>
  <c r="E29"/>
  <c r="E28"/>
  <c r="E27"/>
  <c r="E26"/>
  <c r="E25"/>
  <c r="F22"/>
  <c r="D22"/>
  <c r="C22"/>
  <c r="B22"/>
  <c r="E21"/>
  <c r="E20"/>
  <c r="E19"/>
  <c r="E18"/>
  <c r="E17"/>
  <c r="E16"/>
  <c r="E15"/>
  <c r="E14"/>
  <c r="E22" s="1"/>
  <c r="F11"/>
  <c r="D11"/>
  <c r="C11"/>
  <c r="B11"/>
  <c r="E10"/>
  <c r="E9"/>
  <c r="E8"/>
  <c r="E7"/>
  <c r="E6"/>
  <c r="E5"/>
  <c r="E4"/>
  <c r="E3"/>
  <c r="E11" s="1"/>
  <c r="P133" i="13"/>
  <c r="P122"/>
  <c r="P111"/>
  <c r="P100"/>
  <c r="P89"/>
  <c r="P78"/>
  <c r="P67"/>
  <c r="P56"/>
  <c r="P45"/>
  <c r="P34"/>
  <c r="P23"/>
  <c r="P12"/>
  <c r="N133" i="12"/>
  <c r="N122"/>
  <c r="N111"/>
  <c r="N100"/>
  <c r="N89"/>
  <c r="N78"/>
  <c r="N67"/>
  <c r="N56"/>
  <c r="N45"/>
  <c r="N34"/>
  <c r="N23"/>
  <c r="N130"/>
  <c r="N119"/>
  <c r="N108"/>
  <c r="N97"/>
  <c r="N86"/>
  <c r="N75"/>
  <c r="N64"/>
  <c r="N53"/>
  <c r="N42"/>
  <c r="N31"/>
  <c r="N12"/>
  <c r="N20"/>
  <c r="N9"/>
  <c r="Q130"/>
  <c r="Q119"/>
  <c r="Q108"/>
  <c r="Q97"/>
  <c r="Q86"/>
  <c r="Q75"/>
  <c r="Q64"/>
  <c r="Q53"/>
  <c r="Q42"/>
  <c r="Q31"/>
  <c r="Q20"/>
  <c r="Q9"/>
  <c r="Q12"/>
  <c r="Q23"/>
  <c r="Q34"/>
  <c r="Q45"/>
  <c r="Q56"/>
  <c r="Q67"/>
  <c r="Q78"/>
  <c r="Q89"/>
  <c r="Q100"/>
  <c r="Q111"/>
  <c r="Q122"/>
  <c r="Q133"/>
  <c r="P130"/>
  <c r="M130"/>
  <c r="L130"/>
  <c r="K130"/>
  <c r="P119"/>
  <c r="M119"/>
  <c r="L119"/>
  <c r="K119"/>
  <c r="P108"/>
  <c r="M108"/>
  <c r="L108"/>
  <c r="K108"/>
  <c r="P97"/>
  <c r="M97"/>
  <c r="L97"/>
  <c r="K97"/>
  <c r="P86"/>
  <c r="M86"/>
  <c r="L86"/>
  <c r="K86"/>
  <c r="P75"/>
  <c r="M75"/>
  <c r="L75"/>
  <c r="K75"/>
  <c r="P64"/>
  <c r="M64"/>
  <c r="L64"/>
  <c r="K64"/>
  <c r="P53"/>
  <c r="M53"/>
  <c r="L53"/>
  <c r="K53"/>
  <c r="P42"/>
  <c r="M42"/>
  <c r="L42"/>
  <c r="K42"/>
  <c r="P31"/>
  <c r="M31"/>
  <c r="L31"/>
  <c r="K31"/>
  <c r="P20"/>
  <c r="M20"/>
  <c r="L20"/>
  <c r="K20"/>
  <c r="P9"/>
  <c r="M9"/>
  <c r="L9"/>
  <c r="K9"/>
  <c r="P129"/>
  <c r="P118"/>
  <c r="P107"/>
  <c r="P96"/>
  <c r="P85"/>
  <c r="P74"/>
  <c r="P63"/>
  <c r="P52"/>
  <c r="P41"/>
  <c r="P30"/>
  <c r="P19"/>
  <c r="P8"/>
  <c r="P133"/>
  <c r="M133"/>
  <c r="L133"/>
  <c r="K133"/>
  <c r="P122"/>
  <c r="M122"/>
  <c r="L122"/>
  <c r="K122"/>
  <c r="P111"/>
  <c r="M111"/>
  <c r="L111"/>
  <c r="K111"/>
  <c r="P100"/>
  <c r="M100"/>
  <c r="L100"/>
  <c r="K100"/>
  <c r="P89"/>
  <c r="M89"/>
  <c r="L89"/>
  <c r="K89"/>
  <c r="P78"/>
  <c r="M78"/>
  <c r="L78"/>
  <c r="K78"/>
  <c r="P67"/>
  <c r="M67"/>
  <c r="L67"/>
  <c r="K67"/>
  <c r="P56"/>
  <c r="M56"/>
  <c r="L56"/>
  <c r="K56"/>
  <c r="P45"/>
  <c r="M45"/>
  <c r="L45"/>
  <c r="K45"/>
  <c r="P34"/>
  <c r="M34"/>
  <c r="L34"/>
  <c r="K34"/>
  <c r="P23"/>
  <c r="M23"/>
  <c r="L23"/>
  <c r="K23"/>
  <c r="I132"/>
  <c r="I121"/>
  <c r="I110"/>
  <c r="I99"/>
  <c r="I88"/>
  <c r="I77"/>
  <c r="I66"/>
  <c r="I55"/>
  <c r="I44"/>
  <c r="I33"/>
  <c r="I22"/>
  <c r="P12"/>
  <c r="I11"/>
  <c r="M12"/>
  <c r="L12"/>
  <c r="K12"/>
  <c r="P132"/>
  <c r="P121"/>
  <c r="P110"/>
  <c r="P99"/>
  <c r="P88"/>
  <c r="P77"/>
  <c r="P66"/>
  <c r="P55"/>
  <c r="P44"/>
  <c r="P33"/>
  <c r="P22"/>
  <c r="P11"/>
  <c r="R25" i="9"/>
  <c r="S25" s="1"/>
  <c r="R29"/>
  <c r="O132" i="13"/>
  <c r="O133" s="1"/>
  <c r="O122"/>
  <c r="O111"/>
  <c r="O100"/>
  <c r="O89"/>
  <c r="O78"/>
  <c r="O67"/>
  <c r="O56"/>
  <c r="I132"/>
  <c r="O121"/>
  <c r="I121"/>
  <c r="O110"/>
  <c r="I110"/>
  <c r="O99"/>
  <c r="I99"/>
  <c r="O88"/>
  <c r="I88"/>
  <c r="O77"/>
  <c r="I77"/>
  <c r="O66"/>
  <c r="I66"/>
  <c r="O55"/>
  <c r="I55"/>
  <c r="O45"/>
  <c r="O44"/>
  <c r="I44"/>
  <c r="O34"/>
  <c r="O33"/>
  <c r="I33"/>
  <c r="O23"/>
  <c r="O22"/>
  <c r="I22"/>
  <c r="O12"/>
  <c r="O11"/>
  <c r="I11"/>
  <c r="K133"/>
  <c r="L122"/>
  <c r="K122"/>
  <c r="K111"/>
  <c r="K100"/>
  <c r="K89"/>
  <c r="K78"/>
  <c r="K67"/>
  <c r="K56"/>
  <c r="K45"/>
  <c r="K34"/>
  <c r="K23"/>
  <c r="K12"/>
  <c r="M132"/>
  <c r="M133" s="1"/>
  <c r="L132"/>
  <c r="L133" s="1"/>
  <c r="M121"/>
  <c r="M122" s="1"/>
  <c r="L121"/>
  <c r="M110"/>
  <c r="M111" s="1"/>
  <c r="L110"/>
  <c r="L111" s="1"/>
  <c r="M99"/>
  <c r="M100" s="1"/>
  <c r="L99"/>
  <c r="L100" s="1"/>
  <c r="M88"/>
  <c r="M89" s="1"/>
  <c r="L88"/>
  <c r="L89" s="1"/>
  <c r="M77"/>
  <c r="M78" s="1"/>
  <c r="L77"/>
  <c r="L78" s="1"/>
  <c r="M66"/>
  <c r="M67" s="1"/>
  <c r="L66"/>
  <c r="L67" s="1"/>
  <c r="M55"/>
  <c r="M56" s="1"/>
  <c r="L55"/>
  <c r="L56" s="1"/>
  <c r="M44"/>
  <c r="M45" s="1"/>
  <c r="L44"/>
  <c r="L45" s="1"/>
  <c r="M33"/>
  <c r="M34" s="1"/>
  <c r="L33"/>
  <c r="L34" s="1"/>
  <c r="M22"/>
  <c r="L22"/>
  <c r="L23" s="1"/>
  <c r="M11"/>
  <c r="M12" s="1"/>
  <c r="L11"/>
  <c r="L12" s="1"/>
  <c r="G132"/>
  <c r="F132"/>
  <c r="D132"/>
  <c r="C132"/>
  <c r="B132"/>
  <c r="E131"/>
  <c r="E130"/>
  <c r="E129"/>
  <c r="E128"/>
  <c r="E127"/>
  <c r="E126"/>
  <c r="E125"/>
  <c r="E124"/>
  <c r="G121"/>
  <c r="F121"/>
  <c r="D121"/>
  <c r="C121"/>
  <c r="B121"/>
  <c r="E120"/>
  <c r="E119"/>
  <c r="E118"/>
  <c r="E117"/>
  <c r="E116"/>
  <c r="E115"/>
  <c r="E114"/>
  <c r="E113"/>
  <c r="E121" s="1"/>
  <c r="G110"/>
  <c r="F110"/>
  <c r="D110"/>
  <c r="C110"/>
  <c r="B110"/>
  <c r="E109"/>
  <c r="E108"/>
  <c r="E107"/>
  <c r="E106"/>
  <c r="E105"/>
  <c r="E104"/>
  <c r="E103"/>
  <c r="E102"/>
  <c r="G99"/>
  <c r="F99"/>
  <c r="D99"/>
  <c r="C99"/>
  <c r="B99"/>
  <c r="E98"/>
  <c r="E97"/>
  <c r="E96"/>
  <c r="E95"/>
  <c r="E94"/>
  <c r="E93"/>
  <c r="E92"/>
  <c r="E91"/>
  <c r="E99" s="1"/>
  <c r="G88"/>
  <c r="F88"/>
  <c r="D88"/>
  <c r="C88"/>
  <c r="B88"/>
  <c r="E87"/>
  <c r="E86"/>
  <c r="E85"/>
  <c r="E84"/>
  <c r="E83"/>
  <c r="E82"/>
  <c r="E81"/>
  <c r="E80"/>
  <c r="G77"/>
  <c r="F77"/>
  <c r="D77"/>
  <c r="C77"/>
  <c r="B77"/>
  <c r="E76"/>
  <c r="E75"/>
  <c r="E74"/>
  <c r="E73"/>
  <c r="E72"/>
  <c r="E71"/>
  <c r="E70"/>
  <c r="E69"/>
  <c r="E77" s="1"/>
  <c r="G66"/>
  <c r="F66"/>
  <c r="D66"/>
  <c r="C66"/>
  <c r="B66"/>
  <c r="E65"/>
  <c r="E64"/>
  <c r="E63"/>
  <c r="E62"/>
  <c r="E61"/>
  <c r="E60"/>
  <c r="E59"/>
  <c r="E58"/>
  <c r="G55"/>
  <c r="F55"/>
  <c r="D55"/>
  <c r="C55"/>
  <c r="B55"/>
  <c r="E54"/>
  <c r="E53"/>
  <c r="E52"/>
  <c r="E51"/>
  <c r="E50"/>
  <c r="E49"/>
  <c r="E48"/>
  <c r="E47"/>
  <c r="E55" s="1"/>
  <c r="G44"/>
  <c r="F44"/>
  <c r="D44"/>
  <c r="C44"/>
  <c r="B44"/>
  <c r="E43"/>
  <c r="E42"/>
  <c r="E41"/>
  <c r="E40"/>
  <c r="E39"/>
  <c r="E38"/>
  <c r="E37"/>
  <c r="E36"/>
  <c r="G33"/>
  <c r="F33"/>
  <c r="D33"/>
  <c r="C33"/>
  <c r="B33"/>
  <c r="E32"/>
  <c r="E31"/>
  <c r="E30"/>
  <c r="E29"/>
  <c r="E28"/>
  <c r="E27"/>
  <c r="E26"/>
  <c r="E25"/>
  <c r="E33" s="1"/>
  <c r="G22"/>
  <c r="F22"/>
  <c r="D22"/>
  <c r="C22"/>
  <c r="B22"/>
  <c r="E21"/>
  <c r="E20"/>
  <c r="E19"/>
  <c r="E18"/>
  <c r="E17"/>
  <c r="E16"/>
  <c r="E15"/>
  <c r="E14"/>
  <c r="G11"/>
  <c r="F11"/>
  <c r="D11"/>
  <c r="C11"/>
  <c r="B11"/>
  <c r="E10"/>
  <c r="E9"/>
  <c r="E8"/>
  <c r="E7"/>
  <c r="E6"/>
  <c r="E5"/>
  <c r="E4"/>
  <c r="E3"/>
  <c r="E11" s="1"/>
  <c r="I44" i="10"/>
  <c r="I33"/>
  <c r="I22"/>
  <c r="I11"/>
  <c r="E20" i="7"/>
  <c r="E19"/>
  <c r="E18"/>
  <c r="E17"/>
  <c r="E16"/>
  <c r="E15"/>
  <c r="E14"/>
  <c r="E13"/>
  <c r="E12"/>
  <c r="E10"/>
  <c r="E9"/>
  <c r="E8"/>
  <c r="E7"/>
  <c r="E6"/>
  <c r="E5"/>
  <c r="E4"/>
  <c r="E3"/>
  <c r="G132" i="12"/>
  <c r="F132"/>
  <c r="D132"/>
  <c r="C132"/>
  <c r="B132"/>
  <c r="E131"/>
  <c r="E130"/>
  <c r="E129"/>
  <c r="E128"/>
  <c r="E127"/>
  <c r="E126"/>
  <c r="E125"/>
  <c r="E124"/>
  <c r="E132" s="1"/>
  <c r="G121"/>
  <c r="F121"/>
  <c r="D121"/>
  <c r="C121"/>
  <c r="B121"/>
  <c r="E120"/>
  <c r="E119"/>
  <c r="E118"/>
  <c r="E117"/>
  <c r="E116"/>
  <c r="E115"/>
  <c r="E114"/>
  <c r="E113"/>
  <c r="G110"/>
  <c r="F110"/>
  <c r="D110"/>
  <c r="C110"/>
  <c r="B110"/>
  <c r="E109"/>
  <c r="E108"/>
  <c r="E107"/>
  <c r="E106"/>
  <c r="E105"/>
  <c r="E104"/>
  <c r="E103"/>
  <c r="E102"/>
  <c r="E110" s="1"/>
  <c r="G99"/>
  <c r="F99"/>
  <c r="D99"/>
  <c r="C99"/>
  <c r="B99"/>
  <c r="E98"/>
  <c r="E97"/>
  <c r="E96"/>
  <c r="E95"/>
  <c r="E94"/>
  <c r="E93"/>
  <c r="E92"/>
  <c r="E91"/>
  <c r="G88"/>
  <c r="F88"/>
  <c r="D88"/>
  <c r="C88"/>
  <c r="B88"/>
  <c r="E87"/>
  <c r="E86"/>
  <c r="E85"/>
  <c r="E84"/>
  <c r="E83"/>
  <c r="E82"/>
  <c r="E81"/>
  <c r="E80"/>
  <c r="E88" s="1"/>
  <c r="G77"/>
  <c r="F77"/>
  <c r="D77"/>
  <c r="C77"/>
  <c r="B77"/>
  <c r="E76"/>
  <c r="E75"/>
  <c r="E74"/>
  <c r="E73"/>
  <c r="E72"/>
  <c r="E71"/>
  <c r="E70"/>
  <c r="E69"/>
  <c r="G66"/>
  <c r="F66"/>
  <c r="D66"/>
  <c r="C66"/>
  <c r="B66"/>
  <c r="E65"/>
  <c r="E64"/>
  <c r="E63"/>
  <c r="E62"/>
  <c r="E61"/>
  <c r="E60"/>
  <c r="E59"/>
  <c r="E58"/>
  <c r="G55"/>
  <c r="F55"/>
  <c r="D55"/>
  <c r="C55"/>
  <c r="B55"/>
  <c r="E54"/>
  <c r="E53"/>
  <c r="E52"/>
  <c r="E51"/>
  <c r="E50"/>
  <c r="E49"/>
  <c r="E48"/>
  <c r="E47"/>
  <c r="G44"/>
  <c r="F44"/>
  <c r="D44"/>
  <c r="C44"/>
  <c r="B44"/>
  <c r="E43"/>
  <c r="E42"/>
  <c r="E41"/>
  <c r="E40"/>
  <c r="E39"/>
  <c r="E38"/>
  <c r="E37"/>
  <c r="E36"/>
  <c r="G33"/>
  <c r="F33"/>
  <c r="D33"/>
  <c r="C33"/>
  <c r="B33"/>
  <c r="E32"/>
  <c r="E31"/>
  <c r="E30"/>
  <c r="E29"/>
  <c r="E28"/>
  <c r="E27"/>
  <c r="E26"/>
  <c r="E25"/>
  <c r="E33" s="1"/>
  <c r="G22"/>
  <c r="F22"/>
  <c r="D22"/>
  <c r="C22"/>
  <c r="B22"/>
  <c r="E21"/>
  <c r="E20"/>
  <c r="E19"/>
  <c r="E18"/>
  <c r="E17"/>
  <c r="E16"/>
  <c r="E15"/>
  <c r="E14"/>
  <c r="G11"/>
  <c r="F11"/>
  <c r="D11"/>
  <c r="C11"/>
  <c r="B11"/>
  <c r="E10"/>
  <c r="E9"/>
  <c r="E8"/>
  <c r="E7"/>
  <c r="E6"/>
  <c r="E5"/>
  <c r="E4"/>
  <c r="E3"/>
  <c r="E11" s="1"/>
  <c r="O44" i="11"/>
  <c r="N44"/>
  <c r="L44"/>
  <c r="K44"/>
  <c r="J44"/>
  <c r="M43"/>
  <c r="M42"/>
  <c r="M41"/>
  <c r="M40"/>
  <c r="M39"/>
  <c r="M38"/>
  <c r="M37"/>
  <c r="M36"/>
  <c r="O33"/>
  <c r="N33"/>
  <c r="L33"/>
  <c r="K33"/>
  <c r="J33"/>
  <c r="M32"/>
  <c r="M31"/>
  <c r="M30"/>
  <c r="M29"/>
  <c r="M28"/>
  <c r="M27"/>
  <c r="M26"/>
  <c r="M25"/>
  <c r="O22"/>
  <c r="N22"/>
  <c r="L22"/>
  <c r="K22"/>
  <c r="J22"/>
  <c r="M21"/>
  <c r="M20"/>
  <c r="M19"/>
  <c r="M18"/>
  <c r="M17"/>
  <c r="M16"/>
  <c r="M15"/>
  <c r="M14"/>
  <c r="O11"/>
  <c r="N11"/>
  <c r="L11"/>
  <c r="K11"/>
  <c r="J11"/>
  <c r="M10"/>
  <c r="M9"/>
  <c r="M8"/>
  <c r="M7"/>
  <c r="M6"/>
  <c r="M5"/>
  <c r="M4"/>
  <c r="M3"/>
  <c r="R44" i="9"/>
  <c r="R43"/>
  <c r="R42"/>
  <c r="R41"/>
  <c r="R40"/>
  <c r="R39"/>
  <c r="R38"/>
  <c r="R37"/>
  <c r="R36"/>
  <c r="M34"/>
  <c r="M35"/>
  <c r="M36"/>
  <c r="M37"/>
  <c r="M38"/>
  <c r="M39"/>
  <c r="M40"/>
  <c r="M41"/>
  <c r="M42"/>
  <c r="M43"/>
  <c r="M44"/>
  <c r="I34"/>
  <c r="I35"/>
  <c r="I36"/>
  <c r="I37"/>
  <c r="I38"/>
  <c r="I39"/>
  <c r="I40"/>
  <c r="I41"/>
  <c r="I42"/>
  <c r="I43"/>
  <c r="I44"/>
  <c r="E34"/>
  <c r="E35"/>
  <c r="E36"/>
  <c r="E37"/>
  <c r="E38"/>
  <c r="E39"/>
  <c r="E40"/>
  <c r="E41"/>
  <c r="E42"/>
  <c r="E43"/>
  <c r="E44"/>
  <c r="O132" i="10"/>
  <c r="N132"/>
  <c r="L132"/>
  <c r="K132"/>
  <c r="J132"/>
  <c r="M131"/>
  <c r="M130"/>
  <c r="M129"/>
  <c r="M128"/>
  <c r="M127"/>
  <c r="M126"/>
  <c r="M125"/>
  <c r="M124"/>
  <c r="K121"/>
  <c r="L121"/>
  <c r="N121"/>
  <c r="O121"/>
  <c r="J121"/>
  <c r="M114"/>
  <c r="M115"/>
  <c r="M116"/>
  <c r="M117"/>
  <c r="M118"/>
  <c r="M119"/>
  <c r="M120"/>
  <c r="M113"/>
  <c r="M121" s="1"/>
  <c r="O110"/>
  <c r="N110"/>
  <c r="L110"/>
  <c r="K110"/>
  <c r="J110"/>
  <c r="M109"/>
  <c r="M108"/>
  <c r="M107"/>
  <c r="M106"/>
  <c r="M105"/>
  <c r="M104"/>
  <c r="M103"/>
  <c r="M110" s="1"/>
  <c r="M102"/>
  <c r="O99"/>
  <c r="N99"/>
  <c r="L99"/>
  <c r="K99"/>
  <c r="J99"/>
  <c r="M98"/>
  <c r="M97"/>
  <c r="M96"/>
  <c r="M95"/>
  <c r="M94"/>
  <c r="M93"/>
  <c r="M92"/>
  <c r="M91"/>
  <c r="M87"/>
  <c r="O88"/>
  <c r="N88"/>
  <c r="L88"/>
  <c r="K88"/>
  <c r="J88"/>
  <c r="M86"/>
  <c r="M85"/>
  <c r="M84"/>
  <c r="M83"/>
  <c r="M82"/>
  <c r="M81"/>
  <c r="M80"/>
  <c r="O77"/>
  <c r="N77"/>
  <c r="L77"/>
  <c r="K77"/>
  <c r="J77"/>
  <c r="M76"/>
  <c r="M75"/>
  <c r="M74"/>
  <c r="M73"/>
  <c r="M72"/>
  <c r="M71"/>
  <c r="M70"/>
  <c r="M69"/>
  <c r="N66"/>
  <c r="L66"/>
  <c r="K66"/>
  <c r="J66"/>
  <c r="O66"/>
  <c r="M65"/>
  <c r="M64"/>
  <c r="M63"/>
  <c r="M62"/>
  <c r="M61"/>
  <c r="M60"/>
  <c r="M59"/>
  <c r="M58"/>
  <c r="M66" s="1"/>
  <c r="O55"/>
  <c r="N55"/>
  <c r="L55"/>
  <c r="K55"/>
  <c r="J55"/>
  <c r="M54"/>
  <c r="M53"/>
  <c r="M52"/>
  <c r="M51"/>
  <c r="M50"/>
  <c r="M49"/>
  <c r="M48"/>
  <c r="M47"/>
  <c r="K44"/>
  <c r="L44"/>
  <c r="M44"/>
  <c r="N44"/>
  <c r="O44"/>
  <c r="J44"/>
  <c r="M37"/>
  <c r="M38"/>
  <c r="M39"/>
  <c r="M40"/>
  <c r="M41"/>
  <c r="M42"/>
  <c r="M43"/>
  <c r="M36"/>
  <c r="M33" i="9"/>
  <c r="I33"/>
  <c r="J36" s="1"/>
  <c r="E33"/>
  <c r="R35"/>
  <c r="R34"/>
  <c r="R33"/>
  <c r="P44"/>
  <c r="P43"/>
  <c r="P42"/>
  <c r="P41"/>
  <c r="P40"/>
  <c r="P39"/>
  <c r="P38"/>
  <c r="P37"/>
  <c r="P36"/>
  <c r="P35"/>
  <c r="P34"/>
  <c r="P33"/>
  <c r="O33" i="10"/>
  <c r="N33"/>
  <c r="L33"/>
  <c r="L22"/>
  <c r="K33"/>
  <c r="J33"/>
  <c r="M26"/>
  <c r="M27"/>
  <c r="M28"/>
  <c r="M29"/>
  <c r="M30"/>
  <c r="M31"/>
  <c r="M32"/>
  <c r="M25"/>
  <c r="M33" s="1"/>
  <c r="K22"/>
  <c r="N22"/>
  <c r="O22"/>
  <c r="J22"/>
  <c r="M15"/>
  <c r="M16"/>
  <c r="M17"/>
  <c r="M18"/>
  <c r="M19"/>
  <c r="M20"/>
  <c r="M21"/>
  <c r="M14"/>
  <c r="M22" s="1"/>
  <c r="K11"/>
  <c r="L11"/>
  <c r="N11"/>
  <c r="O11"/>
  <c r="J11"/>
  <c r="M4"/>
  <c r="M5"/>
  <c r="M6"/>
  <c r="M7"/>
  <c r="M8"/>
  <c r="M9"/>
  <c r="M10"/>
  <c r="M3"/>
  <c r="M11" s="1"/>
  <c r="P30" i="9"/>
  <c r="P29"/>
  <c r="P28"/>
  <c r="P27"/>
  <c r="P26"/>
  <c r="P25"/>
  <c r="P24"/>
  <c r="P23"/>
  <c r="P22"/>
  <c r="P21"/>
  <c r="P20"/>
  <c r="P19"/>
  <c r="G88" i="11"/>
  <c r="F88"/>
  <c r="D88"/>
  <c r="C88"/>
  <c r="B88"/>
  <c r="E87"/>
  <c r="E86"/>
  <c r="E85"/>
  <c r="E84"/>
  <c r="E83"/>
  <c r="E82"/>
  <c r="E81"/>
  <c r="E80"/>
  <c r="G132"/>
  <c r="F132"/>
  <c r="D132"/>
  <c r="C132"/>
  <c r="B132"/>
  <c r="E131"/>
  <c r="E130"/>
  <c r="E129"/>
  <c r="E128"/>
  <c r="E127"/>
  <c r="E126"/>
  <c r="E125"/>
  <c r="E124"/>
  <c r="E132" s="1"/>
  <c r="G121"/>
  <c r="F121"/>
  <c r="D121"/>
  <c r="C121"/>
  <c r="B121"/>
  <c r="E120"/>
  <c r="E119"/>
  <c r="E118"/>
  <c r="E117"/>
  <c r="E116"/>
  <c r="E115"/>
  <c r="E114"/>
  <c r="E113"/>
  <c r="G110"/>
  <c r="F110"/>
  <c r="D110"/>
  <c r="C110"/>
  <c r="B110"/>
  <c r="E109"/>
  <c r="E108"/>
  <c r="E107"/>
  <c r="E106"/>
  <c r="E105"/>
  <c r="E104"/>
  <c r="E103"/>
  <c r="E102"/>
  <c r="E110" s="1"/>
  <c r="G99"/>
  <c r="F99"/>
  <c r="D99"/>
  <c r="C99"/>
  <c r="B99"/>
  <c r="E98"/>
  <c r="E97"/>
  <c r="E96"/>
  <c r="E95"/>
  <c r="E94"/>
  <c r="E93"/>
  <c r="E92"/>
  <c r="E91"/>
  <c r="G77"/>
  <c r="F77"/>
  <c r="D77"/>
  <c r="C77"/>
  <c r="B77"/>
  <c r="E76"/>
  <c r="E75"/>
  <c r="E74"/>
  <c r="E73"/>
  <c r="E72"/>
  <c r="E71"/>
  <c r="E70"/>
  <c r="E69"/>
  <c r="E77" s="1"/>
  <c r="G66"/>
  <c r="F66"/>
  <c r="D66"/>
  <c r="C66"/>
  <c r="B66"/>
  <c r="E65"/>
  <c r="E64"/>
  <c r="E63"/>
  <c r="E62"/>
  <c r="E61"/>
  <c r="E60"/>
  <c r="E59"/>
  <c r="E58"/>
  <c r="G55"/>
  <c r="F55"/>
  <c r="D55"/>
  <c r="C55"/>
  <c r="B55"/>
  <c r="E54"/>
  <c r="E53"/>
  <c r="E52"/>
  <c r="E51"/>
  <c r="E50"/>
  <c r="E49"/>
  <c r="E48"/>
  <c r="E47"/>
  <c r="E55" s="1"/>
  <c r="G44"/>
  <c r="F44"/>
  <c r="D44"/>
  <c r="C44"/>
  <c r="B44"/>
  <c r="E43"/>
  <c r="E42"/>
  <c r="E41"/>
  <c r="E40"/>
  <c r="E39"/>
  <c r="E38"/>
  <c r="E37"/>
  <c r="E36"/>
  <c r="G33"/>
  <c r="F33"/>
  <c r="D33"/>
  <c r="C33"/>
  <c r="B33"/>
  <c r="E32"/>
  <c r="E31"/>
  <c r="E30"/>
  <c r="E29"/>
  <c r="E28"/>
  <c r="E27"/>
  <c r="E26"/>
  <c r="E25"/>
  <c r="E33" s="1"/>
  <c r="G22"/>
  <c r="F22"/>
  <c r="D22"/>
  <c r="C22"/>
  <c r="B22"/>
  <c r="E21"/>
  <c r="E20"/>
  <c r="E19"/>
  <c r="E18"/>
  <c r="E17"/>
  <c r="E16"/>
  <c r="E15"/>
  <c r="E14"/>
  <c r="G11"/>
  <c r="F11"/>
  <c r="D11"/>
  <c r="C11"/>
  <c r="B11"/>
  <c r="E10"/>
  <c r="E9"/>
  <c r="E8"/>
  <c r="E7"/>
  <c r="E6"/>
  <c r="E5"/>
  <c r="E4"/>
  <c r="E3"/>
  <c r="M20" i="9"/>
  <c r="M21"/>
  <c r="M22"/>
  <c r="M23"/>
  <c r="M24"/>
  <c r="N26" s="1"/>
  <c r="M25"/>
  <c r="M26"/>
  <c r="M27"/>
  <c r="M28"/>
  <c r="M29"/>
  <c r="M30"/>
  <c r="M19"/>
  <c r="M6"/>
  <c r="N8" s="1"/>
  <c r="M7"/>
  <c r="M8"/>
  <c r="M9"/>
  <c r="M10"/>
  <c r="N12" s="1"/>
  <c r="M11"/>
  <c r="M12"/>
  <c r="M13"/>
  <c r="M14"/>
  <c r="M15"/>
  <c r="M16"/>
  <c r="M5"/>
  <c r="E20"/>
  <c r="E21"/>
  <c r="E22"/>
  <c r="E23"/>
  <c r="E24"/>
  <c r="E25"/>
  <c r="E26"/>
  <c r="E27"/>
  <c r="E28"/>
  <c r="E29"/>
  <c r="E30"/>
  <c r="E19"/>
  <c r="E6"/>
  <c r="F8" s="1"/>
  <c r="E7"/>
  <c r="E8"/>
  <c r="E9"/>
  <c r="E10"/>
  <c r="E11"/>
  <c r="E12"/>
  <c r="E13"/>
  <c r="E14"/>
  <c r="E15"/>
  <c r="E16"/>
  <c r="E5"/>
  <c r="F12"/>
  <c r="R30"/>
  <c r="S30" s="1"/>
  <c r="S29"/>
  <c r="R28"/>
  <c r="S28" s="1"/>
  <c r="R27"/>
  <c r="S27" s="1"/>
  <c r="R26"/>
  <c r="S26" s="1"/>
  <c r="R24"/>
  <c r="S24" s="1"/>
  <c r="R23"/>
  <c r="S23" s="1"/>
  <c r="R22"/>
  <c r="S22" s="1"/>
  <c r="R21"/>
  <c r="S21" s="1"/>
  <c r="R20"/>
  <c r="S20" s="1"/>
  <c r="R19"/>
  <c r="S19" s="1"/>
  <c r="N30"/>
  <c r="N22"/>
  <c r="I20"/>
  <c r="I21"/>
  <c r="I22"/>
  <c r="I23"/>
  <c r="I24"/>
  <c r="I25"/>
  <c r="I26"/>
  <c r="I27"/>
  <c r="I28"/>
  <c r="I29"/>
  <c r="I30"/>
  <c r="I19"/>
  <c r="J22" s="1"/>
  <c r="G132" i="10"/>
  <c r="F132"/>
  <c r="D132"/>
  <c r="C132"/>
  <c r="B132"/>
  <c r="E131"/>
  <c r="E130"/>
  <c r="E129"/>
  <c r="E128"/>
  <c r="E127"/>
  <c r="E126"/>
  <c r="E125"/>
  <c r="E124"/>
  <c r="G121"/>
  <c r="F121"/>
  <c r="D121"/>
  <c r="C121"/>
  <c r="B121"/>
  <c r="E120"/>
  <c r="E119"/>
  <c r="E118"/>
  <c r="E117"/>
  <c r="E116"/>
  <c r="E115"/>
  <c r="E114"/>
  <c r="E113"/>
  <c r="E121" s="1"/>
  <c r="G110"/>
  <c r="F110"/>
  <c r="D110"/>
  <c r="C110"/>
  <c r="B110"/>
  <c r="E109"/>
  <c r="E108"/>
  <c r="E107"/>
  <c r="E106"/>
  <c r="E105"/>
  <c r="E104"/>
  <c r="E103"/>
  <c r="E102"/>
  <c r="G99"/>
  <c r="F99"/>
  <c r="D99"/>
  <c r="C99"/>
  <c r="B99"/>
  <c r="E98"/>
  <c r="E97"/>
  <c r="E96"/>
  <c r="E95"/>
  <c r="E94"/>
  <c r="E93"/>
  <c r="E92"/>
  <c r="E91"/>
  <c r="E99" s="1"/>
  <c r="G88"/>
  <c r="F88"/>
  <c r="D88"/>
  <c r="C88"/>
  <c r="B88"/>
  <c r="E87"/>
  <c r="E86"/>
  <c r="E85"/>
  <c r="E84"/>
  <c r="E83"/>
  <c r="E82"/>
  <c r="E81"/>
  <c r="E80"/>
  <c r="G77"/>
  <c r="F77"/>
  <c r="D77"/>
  <c r="C77"/>
  <c r="B77"/>
  <c r="E76"/>
  <c r="E75"/>
  <c r="E74"/>
  <c r="E73"/>
  <c r="E72"/>
  <c r="E71"/>
  <c r="E70"/>
  <c r="E69"/>
  <c r="E77" s="1"/>
  <c r="G66"/>
  <c r="F66"/>
  <c r="D66"/>
  <c r="C66"/>
  <c r="B66"/>
  <c r="E65"/>
  <c r="E64"/>
  <c r="E63"/>
  <c r="E62"/>
  <c r="E61"/>
  <c r="E60"/>
  <c r="E59"/>
  <c r="E58"/>
  <c r="G55"/>
  <c r="F55"/>
  <c r="D55"/>
  <c r="C55"/>
  <c r="B55"/>
  <c r="E54"/>
  <c r="E53"/>
  <c r="E52"/>
  <c r="E51"/>
  <c r="E50"/>
  <c r="E49"/>
  <c r="E48"/>
  <c r="E47"/>
  <c r="E55" s="1"/>
  <c r="G44"/>
  <c r="F44"/>
  <c r="D44"/>
  <c r="C44"/>
  <c r="B44"/>
  <c r="E43"/>
  <c r="E42"/>
  <c r="E41"/>
  <c r="E40"/>
  <c r="E39"/>
  <c r="E38"/>
  <c r="E37"/>
  <c r="E36"/>
  <c r="G33"/>
  <c r="F33"/>
  <c r="D33"/>
  <c r="C33"/>
  <c r="B33"/>
  <c r="E32"/>
  <c r="E31"/>
  <c r="E30"/>
  <c r="E29"/>
  <c r="E28"/>
  <c r="E27"/>
  <c r="E26"/>
  <c r="E25"/>
  <c r="G22"/>
  <c r="F22"/>
  <c r="D22"/>
  <c r="C22"/>
  <c r="B22"/>
  <c r="E21"/>
  <c r="E20"/>
  <c r="E19"/>
  <c r="E18"/>
  <c r="E17"/>
  <c r="E16"/>
  <c r="E15"/>
  <c r="E14"/>
  <c r="G11"/>
  <c r="F11"/>
  <c r="D11"/>
  <c r="C11"/>
  <c r="B11"/>
  <c r="E10"/>
  <c r="E9"/>
  <c r="E8"/>
  <c r="E7"/>
  <c r="E6"/>
  <c r="E5"/>
  <c r="E4"/>
  <c r="E3"/>
  <c r="J132" i="8"/>
  <c r="J121"/>
  <c r="J110"/>
  <c r="J99"/>
  <c r="J88"/>
  <c r="J77"/>
  <c r="J66"/>
  <c r="J55"/>
  <c r="J44"/>
  <c r="J33"/>
  <c r="J22"/>
  <c r="J11"/>
  <c r="N16" i="9"/>
  <c r="R16"/>
  <c r="R15"/>
  <c r="R14"/>
  <c r="R13"/>
  <c r="R12"/>
  <c r="R11"/>
  <c r="R10"/>
  <c r="R9"/>
  <c r="R8"/>
  <c r="R7"/>
  <c r="R6"/>
  <c r="R5"/>
  <c r="P16"/>
  <c r="P15"/>
  <c r="P14"/>
  <c r="P13"/>
  <c r="P12"/>
  <c r="P11"/>
  <c r="P10"/>
  <c r="P9"/>
  <c r="P8"/>
  <c r="P7"/>
  <c r="P6"/>
  <c r="P5"/>
  <c r="I16"/>
  <c r="I15"/>
  <c r="I14"/>
  <c r="I13"/>
  <c r="I12"/>
  <c r="I11"/>
  <c r="I10"/>
  <c r="I9"/>
  <c r="I8"/>
  <c r="I7"/>
  <c r="I6"/>
  <c r="I5"/>
  <c r="G132" i="8"/>
  <c r="M132" s="1"/>
  <c r="F132"/>
  <c r="D132"/>
  <c r="C132"/>
  <c r="B132"/>
  <c r="E131"/>
  <c r="E130"/>
  <c r="E129"/>
  <c r="E128"/>
  <c r="E127"/>
  <c r="E126"/>
  <c r="E125"/>
  <c r="E124"/>
  <c r="E132" s="1"/>
  <c r="G121"/>
  <c r="M121" s="1"/>
  <c r="F121"/>
  <c r="D121"/>
  <c r="C121"/>
  <c r="B121"/>
  <c r="E120"/>
  <c r="E119"/>
  <c r="E118"/>
  <c r="E117"/>
  <c r="E116"/>
  <c r="E115"/>
  <c r="E114"/>
  <c r="E113"/>
  <c r="G110"/>
  <c r="M110" s="1"/>
  <c r="F110"/>
  <c r="D110"/>
  <c r="C110"/>
  <c r="B110"/>
  <c r="E109"/>
  <c r="E108"/>
  <c r="E107"/>
  <c r="E106"/>
  <c r="E105"/>
  <c r="E104"/>
  <c r="E103"/>
  <c r="E102"/>
  <c r="E110" s="1"/>
  <c r="G99"/>
  <c r="M99" s="1"/>
  <c r="F99"/>
  <c r="D99"/>
  <c r="C99"/>
  <c r="B99"/>
  <c r="E98"/>
  <c r="E97"/>
  <c r="E96"/>
  <c r="E95"/>
  <c r="E94"/>
  <c r="E93"/>
  <c r="E92"/>
  <c r="E91"/>
  <c r="G88"/>
  <c r="M88" s="1"/>
  <c r="F88"/>
  <c r="D88"/>
  <c r="C88"/>
  <c r="B88"/>
  <c r="E87"/>
  <c r="E86"/>
  <c r="E85"/>
  <c r="E84"/>
  <c r="E83"/>
  <c r="E82"/>
  <c r="E81"/>
  <c r="E80"/>
  <c r="E88" s="1"/>
  <c r="G77"/>
  <c r="M77" s="1"/>
  <c r="F77"/>
  <c r="D77"/>
  <c r="C77"/>
  <c r="B77"/>
  <c r="E76"/>
  <c r="E75"/>
  <c r="E74"/>
  <c r="E73"/>
  <c r="E72"/>
  <c r="E71"/>
  <c r="E70"/>
  <c r="E69"/>
  <c r="G66"/>
  <c r="M66" s="1"/>
  <c r="F66"/>
  <c r="D66"/>
  <c r="C66"/>
  <c r="B66"/>
  <c r="E65"/>
  <c r="E64"/>
  <c r="E63"/>
  <c r="E62"/>
  <c r="E61"/>
  <c r="E60"/>
  <c r="E59"/>
  <c r="E58"/>
  <c r="E66" s="1"/>
  <c r="G55"/>
  <c r="M55" s="1"/>
  <c r="F55"/>
  <c r="D55"/>
  <c r="C55"/>
  <c r="B55"/>
  <c r="E54"/>
  <c r="E53"/>
  <c r="E52"/>
  <c r="E51"/>
  <c r="E50"/>
  <c r="E49"/>
  <c r="E48"/>
  <c r="E47"/>
  <c r="G44"/>
  <c r="M44" s="1"/>
  <c r="F44"/>
  <c r="D44"/>
  <c r="C44"/>
  <c r="B44"/>
  <c r="E43"/>
  <c r="E42"/>
  <c r="E41"/>
  <c r="E40"/>
  <c r="E39"/>
  <c r="E38"/>
  <c r="E37"/>
  <c r="E36"/>
  <c r="E44" s="1"/>
  <c r="G33"/>
  <c r="M33" s="1"/>
  <c r="F33"/>
  <c r="D33"/>
  <c r="C33"/>
  <c r="B33"/>
  <c r="E32"/>
  <c r="E31"/>
  <c r="E30"/>
  <c r="E29"/>
  <c r="E28"/>
  <c r="E27"/>
  <c r="E26"/>
  <c r="E25"/>
  <c r="G22"/>
  <c r="M22" s="1"/>
  <c r="F22"/>
  <c r="D22"/>
  <c r="C22"/>
  <c r="B22"/>
  <c r="E21"/>
  <c r="E20"/>
  <c r="E19"/>
  <c r="E18"/>
  <c r="E17"/>
  <c r="E16"/>
  <c r="E15"/>
  <c r="E14"/>
  <c r="E22" s="1"/>
  <c r="G11"/>
  <c r="M11" s="1"/>
  <c r="F11"/>
  <c r="D11"/>
  <c r="C11"/>
  <c r="B11"/>
  <c r="E10"/>
  <c r="E9"/>
  <c r="E8"/>
  <c r="E7"/>
  <c r="E6"/>
  <c r="E5"/>
  <c r="E4"/>
  <c r="E3"/>
  <c r="E11" s="1"/>
  <c r="I7" i="7"/>
  <c r="G7"/>
  <c r="I15"/>
  <c r="I14"/>
  <c r="G15"/>
  <c r="G14"/>
  <c r="L20"/>
  <c r="G20"/>
  <c r="I20"/>
  <c r="L19"/>
  <c r="L18"/>
  <c r="I19"/>
  <c r="G19"/>
  <c r="G16"/>
  <c r="I16"/>
  <c r="I17"/>
  <c r="G17"/>
  <c r="G132" i="6"/>
  <c r="F132"/>
  <c r="D132"/>
  <c r="C132"/>
  <c r="B132"/>
  <c r="E131"/>
  <c r="E130"/>
  <c r="E129"/>
  <c r="E128"/>
  <c r="E127"/>
  <c r="E126"/>
  <c r="E125"/>
  <c r="E124"/>
  <c r="E132" s="1"/>
  <c r="G121"/>
  <c r="F121"/>
  <c r="D121"/>
  <c r="C121"/>
  <c r="B121"/>
  <c r="E120"/>
  <c r="E119"/>
  <c r="E118"/>
  <c r="E117"/>
  <c r="E116"/>
  <c r="E115"/>
  <c r="E114"/>
  <c r="E113"/>
  <c r="G110"/>
  <c r="F110"/>
  <c r="D110"/>
  <c r="C110"/>
  <c r="B110"/>
  <c r="E109"/>
  <c r="E108"/>
  <c r="E107"/>
  <c r="E106"/>
  <c r="E105"/>
  <c r="E104"/>
  <c r="E103"/>
  <c r="E102"/>
  <c r="E110" s="1"/>
  <c r="G99"/>
  <c r="F99"/>
  <c r="D99"/>
  <c r="C99"/>
  <c r="B99"/>
  <c r="E98"/>
  <c r="E97"/>
  <c r="E96"/>
  <c r="E95"/>
  <c r="E94"/>
  <c r="E93"/>
  <c r="E92"/>
  <c r="E99" s="1"/>
  <c r="E91"/>
  <c r="I18" i="7"/>
  <c r="G18"/>
  <c r="G4"/>
  <c r="I4"/>
  <c r="G3"/>
  <c r="I3"/>
  <c r="I10"/>
  <c r="G10"/>
  <c r="G6"/>
  <c r="G5"/>
  <c r="I6"/>
  <c r="I5"/>
  <c r="I13"/>
  <c r="I12"/>
  <c r="I9"/>
  <c r="I8"/>
  <c r="I2"/>
  <c r="J3" s="1"/>
  <c r="M3" s="1"/>
  <c r="G13"/>
  <c r="G12"/>
  <c r="G9"/>
  <c r="G8"/>
  <c r="G88" i="6"/>
  <c r="F88"/>
  <c r="D88"/>
  <c r="C88"/>
  <c r="B88"/>
  <c r="E87"/>
  <c r="E86"/>
  <c r="E85"/>
  <c r="E84"/>
  <c r="E83"/>
  <c r="E82"/>
  <c r="E81"/>
  <c r="E80"/>
  <c r="E88" s="1"/>
  <c r="G77"/>
  <c r="F77"/>
  <c r="D77"/>
  <c r="C77"/>
  <c r="B77"/>
  <c r="E76"/>
  <c r="E75"/>
  <c r="E74"/>
  <c r="E73"/>
  <c r="E72"/>
  <c r="E71"/>
  <c r="E70"/>
  <c r="E69"/>
  <c r="E77" s="1"/>
  <c r="G66"/>
  <c r="F66"/>
  <c r="D66"/>
  <c r="C66"/>
  <c r="B66"/>
  <c r="E65"/>
  <c r="E64"/>
  <c r="E63"/>
  <c r="E62"/>
  <c r="E61"/>
  <c r="E60"/>
  <c r="E59"/>
  <c r="E58"/>
  <c r="E66" s="1"/>
  <c r="G55"/>
  <c r="F55"/>
  <c r="D55"/>
  <c r="C55"/>
  <c r="B55"/>
  <c r="E54"/>
  <c r="E53"/>
  <c r="E52"/>
  <c r="E51"/>
  <c r="E50"/>
  <c r="E49"/>
  <c r="E48"/>
  <c r="E47"/>
  <c r="E55" s="1"/>
  <c r="G44"/>
  <c r="F44"/>
  <c r="D44"/>
  <c r="C44"/>
  <c r="B44"/>
  <c r="E43"/>
  <c r="E42"/>
  <c r="E41"/>
  <c r="E40"/>
  <c r="E39"/>
  <c r="E38"/>
  <c r="E37"/>
  <c r="E44" s="1"/>
  <c r="E36"/>
  <c r="G33"/>
  <c r="F33"/>
  <c r="D33"/>
  <c r="C33"/>
  <c r="B33"/>
  <c r="E32"/>
  <c r="E31"/>
  <c r="E30"/>
  <c r="E29"/>
  <c r="E28"/>
  <c r="E27"/>
  <c r="E26"/>
  <c r="E25"/>
  <c r="E33" s="1"/>
  <c r="F22"/>
  <c r="G22"/>
  <c r="D22"/>
  <c r="C22"/>
  <c r="B22"/>
  <c r="E21"/>
  <c r="E20"/>
  <c r="E19"/>
  <c r="E18"/>
  <c r="E17"/>
  <c r="E16"/>
  <c r="E15"/>
  <c r="E14"/>
  <c r="G11"/>
  <c r="F11"/>
  <c r="D11"/>
  <c r="C11"/>
  <c r="B11"/>
  <c r="E10"/>
  <c r="E9"/>
  <c r="E8"/>
  <c r="E7"/>
  <c r="E6"/>
  <c r="E5"/>
  <c r="E4"/>
  <c r="E3"/>
  <c r="T58" i="9" l="1"/>
  <c r="S52"/>
  <c r="N54"/>
  <c r="N50"/>
  <c r="U58"/>
  <c r="J54"/>
  <c r="U50"/>
  <c r="T54"/>
  <c r="U54" s="1"/>
  <c r="E110" i="16"/>
  <c r="E99"/>
  <c r="E77"/>
  <c r="E66"/>
  <c r="E55"/>
  <c r="E33"/>
  <c r="E22"/>
  <c r="E11"/>
  <c r="S35" i="9"/>
  <c r="J44"/>
  <c r="J40"/>
  <c r="S37"/>
  <c r="S39"/>
  <c r="S41"/>
  <c r="S43"/>
  <c r="J8"/>
  <c r="J12"/>
  <c r="J16"/>
  <c r="S34"/>
  <c r="F36"/>
  <c r="N36"/>
  <c r="F44"/>
  <c r="F40"/>
  <c r="N44"/>
  <c r="N40"/>
  <c r="S36"/>
  <c r="S38"/>
  <c r="S40"/>
  <c r="S42"/>
  <c r="S44"/>
  <c r="E33" i="15"/>
  <c r="S5" i="9"/>
  <c r="T8" s="1"/>
  <c r="U8" s="1"/>
  <c r="S7"/>
  <c r="S9"/>
  <c r="S11"/>
  <c r="S13"/>
  <c r="S15"/>
  <c r="S33"/>
  <c r="T36" s="1"/>
  <c r="U36" s="1"/>
  <c r="S6"/>
  <c r="S8"/>
  <c r="S10"/>
  <c r="S12"/>
  <c r="S14"/>
  <c r="S16"/>
  <c r="F16"/>
  <c r="M23" i="13"/>
  <c r="E132"/>
  <c r="E110"/>
  <c r="E88"/>
  <c r="E66"/>
  <c r="E44"/>
  <c r="E22"/>
  <c r="E121" i="12"/>
  <c r="E99"/>
  <c r="E77"/>
  <c r="E66"/>
  <c r="E55"/>
  <c r="E44"/>
  <c r="E22"/>
  <c r="M44" i="11"/>
  <c r="M33"/>
  <c r="M22"/>
  <c r="M11"/>
  <c r="M132" i="10"/>
  <c r="M99"/>
  <c r="M88"/>
  <c r="M77"/>
  <c r="M55"/>
  <c r="T22" i="9"/>
  <c r="U22" s="1"/>
  <c r="T26"/>
  <c r="T30"/>
  <c r="J14" i="7"/>
  <c r="M14" s="1"/>
  <c r="T16" i="9"/>
  <c r="U16" s="1"/>
  <c r="F22"/>
  <c r="E121" i="6"/>
  <c r="J15" i="7"/>
  <c r="M15" s="1"/>
  <c r="J7"/>
  <c r="M7" s="1"/>
  <c r="E33" i="8"/>
  <c r="E55"/>
  <c r="E77"/>
  <c r="E99"/>
  <c r="E121"/>
  <c r="J30" i="9"/>
  <c r="J26"/>
  <c r="E88" i="11"/>
  <c r="F30" i="9"/>
  <c r="F26"/>
  <c r="E121" i="11"/>
  <c r="E99"/>
  <c r="E66"/>
  <c r="E44"/>
  <c r="E22"/>
  <c r="E11"/>
  <c r="E132" i="10"/>
  <c r="E110"/>
  <c r="E88"/>
  <c r="E66"/>
  <c r="E44"/>
  <c r="E33"/>
  <c r="E22"/>
  <c r="E11"/>
  <c r="J20" i="7"/>
  <c r="M20" s="1"/>
  <c r="J19"/>
  <c r="M19" s="1"/>
  <c r="J8"/>
  <c r="J16"/>
  <c r="M16" s="1"/>
  <c r="J12"/>
  <c r="M12" s="1"/>
  <c r="J5"/>
  <c r="J10"/>
  <c r="M10" s="1"/>
  <c r="J4"/>
  <c r="M4" s="1"/>
  <c r="J18"/>
  <c r="M18" s="1"/>
  <c r="J17"/>
  <c r="M17" s="1"/>
  <c r="J9"/>
  <c r="M9" s="1"/>
  <c r="J13"/>
  <c r="M13" s="1"/>
  <c r="J6"/>
  <c r="M6" s="1"/>
  <c r="E22" i="6"/>
  <c r="E11"/>
  <c r="T44" i="9" l="1"/>
  <c r="U44" s="1"/>
  <c r="T40"/>
  <c r="U40" s="1"/>
  <c r="T12"/>
  <c r="U12" s="1"/>
  <c r="U30"/>
  <c r="U26"/>
  <c r="M5" i="7"/>
  <c r="M8"/>
  <c r="E26" i="2" l="1"/>
  <c r="E27"/>
  <c r="E28"/>
  <c r="E29"/>
  <c r="E30"/>
  <c r="E31"/>
  <c r="E32"/>
  <c r="E15"/>
  <c r="E16"/>
  <c r="E17"/>
  <c r="E18"/>
  <c r="E19"/>
  <c r="E20"/>
  <c r="E21"/>
  <c r="E25"/>
  <c r="E14"/>
  <c r="E4"/>
  <c r="E5"/>
  <c r="E6"/>
  <c r="E7"/>
  <c r="E8"/>
  <c r="E9"/>
  <c r="E10"/>
  <c r="E3"/>
  <c r="E11" s="1"/>
  <c r="F33"/>
  <c r="F22"/>
  <c r="F11"/>
  <c r="C33"/>
  <c r="D33"/>
  <c r="B33"/>
  <c r="C22"/>
  <c r="D22"/>
  <c r="B22"/>
  <c r="C11"/>
  <c r="D11"/>
  <c r="B11"/>
  <c r="E33" l="1"/>
  <c r="E22"/>
</calcChain>
</file>

<file path=xl/sharedStrings.xml><?xml version="1.0" encoding="utf-8"?>
<sst xmlns="http://schemas.openxmlformats.org/spreadsheetml/2006/main" count="1311" uniqueCount="225">
  <si>
    <t>Y-PSNR</t>
  </si>
  <si>
    <t>U-PSNR</t>
  </si>
  <si>
    <t>V-PSNR</t>
  </si>
  <si>
    <t>Bit-rate</t>
  </si>
  <si>
    <t>view0</t>
    <phoneticPr fontId="1" type="noConversion"/>
  </si>
  <si>
    <t>view1</t>
    <phoneticPr fontId="1" type="noConversion"/>
  </si>
  <si>
    <t>view2</t>
    <phoneticPr fontId="1" type="noConversion"/>
  </si>
  <si>
    <t>avg</t>
    <phoneticPr fontId="1" type="noConversion"/>
  </si>
  <si>
    <t>time</t>
  </si>
  <si>
    <t>1_org</t>
    <phoneticPr fontId="1" type="noConversion"/>
  </si>
  <si>
    <t>view3</t>
  </si>
  <si>
    <t>view4</t>
  </si>
  <si>
    <t>view5</t>
  </si>
  <si>
    <t>view6</t>
  </si>
  <si>
    <t>view7</t>
  </si>
  <si>
    <t>avg</t>
    <phoneticPr fontId="1" type="noConversion"/>
  </si>
  <si>
    <t>17h5'20''</t>
    <phoneticPr fontId="1" type="noConversion"/>
  </si>
  <si>
    <t>PSNR</t>
    <phoneticPr fontId="1" type="noConversion"/>
  </si>
  <si>
    <t>7h26'25''</t>
    <phoneticPr fontId="1" type="noConversion"/>
  </si>
  <si>
    <t>3_new</t>
    <phoneticPr fontId="1" type="noConversion"/>
  </si>
  <si>
    <t>8h17'7''</t>
    <phoneticPr fontId="1" type="noConversion"/>
  </si>
  <si>
    <t>15h8'11''</t>
    <phoneticPr fontId="1" type="noConversion"/>
  </si>
  <si>
    <t>5h53'57''</t>
    <phoneticPr fontId="1" type="noConversion"/>
  </si>
  <si>
    <t>1_org_iraster</t>
    <phoneticPr fontId="1" type="noConversion"/>
  </si>
  <si>
    <t>6h13'50''</t>
    <phoneticPr fontId="1" type="noConversion"/>
  </si>
  <si>
    <t>2_paper_hex</t>
    <phoneticPr fontId="1" type="noConversion"/>
  </si>
  <si>
    <t>2_paper_horhex</t>
    <phoneticPr fontId="1" type="noConversion"/>
  </si>
  <si>
    <t>6h1'30''</t>
    <phoneticPr fontId="1" type="noConversion"/>
  </si>
  <si>
    <t>3_new_horhex</t>
    <phoneticPr fontId="1" type="noConversion"/>
  </si>
  <si>
    <t>1_org_hex</t>
    <phoneticPr fontId="1" type="noConversion"/>
  </si>
  <si>
    <t>13h41'54''</t>
    <phoneticPr fontId="1" type="noConversion"/>
  </si>
  <si>
    <t>5h50'7''</t>
    <phoneticPr fontId="1" type="noConversion"/>
  </si>
  <si>
    <t>5h47'4''</t>
    <phoneticPr fontId="1" type="noConversion"/>
  </si>
  <si>
    <t>5h50'28''</t>
    <phoneticPr fontId="1" type="noConversion"/>
  </si>
  <si>
    <t>5h38'41''</t>
    <phoneticPr fontId="1" type="noConversion"/>
  </si>
  <si>
    <t>5h42'39''</t>
    <phoneticPr fontId="1" type="noConversion"/>
  </si>
  <si>
    <t>5h28'55''</t>
    <phoneticPr fontId="1" type="noConversion"/>
  </si>
  <si>
    <t>ballroom_24</t>
    <phoneticPr fontId="1" type="noConversion"/>
  </si>
  <si>
    <t>ME-time</t>
    <phoneticPr fontId="1" type="noConversion"/>
  </si>
  <si>
    <t>ballroom_28</t>
    <phoneticPr fontId="1" type="noConversion"/>
  </si>
  <si>
    <t>ballroom_32</t>
    <phoneticPr fontId="1" type="noConversion"/>
  </si>
  <si>
    <t>ballroom_36</t>
    <phoneticPr fontId="1" type="noConversion"/>
  </si>
  <si>
    <t>ballroom_28</t>
    <phoneticPr fontId="1" type="noConversion"/>
  </si>
  <si>
    <t>ballroom_32</t>
    <phoneticPr fontId="1" type="noConversion"/>
  </si>
  <si>
    <t>ballroom_36</t>
    <phoneticPr fontId="1" type="noConversion"/>
  </si>
  <si>
    <t>17h48'14''</t>
    <phoneticPr fontId="1" type="noConversion"/>
  </si>
  <si>
    <t>16h51'50''</t>
    <phoneticPr fontId="1" type="noConversion"/>
  </si>
  <si>
    <t>15h55'6''</t>
    <phoneticPr fontId="1" type="noConversion"/>
  </si>
  <si>
    <t>14h50'17''</t>
    <phoneticPr fontId="1" type="noConversion"/>
  </si>
  <si>
    <t>exit_24</t>
    <phoneticPr fontId="1" type="noConversion"/>
  </si>
  <si>
    <t>exit_28</t>
    <phoneticPr fontId="1" type="noConversion"/>
  </si>
  <si>
    <t>exit_32</t>
    <phoneticPr fontId="1" type="noConversion"/>
  </si>
  <si>
    <t>exit_36</t>
    <phoneticPr fontId="1" type="noConversion"/>
  </si>
  <si>
    <t>14h49'30''</t>
    <phoneticPr fontId="1" type="noConversion"/>
  </si>
  <si>
    <t>13h57'4''</t>
    <phoneticPr fontId="1" type="noConversion"/>
  </si>
  <si>
    <t>13h3'32''</t>
    <phoneticPr fontId="1" type="noConversion"/>
  </si>
  <si>
    <t>5h28'54''</t>
    <phoneticPr fontId="1" type="noConversion"/>
  </si>
  <si>
    <t>%</t>
    <phoneticPr fontId="1" type="noConversion"/>
  </si>
  <si>
    <t>5h33'32''</t>
    <phoneticPr fontId="1" type="noConversion"/>
  </si>
  <si>
    <t>%</t>
    <phoneticPr fontId="1" type="noConversion"/>
  </si>
  <si>
    <t>s</t>
    <phoneticPr fontId="1" type="noConversion"/>
  </si>
  <si>
    <t>5h59'43''</t>
    <phoneticPr fontId="1" type="noConversion"/>
  </si>
  <si>
    <t>vassar_24</t>
    <phoneticPr fontId="1" type="noConversion"/>
  </si>
  <si>
    <t>vassar_28</t>
    <phoneticPr fontId="1" type="noConversion"/>
  </si>
  <si>
    <t>vassar_32</t>
    <phoneticPr fontId="1" type="noConversion"/>
  </si>
  <si>
    <t>vassar_36</t>
    <phoneticPr fontId="1" type="noConversion"/>
  </si>
  <si>
    <t>12h24'55''</t>
    <phoneticPr fontId="1" type="noConversion"/>
  </si>
  <si>
    <t>11h9'54''</t>
    <phoneticPr fontId="1" type="noConversion"/>
  </si>
  <si>
    <t>10h11'41''</t>
    <phoneticPr fontId="1" type="noConversion"/>
  </si>
  <si>
    <t>9h23'10''</t>
    <phoneticPr fontId="1" type="noConversion"/>
  </si>
  <si>
    <t>5h45'47''</t>
    <phoneticPr fontId="1" type="noConversion"/>
  </si>
  <si>
    <t>4_oct</t>
    <phoneticPr fontId="1" type="noConversion"/>
  </si>
  <si>
    <t>5h50'28''</t>
    <phoneticPr fontId="1" type="noConversion"/>
  </si>
  <si>
    <t>time/Bit-rate</t>
    <phoneticPr fontId="1" type="noConversion"/>
  </si>
  <si>
    <t>4_oct_iraster</t>
    <phoneticPr fontId="1" type="noConversion"/>
  </si>
  <si>
    <t>5h53'19''</t>
    <phoneticPr fontId="1" type="noConversion"/>
  </si>
  <si>
    <t>total time</t>
    <phoneticPr fontId="1" type="noConversion"/>
  </si>
  <si>
    <t>me time</t>
    <phoneticPr fontId="1" type="noConversion"/>
  </si>
  <si>
    <t>%</t>
    <phoneticPr fontId="1" type="noConversion"/>
  </si>
  <si>
    <t>4_fistoct_iraster_starhorhex</t>
    <phoneticPr fontId="1" type="noConversion"/>
  </si>
  <si>
    <t>4_fistoct_iraster</t>
    <phoneticPr fontId="1" type="noConversion"/>
  </si>
  <si>
    <t>4_fistoct_iraster_stardia</t>
    <phoneticPr fontId="1" type="noConversion"/>
  </si>
  <si>
    <t>5h49'58''</t>
    <phoneticPr fontId="1" type="noConversion"/>
  </si>
  <si>
    <t>1_fist4point_star4point</t>
    <phoneticPr fontId="1" type="noConversion"/>
  </si>
  <si>
    <t>1_fist4point_stardia</t>
    <phoneticPr fontId="1" type="noConversion"/>
  </si>
  <si>
    <t>1_fist4point_starlesdia</t>
    <phoneticPr fontId="1" type="noConversion"/>
  </si>
  <si>
    <t>1_fist4point_starhex</t>
    <phoneticPr fontId="1" type="noConversion"/>
  </si>
  <si>
    <t>1_fist4point_starleshex</t>
    <phoneticPr fontId="1" type="noConversion"/>
  </si>
  <si>
    <t>1_fist4point</t>
    <phoneticPr fontId="1" type="noConversion"/>
  </si>
  <si>
    <t>1_fist4point_starhorhex</t>
    <phoneticPr fontId="1" type="noConversion"/>
  </si>
  <si>
    <t>2_fist4point_iraster_starhorhex</t>
    <phoneticPr fontId="1" type="noConversion"/>
  </si>
  <si>
    <t>2_fist4point_iraster</t>
    <phoneticPr fontId="1" type="noConversion"/>
  </si>
  <si>
    <t>!!!</t>
    <phoneticPr fontId="1" type="noConversion"/>
  </si>
  <si>
    <t>6h45'30''</t>
    <phoneticPr fontId="1" type="noConversion"/>
  </si>
  <si>
    <t>6h26'11''</t>
    <phoneticPr fontId="1" type="noConversion"/>
  </si>
  <si>
    <t>6h7'48''</t>
    <phoneticPr fontId="1" type="noConversion"/>
  </si>
  <si>
    <t>5h48'14''</t>
    <phoneticPr fontId="1" type="noConversion"/>
  </si>
  <si>
    <t>6h18'34''</t>
    <phoneticPr fontId="1" type="noConversion"/>
  </si>
  <si>
    <t>5h59'15''</t>
    <phoneticPr fontId="1" type="noConversion"/>
  </si>
  <si>
    <t>5h40'54''</t>
    <phoneticPr fontId="1" type="noConversion"/>
  </si>
  <si>
    <t>5h24'19''</t>
    <phoneticPr fontId="1" type="noConversion"/>
  </si>
  <si>
    <t>5h56'17''</t>
    <phoneticPr fontId="1" type="noConversion"/>
  </si>
  <si>
    <t>5h34'43''</t>
    <phoneticPr fontId="1" type="noConversion"/>
  </si>
  <si>
    <t>5h21'13''</t>
    <phoneticPr fontId="1" type="noConversion"/>
  </si>
  <si>
    <t>5h10'17''</t>
    <phoneticPr fontId="1" type="noConversion"/>
  </si>
  <si>
    <t>PSNR</t>
    <phoneticPr fontId="1" type="noConversion"/>
  </si>
  <si>
    <t>ballroom</t>
    <phoneticPr fontId="1" type="noConversion"/>
  </si>
  <si>
    <t>TZSearch</t>
    <phoneticPr fontId="1" type="noConversion"/>
  </si>
  <si>
    <t>New</t>
    <phoneticPr fontId="1" type="noConversion"/>
  </si>
  <si>
    <t>exit</t>
    <phoneticPr fontId="1" type="noConversion"/>
  </si>
  <si>
    <t>vassar</t>
    <phoneticPr fontId="1" type="noConversion"/>
  </si>
  <si>
    <t>Bitrate</t>
    <phoneticPr fontId="1" type="noConversion"/>
  </si>
  <si>
    <t>ME time</t>
    <phoneticPr fontId="1" type="noConversion"/>
  </si>
  <si>
    <t>ΔR%</t>
    <phoneticPr fontId="1" type="noConversion"/>
  </si>
  <si>
    <t>ΔT%</t>
    <phoneticPr fontId="1" type="noConversion"/>
  </si>
  <si>
    <t>AVG</t>
    <phoneticPr fontId="1" type="noConversion"/>
  </si>
  <si>
    <t>Total time</t>
    <phoneticPr fontId="1" type="noConversion"/>
  </si>
  <si>
    <t>ΔP</t>
  </si>
  <si>
    <t>15h55'11''</t>
    <phoneticPr fontId="1" type="noConversion"/>
  </si>
  <si>
    <t>6h45'30''</t>
    <phoneticPr fontId="1" type="noConversion"/>
  </si>
  <si>
    <t>6h26'8''</t>
    <phoneticPr fontId="1" type="noConversion"/>
  </si>
  <si>
    <t>6h7'43''</t>
    <phoneticPr fontId="1" type="noConversion"/>
  </si>
  <si>
    <t>5h48'14''</t>
    <phoneticPr fontId="1" type="noConversion"/>
  </si>
  <si>
    <t>6h18'36''</t>
    <phoneticPr fontId="1" type="noConversion"/>
  </si>
  <si>
    <t>5h57'34''</t>
    <phoneticPr fontId="1" type="noConversion"/>
  </si>
  <si>
    <t>5h40'57''</t>
    <phoneticPr fontId="1" type="noConversion"/>
  </si>
  <si>
    <t>5h24'19''</t>
    <phoneticPr fontId="1" type="noConversion"/>
  </si>
  <si>
    <t>5h56'21''</t>
    <phoneticPr fontId="1" type="noConversion"/>
  </si>
  <si>
    <t>5h34'58''</t>
    <phoneticPr fontId="1" type="noConversion"/>
  </si>
  <si>
    <t>5h21'11''</t>
    <phoneticPr fontId="1" type="noConversion"/>
  </si>
  <si>
    <t>5h10'12''</t>
    <phoneticPr fontId="1" type="noConversion"/>
  </si>
  <si>
    <t>6h47'17''</t>
    <phoneticPr fontId="1" type="noConversion"/>
  </si>
  <si>
    <t>6h27'49''</t>
    <phoneticPr fontId="1" type="noConversion"/>
  </si>
  <si>
    <t>6h9'29''</t>
    <phoneticPr fontId="1" type="noConversion"/>
  </si>
  <si>
    <t>5h50'0''</t>
    <phoneticPr fontId="1" type="noConversion"/>
  </si>
  <si>
    <t>6h20'59''</t>
    <phoneticPr fontId="1" type="noConversion"/>
  </si>
  <si>
    <t>5h59'28''</t>
    <phoneticPr fontId="1" type="noConversion"/>
  </si>
  <si>
    <t>5h25'29''</t>
    <phoneticPr fontId="1" type="noConversion"/>
  </si>
  <si>
    <t>5h57'12''</t>
    <phoneticPr fontId="1" type="noConversion"/>
  </si>
  <si>
    <t>5h35'20''</t>
    <phoneticPr fontId="1" type="noConversion"/>
  </si>
  <si>
    <t>5h10'43''</t>
    <phoneticPr fontId="1" type="noConversion"/>
  </si>
  <si>
    <t>11h8'17''</t>
    <phoneticPr fontId="1" type="noConversion"/>
  </si>
  <si>
    <t>10h41'10''</t>
    <phoneticPr fontId="1" type="noConversion"/>
  </si>
  <si>
    <t>9h47'0''</t>
    <phoneticPr fontId="1" type="noConversion"/>
  </si>
  <si>
    <t>10h26'0''</t>
    <phoneticPr fontId="1" type="noConversion"/>
  </si>
  <si>
    <t>9h53'27''</t>
    <phoneticPr fontId="1" type="noConversion"/>
  </si>
  <si>
    <t>9h28'16''</t>
    <phoneticPr fontId="1" type="noConversion"/>
  </si>
  <si>
    <t>9h4'13''</t>
    <phoneticPr fontId="1" type="noConversion"/>
  </si>
  <si>
    <t>9h11'32''</t>
    <phoneticPr fontId="1" type="noConversion"/>
  </si>
  <si>
    <t>8h7'2''</t>
    <phoneticPr fontId="1" type="noConversion"/>
  </si>
  <si>
    <t>7h43'56''</t>
    <phoneticPr fontId="1" type="noConversion"/>
  </si>
  <si>
    <t>10h15'16''</t>
    <phoneticPr fontId="1" type="noConversion"/>
  </si>
  <si>
    <t>8h34'22''</t>
    <phoneticPr fontId="1" type="noConversion"/>
  </si>
  <si>
    <t>6h45'51''</t>
    <phoneticPr fontId="1" type="noConversion"/>
  </si>
  <si>
    <t>6h26'39''</t>
    <phoneticPr fontId="1" type="noConversion"/>
  </si>
  <si>
    <t>6h8'32''</t>
    <phoneticPr fontId="1" type="noConversion"/>
  </si>
  <si>
    <t>5h49'15''</t>
    <phoneticPr fontId="1" type="noConversion"/>
  </si>
  <si>
    <t>6h20'4''</t>
    <phoneticPr fontId="1" type="noConversion"/>
  </si>
  <si>
    <t>5h58'53''</t>
    <phoneticPr fontId="1" type="noConversion"/>
  </si>
  <si>
    <t>5h42'17''</t>
    <phoneticPr fontId="1" type="noConversion"/>
  </si>
  <si>
    <t>5h25'21''</t>
    <phoneticPr fontId="1" type="noConversion"/>
  </si>
  <si>
    <t>5h56'34''</t>
    <phoneticPr fontId="1" type="noConversion"/>
  </si>
  <si>
    <t>5h35'43''</t>
    <phoneticPr fontId="1" type="noConversion"/>
  </si>
  <si>
    <t>5h21'28''</t>
    <phoneticPr fontId="1" type="noConversion"/>
  </si>
  <si>
    <t>5h10'38''</t>
    <phoneticPr fontId="1" type="noConversion"/>
  </si>
  <si>
    <t>???</t>
    <phoneticPr fontId="1" type="noConversion"/>
  </si>
  <si>
    <t>8h59'3''</t>
    <phoneticPr fontId="1" type="noConversion"/>
  </si>
  <si>
    <t>8h23'16''</t>
    <phoneticPr fontId="1" type="noConversion"/>
  </si>
  <si>
    <t>7h48'12''</t>
    <phoneticPr fontId="1" type="noConversion"/>
  </si>
  <si>
    <t>7h9'20''</t>
    <phoneticPr fontId="1" type="noConversion"/>
  </si>
  <si>
    <t>7h1'47''</t>
    <phoneticPr fontId="1" type="noConversion"/>
  </si>
  <si>
    <t>6h43'54''</t>
    <phoneticPr fontId="1" type="noConversion"/>
  </si>
  <si>
    <t>6h27'45''</t>
    <phoneticPr fontId="1" type="noConversion"/>
  </si>
  <si>
    <t>6h10'14''</t>
    <phoneticPr fontId="1" type="noConversion"/>
  </si>
  <si>
    <t>6h38'12''</t>
    <phoneticPr fontId="1" type="noConversion"/>
  </si>
  <si>
    <t>6h17'40''</t>
    <phoneticPr fontId="1" type="noConversion"/>
  </si>
  <si>
    <t>6h2'19''</t>
    <phoneticPr fontId="1" type="noConversion"/>
  </si>
  <si>
    <t>5h47'39''</t>
    <phoneticPr fontId="1" type="noConversion"/>
  </si>
  <si>
    <t>6h16'47''</t>
    <phoneticPr fontId="1" type="noConversion"/>
  </si>
  <si>
    <t>5h54'26''</t>
    <phoneticPr fontId="1" type="noConversion"/>
  </si>
  <si>
    <t>5h41'6''</t>
    <phoneticPr fontId="1" type="noConversion"/>
  </si>
  <si>
    <t>5h30'11''</t>
    <phoneticPr fontId="1" type="noConversion"/>
  </si>
  <si>
    <t>org_fistoct</t>
    <phoneticPr fontId="1" type="noConversion"/>
  </si>
  <si>
    <t>6h31'22''</t>
    <phoneticPr fontId="1" type="noConversion"/>
  </si>
  <si>
    <t>6h49'43''</t>
    <phoneticPr fontId="1" type="noConversion"/>
  </si>
  <si>
    <t>6h14'1''</t>
    <phoneticPr fontId="1" type="noConversion"/>
  </si>
  <si>
    <t>5h56'46''</t>
    <phoneticPr fontId="1" type="noConversion"/>
  </si>
  <si>
    <t>6h23'39''</t>
    <phoneticPr fontId="1" type="noConversion"/>
  </si>
  <si>
    <t>6h4'20''</t>
    <phoneticPr fontId="1" type="noConversion"/>
  </si>
  <si>
    <t>5h48'47''</t>
    <phoneticPr fontId="1" type="noConversion"/>
  </si>
  <si>
    <t>6h4'2''</t>
    <phoneticPr fontId="1" type="noConversion"/>
  </si>
  <si>
    <t>5h33'42''</t>
    <phoneticPr fontId="1" type="noConversion"/>
  </si>
  <si>
    <t>5h42'37''</t>
    <phoneticPr fontId="1" type="noConversion"/>
  </si>
  <si>
    <t>5h29'39''</t>
    <phoneticPr fontId="1" type="noConversion"/>
  </si>
  <si>
    <t>5h19'0''</t>
    <phoneticPr fontId="1" type="noConversion"/>
  </si>
  <si>
    <t>5h21'40''</t>
    <phoneticPr fontId="1" type="noConversion"/>
  </si>
  <si>
    <t>？？？</t>
    <phoneticPr fontId="1" type="noConversion"/>
  </si>
  <si>
    <t>5h42'32''</t>
    <phoneticPr fontId="1" type="noConversion"/>
  </si>
  <si>
    <t>xxx_new</t>
    <phoneticPr fontId="1" type="noConversion"/>
  </si>
  <si>
    <t>new</t>
    <phoneticPr fontId="1" type="noConversion"/>
  </si>
  <si>
    <t>15h31'55''</t>
    <phoneticPr fontId="1" type="noConversion"/>
  </si>
  <si>
    <t>14h28'22''</t>
    <phoneticPr fontId="1" type="noConversion"/>
  </si>
  <si>
    <t>13h22'55''</t>
    <phoneticPr fontId="1" type="noConversion"/>
  </si>
  <si>
    <t>12h6'55''</t>
    <phoneticPr fontId="1" type="noConversion"/>
  </si>
  <si>
    <t>time</t>
    <phoneticPr fontId="1" type="noConversion"/>
  </si>
  <si>
    <t>5h52'46''</t>
    <phoneticPr fontId="1" type="noConversion"/>
  </si>
  <si>
    <t>paper_iraster=3</t>
    <phoneticPr fontId="1" type="noConversion"/>
  </si>
  <si>
    <t>org_round=3</t>
    <phoneticPr fontId="1" type="noConversion"/>
  </si>
  <si>
    <t>6h42'20''</t>
    <phoneticPr fontId="1" type="noConversion"/>
  </si>
  <si>
    <t>值越大越好</t>
    <phoneticPr fontId="1" type="noConversion"/>
  </si>
  <si>
    <t>6h23'30''</t>
    <phoneticPr fontId="1" type="noConversion"/>
  </si>
  <si>
    <t>6h5'52''</t>
    <phoneticPr fontId="1" type="noConversion"/>
  </si>
  <si>
    <t>5h47'2''</t>
    <phoneticPr fontId="1" type="noConversion"/>
  </si>
  <si>
    <t>6h17'1''</t>
    <phoneticPr fontId="1" type="noConversion"/>
  </si>
  <si>
    <t>5h56'20''</t>
    <phoneticPr fontId="1" type="noConversion"/>
  </si>
  <si>
    <t>5h40'8''</t>
    <phoneticPr fontId="1" type="noConversion"/>
  </si>
  <si>
    <t>5h23'52''</t>
    <phoneticPr fontId="1" type="noConversion"/>
  </si>
  <si>
    <t>5h54'44''</t>
    <phoneticPr fontId="1" type="noConversion"/>
  </si>
  <si>
    <t>5h33'36''</t>
    <phoneticPr fontId="1" type="noConversion"/>
  </si>
  <si>
    <t>5h20'19''</t>
    <phoneticPr fontId="1" type="noConversion"/>
  </si>
  <si>
    <t>5h9'49''</t>
    <phoneticPr fontId="1" type="noConversion"/>
  </si>
  <si>
    <t>iraster=3</t>
    <phoneticPr fontId="1" type="noConversion"/>
  </si>
  <si>
    <t>iraster=5</t>
    <phoneticPr fontId="1" type="noConversion"/>
  </si>
  <si>
    <t>iraster=5_2</t>
    <phoneticPr fontId="1" type="noConversion"/>
  </si>
  <si>
    <t>new2_iraster=5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</si>
</sst>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0" fontId="2" fillId="0" borderId="0" xfId="0" applyNumberFormat="1" applyFont="1" applyBorder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10" fontId="0" fillId="0" borderId="0" xfId="0" applyNumberFormat="1">
      <alignment vertical="center"/>
    </xf>
    <xf numFmtId="10" fontId="2" fillId="0" borderId="0" xfId="0" applyNumberFormat="1" applyFont="1" applyFill="1" applyBorder="1" applyAlignment="1">
      <alignment horizontal="left" vertical="top" wrapText="1"/>
    </xf>
    <xf numFmtId="176" fontId="0" fillId="0" borderId="0" xfId="0" applyNumberFormat="1" applyAlignment="1">
      <alignment horizontal="left" vertical="center"/>
    </xf>
    <xf numFmtId="176" fontId="2" fillId="0" borderId="0" xfId="0" applyNumberFormat="1" applyFont="1" applyBorder="1" applyAlignment="1">
      <alignment horizontal="left" vertical="top" wrapText="1"/>
    </xf>
    <xf numFmtId="176" fontId="2" fillId="0" borderId="0" xfId="0" applyNumberFormat="1" applyFont="1" applyFill="1" applyBorder="1" applyAlignment="1">
      <alignment horizontal="left" vertical="top" wrapText="1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ballroom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TZSearch</c:v>
          </c:tx>
          <c:spPr>
            <a:ln w="12700"/>
          </c:spPr>
          <c:xVal>
            <c:numRef>
              <c:f>result!$G$5:$G$8</c:f>
              <c:numCache>
                <c:formatCode>0.00_);[Red]\(0.00\)</c:formatCode>
                <c:ptCount val="4"/>
                <c:pt idx="0">
                  <c:v>1144.7919999999999</c:v>
                </c:pt>
                <c:pt idx="1">
                  <c:v>664.46299999999997</c:v>
                </c:pt>
                <c:pt idx="2">
                  <c:v>397.59350000000001</c:v>
                </c:pt>
                <c:pt idx="3">
                  <c:v>246.82849999999999</c:v>
                </c:pt>
              </c:numCache>
            </c:numRef>
          </c:xVal>
          <c:yVal>
            <c:numRef>
              <c:f>result!$C$5:$C$8</c:f>
              <c:numCache>
                <c:formatCode>0.00_);[Red]\(0.00\)</c:formatCode>
                <c:ptCount val="4"/>
                <c:pt idx="0">
                  <c:v>39.443800000000003</c:v>
                </c:pt>
                <c:pt idx="1">
                  <c:v>37.7318</c:v>
                </c:pt>
                <c:pt idx="2">
                  <c:v>35.900700000000001</c:v>
                </c:pt>
                <c:pt idx="3">
                  <c:v>34.042499999999997</c:v>
                </c:pt>
              </c:numCache>
            </c:numRef>
          </c:yVal>
        </c:ser>
        <c:ser>
          <c:idx val="1"/>
          <c:order val="1"/>
          <c:tx>
            <c:v>New</c:v>
          </c:tx>
          <c:spPr>
            <a:ln w="12700"/>
          </c:spPr>
          <c:xVal>
            <c:numRef>
              <c:f>result!$H$5:$H$8</c:f>
              <c:numCache>
                <c:formatCode>0.00_);[Red]\(0.00\)</c:formatCode>
                <c:ptCount val="4"/>
                <c:pt idx="0">
                  <c:v>1153.2940000000001</c:v>
                </c:pt>
                <c:pt idx="1">
                  <c:v>671.15350000000001</c:v>
                </c:pt>
                <c:pt idx="2">
                  <c:v>403.75729999999999</c:v>
                </c:pt>
                <c:pt idx="3">
                  <c:v>251.6918</c:v>
                </c:pt>
              </c:numCache>
            </c:numRef>
          </c:xVal>
          <c:yVal>
            <c:numRef>
              <c:f>result!$D$5:$D$9</c:f>
              <c:numCache>
                <c:formatCode>0.00_);[Red]\(0.00\)</c:formatCode>
                <c:ptCount val="5"/>
                <c:pt idx="0">
                  <c:v>39.431100000000001</c:v>
                </c:pt>
                <c:pt idx="1">
                  <c:v>37.713500000000003</c:v>
                </c:pt>
                <c:pt idx="2">
                  <c:v>35.873800000000003</c:v>
                </c:pt>
                <c:pt idx="3">
                  <c:v>33.997799999999998</c:v>
                </c:pt>
                <c:pt idx="4">
                  <c:v>40.651200000000003</c:v>
                </c:pt>
              </c:numCache>
            </c:numRef>
          </c:yVal>
        </c:ser>
        <c:axId val="67428352"/>
        <c:axId val="67430656"/>
      </c:scatterChart>
      <c:valAx>
        <c:axId val="6742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r>
                  <a:rPr lang="en-US" altLang="zh-CN" baseline="0"/>
                  <a:t> (</a:t>
                </a:r>
                <a:r>
                  <a:rPr lang="en-US" altLang="zh-CN"/>
                  <a:t>kbps)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low"/>
        <c:crossAx val="67430656"/>
        <c:crosses val="autoZero"/>
        <c:crossBetween val="midCat"/>
      </c:valAx>
      <c:valAx>
        <c:axId val="67430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PSNR</a:t>
                </a:r>
                <a:r>
                  <a:rPr lang="en-US" altLang="zh-CN" baseline="0"/>
                  <a:t> (</a:t>
                </a:r>
                <a:r>
                  <a:rPr lang="en-US" altLang="zh-CN"/>
                  <a:t>dB)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6742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exit</a:t>
            </a:r>
            <a:endParaRPr lang="zh-CN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TZSearch</c:v>
          </c:tx>
          <c:spPr>
            <a:ln w="12700"/>
          </c:spPr>
          <c:xVal>
            <c:numRef>
              <c:f>result!$G$9:$G$12</c:f>
              <c:numCache>
                <c:formatCode>0.00_);[Red]\(0.00\)</c:formatCode>
                <c:ptCount val="4"/>
                <c:pt idx="0">
                  <c:v>568.24180000000001</c:v>
                </c:pt>
                <c:pt idx="1">
                  <c:v>298.05099999999999</c:v>
                </c:pt>
                <c:pt idx="2">
                  <c:v>177.03700000000001</c:v>
                </c:pt>
                <c:pt idx="3">
                  <c:v>112.83929999999999</c:v>
                </c:pt>
              </c:numCache>
            </c:numRef>
          </c:xVal>
          <c:yVal>
            <c:numRef>
              <c:f>result!$C$9:$C$12</c:f>
              <c:numCache>
                <c:formatCode>0.00_);[Red]\(0.00\)</c:formatCode>
                <c:ptCount val="4"/>
                <c:pt idx="0">
                  <c:v>40.6676</c:v>
                </c:pt>
                <c:pt idx="1">
                  <c:v>39.465899999999998</c:v>
                </c:pt>
                <c:pt idx="2">
                  <c:v>38.090400000000002</c:v>
                </c:pt>
                <c:pt idx="3">
                  <c:v>36.4619</c:v>
                </c:pt>
              </c:numCache>
            </c:numRef>
          </c:yVal>
        </c:ser>
        <c:ser>
          <c:idx val="1"/>
          <c:order val="1"/>
          <c:tx>
            <c:v>New</c:v>
          </c:tx>
          <c:spPr>
            <a:ln w="12700"/>
          </c:spPr>
          <c:xVal>
            <c:numRef>
              <c:f>result!$H$9:$H$12</c:f>
              <c:numCache>
                <c:formatCode>0.00_);[Red]\(0.00\)</c:formatCode>
                <c:ptCount val="4"/>
                <c:pt idx="0">
                  <c:v>573.44449999999995</c:v>
                </c:pt>
                <c:pt idx="1">
                  <c:v>302.34930000000003</c:v>
                </c:pt>
                <c:pt idx="2">
                  <c:v>180.58529999999999</c:v>
                </c:pt>
                <c:pt idx="3">
                  <c:v>115.62779999999999</c:v>
                </c:pt>
              </c:numCache>
            </c:numRef>
          </c:xVal>
          <c:yVal>
            <c:numRef>
              <c:f>result!$D$9:$D$12</c:f>
              <c:numCache>
                <c:formatCode>0.00_);[Red]\(0.00\)</c:formatCode>
                <c:ptCount val="4"/>
                <c:pt idx="0">
                  <c:v>40.651200000000003</c:v>
                </c:pt>
                <c:pt idx="1">
                  <c:v>39.447099999999999</c:v>
                </c:pt>
                <c:pt idx="2">
                  <c:v>38.057699999999997</c:v>
                </c:pt>
                <c:pt idx="3">
                  <c:v>36.423900000000003</c:v>
                </c:pt>
              </c:numCache>
            </c:numRef>
          </c:yVal>
        </c:ser>
        <c:axId val="70478848"/>
        <c:axId val="70493312"/>
      </c:scatterChart>
      <c:valAx>
        <c:axId val="7047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Birate</a:t>
                </a:r>
                <a:r>
                  <a:rPr lang="en-US" altLang="zh-CN" baseline="0"/>
                  <a:t> (kbps)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0493312"/>
        <c:crosses val="autoZero"/>
        <c:crossBetween val="midCat"/>
      </c:valAx>
      <c:valAx>
        <c:axId val="7049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PSNR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047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vassar</a:t>
            </a:r>
            <a:endParaRPr lang="zh-CN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TZSearch</c:v>
          </c:tx>
          <c:spPr>
            <a:ln w="12700"/>
          </c:spPr>
          <c:xVal>
            <c:numRef>
              <c:f>result!$G$13:$G$16</c:f>
              <c:numCache>
                <c:formatCode>0.00_);[Red]\(0.00\)</c:formatCode>
                <c:ptCount val="4"/>
                <c:pt idx="0">
                  <c:v>664.32079999999996</c:v>
                </c:pt>
                <c:pt idx="1">
                  <c:v>296.75599999999997</c:v>
                </c:pt>
                <c:pt idx="2">
                  <c:v>146.995</c:v>
                </c:pt>
                <c:pt idx="3">
                  <c:v>77.557000000000002</c:v>
                </c:pt>
              </c:numCache>
            </c:numRef>
          </c:xVal>
          <c:yVal>
            <c:numRef>
              <c:f>result!$C$13:$C$16</c:f>
              <c:numCache>
                <c:formatCode>0.00_);[Red]\(0.00\)</c:formatCode>
                <c:ptCount val="4"/>
                <c:pt idx="0">
                  <c:v>39.346200000000003</c:v>
                </c:pt>
                <c:pt idx="1">
                  <c:v>38.075600000000001</c:v>
                </c:pt>
                <c:pt idx="2">
                  <c:v>36.764400000000002</c:v>
                </c:pt>
                <c:pt idx="3">
                  <c:v>35.310699999999997</c:v>
                </c:pt>
              </c:numCache>
            </c:numRef>
          </c:yVal>
        </c:ser>
        <c:ser>
          <c:idx val="1"/>
          <c:order val="1"/>
          <c:tx>
            <c:v>New</c:v>
          </c:tx>
          <c:spPr>
            <a:ln w="12700"/>
          </c:spPr>
          <c:xVal>
            <c:numRef>
              <c:f>result!$H$13:$H$16</c:f>
              <c:numCache>
                <c:formatCode>0.00_);[Red]\(0.00\)</c:formatCode>
                <c:ptCount val="4"/>
                <c:pt idx="0">
                  <c:v>667.32230000000004</c:v>
                </c:pt>
                <c:pt idx="1">
                  <c:v>300.25049999999999</c:v>
                </c:pt>
                <c:pt idx="2">
                  <c:v>149.34200000000001</c:v>
                </c:pt>
                <c:pt idx="3">
                  <c:v>79.06</c:v>
                </c:pt>
              </c:numCache>
            </c:numRef>
          </c:xVal>
          <c:yVal>
            <c:numRef>
              <c:f>result!$D$13:$D$16</c:f>
              <c:numCache>
                <c:formatCode>0.00_);[Red]\(0.00\)</c:formatCode>
                <c:ptCount val="4"/>
                <c:pt idx="0">
                  <c:v>39.340800000000002</c:v>
                </c:pt>
                <c:pt idx="1">
                  <c:v>38.072499999999998</c:v>
                </c:pt>
                <c:pt idx="2">
                  <c:v>36.752899999999997</c:v>
                </c:pt>
                <c:pt idx="3">
                  <c:v>35.289499999999997</c:v>
                </c:pt>
              </c:numCache>
            </c:numRef>
          </c:yVal>
        </c:ser>
        <c:axId val="70506368"/>
        <c:axId val="75907072"/>
      </c:scatterChart>
      <c:valAx>
        <c:axId val="70506368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r>
                  <a:rPr lang="en-US" altLang="zh-CN" baseline="0"/>
                  <a:t> (kbps)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5907072"/>
        <c:crosses val="autoZero"/>
        <c:crossBetween val="midCat"/>
      </c:valAx>
      <c:valAx>
        <c:axId val="75907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PSNR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050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ballroom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TZS</c:v>
          </c:tx>
          <c:spPr>
            <a:ln w="12700"/>
          </c:spPr>
          <c:xVal>
            <c:numRef>
              <c:f>result!$G$19:$G$22</c:f>
              <c:numCache>
                <c:formatCode>0.00_);[Red]\(0.00\)</c:formatCode>
                <c:ptCount val="4"/>
                <c:pt idx="0">
                  <c:v>1146.3720000000001</c:v>
                </c:pt>
                <c:pt idx="1">
                  <c:v>665.50800000000004</c:v>
                </c:pt>
                <c:pt idx="2">
                  <c:v>398.39479999999998</c:v>
                </c:pt>
                <c:pt idx="3">
                  <c:v>247.2098</c:v>
                </c:pt>
              </c:numCache>
            </c:numRef>
          </c:xVal>
          <c:yVal>
            <c:numRef>
              <c:f>result!$C$19:$C$22</c:f>
              <c:numCache>
                <c:formatCode>0.00_);[Red]\(0.00\)</c:formatCode>
                <c:ptCount val="4"/>
                <c:pt idx="0">
                  <c:v>39.439599999999999</c:v>
                </c:pt>
                <c:pt idx="1">
                  <c:v>37.727499999999999</c:v>
                </c:pt>
                <c:pt idx="2">
                  <c:v>35.897300000000001</c:v>
                </c:pt>
                <c:pt idx="3">
                  <c:v>34.037999999999997</c:v>
                </c:pt>
              </c:numCache>
            </c:numRef>
          </c:yVal>
        </c:ser>
        <c:ser>
          <c:idx val="1"/>
          <c:order val="1"/>
          <c:tx>
            <c:v>TZS'</c:v>
          </c:tx>
          <c:spPr>
            <a:ln w="12700"/>
          </c:spPr>
          <c:xVal>
            <c:numRef>
              <c:f>result!$H$19:$H$22</c:f>
              <c:numCache>
                <c:formatCode>0.00_);[Red]\(0.00\)</c:formatCode>
                <c:ptCount val="4"/>
                <c:pt idx="0">
                  <c:v>1153.4369999999999</c:v>
                </c:pt>
                <c:pt idx="1">
                  <c:v>671.1875</c:v>
                </c:pt>
                <c:pt idx="2">
                  <c:v>403.64080000000001</c:v>
                </c:pt>
                <c:pt idx="3">
                  <c:v>251.78649999999999</c:v>
                </c:pt>
              </c:numCache>
            </c:numRef>
          </c:xVal>
          <c:yVal>
            <c:numRef>
              <c:f>result!$D$19:$D$22</c:f>
              <c:numCache>
                <c:formatCode>0.00_);[Red]\(0.00\)</c:formatCode>
                <c:ptCount val="4"/>
                <c:pt idx="0">
                  <c:v>39.4328</c:v>
                </c:pt>
                <c:pt idx="1">
                  <c:v>37.714199999999998</c:v>
                </c:pt>
                <c:pt idx="2">
                  <c:v>35.874600000000001</c:v>
                </c:pt>
                <c:pt idx="3">
                  <c:v>34.002400000000002</c:v>
                </c:pt>
              </c:numCache>
            </c:numRef>
          </c:yVal>
        </c:ser>
        <c:axId val="75948800"/>
        <c:axId val="75950720"/>
      </c:scatterChart>
      <c:valAx>
        <c:axId val="7594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r>
                  <a:rPr lang="en-US" altLang="zh-CN" baseline="0"/>
                  <a:t> (</a:t>
                </a:r>
                <a:r>
                  <a:rPr lang="en-US" altLang="zh-CN"/>
                  <a:t>kbps)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low"/>
        <c:crossAx val="75950720"/>
        <c:crosses val="autoZero"/>
        <c:crossBetween val="midCat"/>
      </c:valAx>
      <c:valAx>
        <c:axId val="75950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PSNR</a:t>
                </a:r>
                <a:r>
                  <a:rPr lang="en-US" altLang="zh-CN" baseline="0"/>
                  <a:t> (</a:t>
                </a:r>
                <a:r>
                  <a:rPr lang="en-US" altLang="zh-CN"/>
                  <a:t>dB)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594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exit</a:t>
            </a:r>
            <a:endParaRPr lang="zh-CN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TZS</c:v>
          </c:tx>
          <c:spPr>
            <a:ln w="12700"/>
          </c:spPr>
          <c:xVal>
            <c:numRef>
              <c:f>result!$G$23:$G$26</c:f>
              <c:numCache>
                <c:formatCode>0.00_);[Red]\(0.00\)</c:formatCode>
                <c:ptCount val="4"/>
                <c:pt idx="0">
                  <c:v>569.4973</c:v>
                </c:pt>
                <c:pt idx="1">
                  <c:v>298.38580000000002</c:v>
                </c:pt>
                <c:pt idx="2">
                  <c:v>177.16900000000001</c:v>
                </c:pt>
                <c:pt idx="3">
                  <c:v>113.429</c:v>
                </c:pt>
              </c:numCache>
            </c:numRef>
          </c:xVal>
          <c:yVal>
            <c:numRef>
              <c:f>result!$C$23:$C$26</c:f>
              <c:numCache>
                <c:formatCode>0.00_);[Red]\(0.00\)</c:formatCode>
                <c:ptCount val="4"/>
                <c:pt idx="0">
                  <c:v>40.664999999999999</c:v>
                </c:pt>
                <c:pt idx="1">
                  <c:v>39.463900000000002</c:v>
                </c:pt>
                <c:pt idx="2">
                  <c:v>38.088700000000003</c:v>
                </c:pt>
                <c:pt idx="3">
                  <c:v>36.461399999999998</c:v>
                </c:pt>
              </c:numCache>
            </c:numRef>
          </c:yVal>
        </c:ser>
        <c:ser>
          <c:idx val="1"/>
          <c:order val="1"/>
          <c:tx>
            <c:v>TZS'</c:v>
          </c:tx>
          <c:spPr>
            <a:ln w="12700"/>
          </c:spPr>
          <c:xVal>
            <c:numRef>
              <c:f>result!$H$23:$H$26</c:f>
              <c:numCache>
                <c:formatCode>0.00_);[Red]\(0.00\)</c:formatCode>
                <c:ptCount val="4"/>
                <c:pt idx="0">
                  <c:v>573.13850000000002</c:v>
                </c:pt>
                <c:pt idx="1">
                  <c:v>302.54599999999999</c:v>
                </c:pt>
                <c:pt idx="2">
                  <c:v>179.89</c:v>
                </c:pt>
                <c:pt idx="3">
                  <c:v>115.38500000000001</c:v>
                </c:pt>
              </c:numCache>
            </c:numRef>
          </c:xVal>
          <c:yVal>
            <c:numRef>
              <c:f>result!$D$23:$D$26</c:f>
              <c:numCache>
                <c:formatCode>0.00_);[Red]\(0.00\)</c:formatCode>
                <c:ptCount val="4"/>
                <c:pt idx="0">
                  <c:v>40.652799999999999</c:v>
                </c:pt>
                <c:pt idx="1">
                  <c:v>39.448399999999999</c:v>
                </c:pt>
                <c:pt idx="2">
                  <c:v>38.061300000000003</c:v>
                </c:pt>
                <c:pt idx="3">
                  <c:v>36.426299999999998</c:v>
                </c:pt>
              </c:numCache>
            </c:numRef>
          </c:yVal>
        </c:ser>
        <c:axId val="70536576"/>
        <c:axId val="70559232"/>
      </c:scatterChart>
      <c:valAx>
        <c:axId val="7053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Birate</a:t>
                </a:r>
                <a:r>
                  <a:rPr lang="en-US" altLang="zh-CN" baseline="0"/>
                  <a:t> (kbps)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0559232"/>
        <c:crosses val="autoZero"/>
        <c:crossBetween val="midCat"/>
      </c:valAx>
      <c:valAx>
        <c:axId val="70559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PSNR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053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vassar</a:t>
            </a:r>
            <a:endParaRPr lang="zh-CN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TZS</c:v>
          </c:tx>
          <c:spPr>
            <a:ln w="12700"/>
          </c:spPr>
          <c:xVal>
            <c:numRef>
              <c:f>result!$G$27:$G$30</c:f>
              <c:numCache>
                <c:formatCode>0.00_);[Red]\(0.00\)</c:formatCode>
                <c:ptCount val="4"/>
                <c:pt idx="0">
                  <c:v>665.38480000000004</c:v>
                </c:pt>
                <c:pt idx="1">
                  <c:v>297.12079999999997</c:v>
                </c:pt>
                <c:pt idx="2">
                  <c:v>147.22579999999999</c:v>
                </c:pt>
                <c:pt idx="3">
                  <c:v>77.737250000000003</c:v>
                </c:pt>
              </c:numCache>
            </c:numRef>
          </c:xVal>
          <c:yVal>
            <c:numRef>
              <c:f>result!$C$27:$C$30</c:f>
              <c:numCache>
                <c:formatCode>0.00_);[Red]\(0.00\)</c:formatCode>
                <c:ptCount val="4"/>
                <c:pt idx="0">
                  <c:v>39.345399999999998</c:v>
                </c:pt>
                <c:pt idx="1">
                  <c:v>38.073999999999998</c:v>
                </c:pt>
                <c:pt idx="2">
                  <c:v>36.764600000000002</c:v>
                </c:pt>
                <c:pt idx="3">
                  <c:v>35.308399999999999</c:v>
                </c:pt>
              </c:numCache>
            </c:numRef>
          </c:yVal>
        </c:ser>
        <c:ser>
          <c:idx val="1"/>
          <c:order val="1"/>
          <c:tx>
            <c:v>TZS'</c:v>
          </c:tx>
          <c:spPr>
            <a:ln w="12700"/>
          </c:spPr>
          <c:xVal>
            <c:numRef>
              <c:f>result!$H$27:$H$30</c:f>
              <c:numCache>
                <c:formatCode>0.00_);[Red]\(0.00\)</c:formatCode>
                <c:ptCount val="4"/>
                <c:pt idx="0">
                  <c:v>667.14449999999999</c:v>
                </c:pt>
                <c:pt idx="1">
                  <c:v>299.96679999999998</c:v>
                </c:pt>
                <c:pt idx="2">
                  <c:v>149.2225</c:v>
                </c:pt>
                <c:pt idx="3">
                  <c:v>78.821749999999994</c:v>
                </c:pt>
              </c:numCache>
            </c:numRef>
          </c:xVal>
          <c:yVal>
            <c:numRef>
              <c:f>result!$D$27:$D$30</c:f>
              <c:numCache>
                <c:formatCode>0.00_);[Red]\(0.00\)</c:formatCode>
                <c:ptCount val="4"/>
                <c:pt idx="0">
                  <c:v>39.341000000000001</c:v>
                </c:pt>
                <c:pt idx="1">
                  <c:v>38.072000000000003</c:v>
                </c:pt>
                <c:pt idx="2">
                  <c:v>36.754300000000001</c:v>
                </c:pt>
                <c:pt idx="3">
                  <c:v>35.2913</c:v>
                </c:pt>
              </c:numCache>
            </c:numRef>
          </c:yVal>
        </c:ser>
        <c:axId val="70568192"/>
        <c:axId val="75964800"/>
      </c:scatterChart>
      <c:valAx>
        <c:axId val="70568192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r>
                  <a:rPr lang="en-US" altLang="zh-CN" baseline="0"/>
                  <a:t> (kbps)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5964800"/>
        <c:crosses val="autoZero"/>
        <c:crossBetween val="midCat"/>
      </c:valAx>
      <c:valAx>
        <c:axId val="7596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PSNR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056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ballroom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TZS</c:v>
          </c:tx>
          <c:spPr>
            <a:ln w="12700"/>
          </c:spPr>
          <c:xVal>
            <c:numRef>
              <c:f>result!$G$33:$G$36</c:f>
              <c:numCache>
                <c:formatCode>0.00_);[Red]\(0.00\)</c:formatCode>
                <c:ptCount val="4"/>
                <c:pt idx="0">
                  <c:v>1146.3720000000001</c:v>
                </c:pt>
                <c:pt idx="1">
                  <c:v>665.50800000000004</c:v>
                </c:pt>
                <c:pt idx="2">
                  <c:v>398.39479999999998</c:v>
                </c:pt>
                <c:pt idx="3">
                  <c:v>247.2098</c:v>
                </c:pt>
              </c:numCache>
            </c:numRef>
          </c:xVal>
          <c:yVal>
            <c:numRef>
              <c:f>result!$C$33:$C$36</c:f>
              <c:numCache>
                <c:formatCode>0.00_);[Red]\(0.00\)</c:formatCode>
                <c:ptCount val="4"/>
                <c:pt idx="0">
                  <c:v>39.439599999999999</c:v>
                </c:pt>
                <c:pt idx="1">
                  <c:v>37.727499999999999</c:v>
                </c:pt>
                <c:pt idx="2">
                  <c:v>35.897300000000001</c:v>
                </c:pt>
                <c:pt idx="3">
                  <c:v>34.037999999999997</c:v>
                </c:pt>
              </c:numCache>
            </c:numRef>
          </c:yVal>
        </c:ser>
        <c:ser>
          <c:idx val="1"/>
          <c:order val="1"/>
          <c:tx>
            <c:v>TZS'</c:v>
          </c:tx>
          <c:spPr>
            <a:ln w="12700"/>
          </c:spPr>
          <c:xVal>
            <c:numRef>
              <c:f>result!$H$19:$H$22</c:f>
              <c:numCache>
                <c:formatCode>0.00_);[Red]\(0.00\)</c:formatCode>
                <c:ptCount val="4"/>
                <c:pt idx="0">
                  <c:v>1153.4369999999999</c:v>
                </c:pt>
                <c:pt idx="1">
                  <c:v>671.1875</c:v>
                </c:pt>
                <c:pt idx="2">
                  <c:v>403.64080000000001</c:v>
                </c:pt>
                <c:pt idx="3">
                  <c:v>251.78649999999999</c:v>
                </c:pt>
              </c:numCache>
            </c:numRef>
          </c:xVal>
          <c:yVal>
            <c:numRef>
              <c:f>result!$D$19:$D$22</c:f>
              <c:numCache>
                <c:formatCode>0.00_);[Red]\(0.00\)</c:formatCode>
                <c:ptCount val="4"/>
                <c:pt idx="0">
                  <c:v>39.4328</c:v>
                </c:pt>
                <c:pt idx="1">
                  <c:v>37.714199999999998</c:v>
                </c:pt>
                <c:pt idx="2">
                  <c:v>35.874600000000001</c:v>
                </c:pt>
                <c:pt idx="3">
                  <c:v>34.002400000000002</c:v>
                </c:pt>
              </c:numCache>
            </c:numRef>
          </c:yVal>
        </c:ser>
        <c:axId val="76002432"/>
        <c:axId val="76004352"/>
      </c:scatterChart>
      <c:valAx>
        <c:axId val="76002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r>
                  <a:rPr lang="en-US" altLang="zh-CN" baseline="0"/>
                  <a:t> (</a:t>
                </a:r>
                <a:r>
                  <a:rPr lang="en-US" altLang="zh-CN"/>
                  <a:t>kbps)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low"/>
        <c:crossAx val="76004352"/>
        <c:crosses val="autoZero"/>
        <c:crossBetween val="midCat"/>
      </c:valAx>
      <c:valAx>
        <c:axId val="76004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PSNR</a:t>
                </a:r>
                <a:r>
                  <a:rPr lang="en-US" altLang="zh-CN" baseline="0"/>
                  <a:t> (</a:t>
                </a:r>
                <a:r>
                  <a:rPr lang="en-US" altLang="zh-CN"/>
                  <a:t>dB)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600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exit</a:t>
            </a:r>
            <a:endParaRPr lang="zh-CN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TZS</c:v>
          </c:tx>
          <c:spPr>
            <a:ln w="12700"/>
          </c:spPr>
          <c:xVal>
            <c:numRef>
              <c:f>result!$G$37:$G$40</c:f>
              <c:numCache>
                <c:formatCode>0.00_);[Red]\(0.00\)</c:formatCode>
                <c:ptCount val="4"/>
                <c:pt idx="0">
                  <c:v>569.4973</c:v>
                </c:pt>
                <c:pt idx="1">
                  <c:v>298.38580000000002</c:v>
                </c:pt>
                <c:pt idx="2">
                  <c:v>177.16900000000001</c:v>
                </c:pt>
                <c:pt idx="3">
                  <c:v>113.429</c:v>
                </c:pt>
              </c:numCache>
            </c:numRef>
          </c:xVal>
          <c:yVal>
            <c:numRef>
              <c:f>result!$C$37:$C$40</c:f>
              <c:numCache>
                <c:formatCode>0.00_);[Red]\(0.00\)</c:formatCode>
                <c:ptCount val="4"/>
                <c:pt idx="0">
                  <c:v>40.664999999999999</c:v>
                </c:pt>
                <c:pt idx="1">
                  <c:v>39.463900000000002</c:v>
                </c:pt>
                <c:pt idx="2">
                  <c:v>38.088700000000003</c:v>
                </c:pt>
                <c:pt idx="3">
                  <c:v>36.461399999999998</c:v>
                </c:pt>
              </c:numCache>
            </c:numRef>
          </c:yVal>
        </c:ser>
        <c:ser>
          <c:idx val="1"/>
          <c:order val="1"/>
          <c:tx>
            <c:v>TZS'</c:v>
          </c:tx>
          <c:spPr>
            <a:ln w="12700"/>
          </c:spPr>
          <c:xVal>
            <c:numRef>
              <c:f>result!$H$23:$H$26</c:f>
              <c:numCache>
                <c:formatCode>0.00_);[Red]\(0.00\)</c:formatCode>
                <c:ptCount val="4"/>
                <c:pt idx="0">
                  <c:v>573.13850000000002</c:v>
                </c:pt>
                <c:pt idx="1">
                  <c:v>302.54599999999999</c:v>
                </c:pt>
                <c:pt idx="2">
                  <c:v>179.89</c:v>
                </c:pt>
                <c:pt idx="3">
                  <c:v>115.38500000000001</c:v>
                </c:pt>
              </c:numCache>
            </c:numRef>
          </c:xVal>
          <c:yVal>
            <c:numRef>
              <c:f>result!$D$23:$D$26</c:f>
              <c:numCache>
                <c:formatCode>0.00_);[Red]\(0.00\)</c:formatCode>
                <c:ptCount val="4"/>
                <c:pt idx="0">
                  <c:v>40.652799999999999</c:v>
                </c:pt>
                <c:pt idx="1">
                  <c:v>39.448399999999999</c:v>
                </c:pt>
                <c:pt idx="2">
                  <c:v>38.061300000000003</c:v>
                </c:pt>
                <c:pt idx="3">
                  <c:v>36.426299999999998</c:v>
                </c:pt>
              </c:numCache>
            </c:numRef>
          </c:yVal>
        </c:ser>
        <c:axId val="76103680"/>
        <c:axId val="76105600"/>
      </c:scatterChart>
      <c:valAx>
        <c:axId val="7610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Birate</a:t>
                </a:r>
                <a:r>
                  <a:rPr lang="en-US" altLang="zh-CN" baseline="0"/>
                  <a:t> (kbps)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6105600"/>
        <c:crosses val="autoZero"/>
        <c:crossBetween val="midCat"/>
      </c:valAx>
      <c:valAx>
        <c:axId val="76105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PSNR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6103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vassar</a:t>
            </a:r>
            <a:endParaRPr lang="zh-CN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TZS</c:v>
          </c:tx>
          <c:spPr>
            <a:ln w="12700"/>
          </c:spPr>
          <c:xVal>
            <c:numRef>
              <c:f>result!$G$41:$G$44</c:f>
              <c:numCache>
                <c:formatCode>0.00_);[Red]\(0.00\)</c:formatCode>
                <c:ptCount val="4"/>
                <c:pt idx="0">
                  <c:v>665.38480000000004</c:v>
                </c:pt>
                <c:pt idx="1">
                  <c:v>297.12079999999997</c:v>
                </c:pt>
                <c:pt idx="2">
                  <c:v>147.22579999999999</c:v>
                </c:pt>
                <c:pt idx="3">
                  <c:v>77.737250000000003</c:v>
                </c:pt>
              </c:numCache>
            </c:numRef>
          </c:xVal>
          <c:yVal>
            <c:numRef>
              <c:f>result!$C$41:$C$44</c:f>
              <c:numCache>
                <c:formatCode>0.00_);[Red]\(0.00\)</c:formatCode>
                <c:ptCount val="4"/>
                <c:pt idx="0">
                  <c:v>39.345399999999998</c:v>
                </c:pt>
                <c:pt idx="1">
                  <c:v>38.073999999999998</c:v>
                </c:pt>
                <c:pt idx="2">
                  <c:v>36.764600000000002</c:v>
                </c:pt>
                <c:pt idx="3">
                  <c:v>35.308399999999999</c:v>
                </c:pt>
              </c:numCache>
            </c:numRef>
          </c:yVal>
        </c:ser>
        <c:ser>
          <c:idx val="1"/>
          <c:order val="1"/>
          <c:tx>
            <c:v>TZS'</c:v>
          </c:tx>
          <c:spPr>
            <a:ln w="12700"/>
          </c:spPr>
          <c:xVal>
            <c:numRef>
              <c:f>result!$H$27:$H$30</c:f>
              <c:numCache>
                <c:formatCode>0.00_);[Red]\(0.00\)</c:formatCode>
                <c:ptCount val="4"/>
                <c:pt idx="0">
                  <c:v>667.14449999999999</c:v>
                </c:pt>
                <c:pt idx="1">
                  <c:v>299.96679999999998</c:v>
                </c:pt>
                <c:pt idx="2">
                  <c:v>149.2225</c:v>
                </c:pt>
                <c:pt idx="3">
                  <c:v>78.821749999999994</c:v>
                </c:pt>
              </c:numCache>
            </c:numRef>
          </c:xVal>
          <c:yVal>
            <c:numRef>
              <c:f>result!$D$27:$D$30</c:f>
              <c:numCache>
                <c:formatCode>0.00_);[Red]\(0.00\)</c:formatCode>
                <c:ptCount val="4"/>
                <c:pt idx="0">
                  <c:v>39.341000000000001</c:v>
                </c:pt>
                <c:pt idx="1">
                  <c:v>38.072000000000003</c:v>
                </c:pt>
                <c:pt idx="2">
                  <c:v>36.754300000000001</c:v>
                </c:pt>
                <c:pt idx="3">
                  <c:v>35.2913</c:v>
                </c:pt>
              </c:numCache>
            </c:numRef>
          </c:yVal>
        </c:ser>
        <c:axId val="76135040"/>
        <c:axId val="76022528"/>
      </c:scatterChart>
      <c:valAx>
        <c:axId val="7613504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r>
                  <a:rPr lang="en-US" altLang="zh-CN" baseline="0"/>
                  <a:t> (kbps)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6022528"/>
        <c:crosses val="autoZero"/>
        <c:crossBetween val="midCat"/>
      </c:valAx>
      <c:valAx>
        <c:axId val="76022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PSNR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layout/>
        </c:title>
        <c:numFmt formatCode="0.00_);[Red]\(0.00\)" sourceLinked="1"/>
        <c:tickLblPos val="nextTo"/>
        <c:crossAx val="7613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142874</xdr:rowOff>
    </xdr:from>
    <xdr:to>
      <xdr:col>6</xdr:col>
      <xdr:colOff>76200</xdr:colOff>
      <xdr:row>77</xdr:row>
      <xdr:rowOff>47625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161926</xdr:colOff>
      <xdr:row>60</xdr:row>
      <xdr:rowOff>38099</xdr:rowOff>
    </xdr:from>
    <xdr:to>
      <xdr:col>12</xdr:col>
      <xdr:colOff>381000</xdr:colOff>
      <xdr:row>76</xdr:row>
      <xdr:rowOff>161924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60</xdr:row>
      <xdr:rowOff>19050</xdr:rowOff>
    </xdr:from>
    <xdr:to>
      <xdr:col>19</xdr:col>
      <xdr:colOff>485774</xdr:colOff>
      <xdr:row>77</xdr:row>
      <xdr:rowOff>38100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77</xdr:row>
      <xdr:rowOff>9525</xdr:rowOff>
    </xdr:from>
    <xdr:to>
      <xdr:col>6</xdr:col>
      <xdr:colOff>104775</xdr:colOff>
      <xdr:row>92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77</xdr:row>
      <xdr:rowOff>0</xdr:rowOff>
    </xdr:from>
    <xdr:to>
      <xdr:col>12</xdr:col>
      <xdr:colOff>238125</xdr:colOff>
      <xdr:row>92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77</xdr:row>
      <xdr:rowOff>9525</xdr:rowOff>
    </xdr:from>
    <xdr:to>
      <xdr:col>19</xdr:col>
      <xdr:colOff>76200</xdr:colOff>
      <xdr:row>92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93</xdr:row>
      <xdr:rowOff>76200</xdr:rowOff>
    </xdr:from>
    <xdr:to>
      <xdr:col>6</xdr:col>
      <xdr:colOff>104775</xdr:colOff>
      <xdr:row>108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371475</xdr:colOff>
      <xdr:row>93</xdr:row>
      <xdr:rowOff>104775</xdr:rowOff>
    </xdr:from>
    <xdr:to>
      <xdr:col>12</xdr:col>
      <xdr:colOff>304800</xdr:colOff>
      <xdr:row>108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638175</xdr:colOff>
      <xdr:row>93</xdr:row>
      <xdr:rowOff>133350</xdr:rowOff>
    </xdr:from>
    <xdr:to>
      <xdr:col>19</xdr:col>
      <xdr:colOff>9525</xdr:colOff>
      <xdr:row>108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H10" sqref="H10"/>
    </sheetView>
  </sheetViews>
  <sheetFormatPr defaultRowHeight="13.5"/>
  <cols>
    <col min="2" max="7" width="9" style="1"/>
  </cols>
  <sheetData>
    <row r="1" spans="1:7" ht="14.25">
      <c r="B1" s="2" t="s">
        <v>0</v>
      </c>
      <c r="C1" s="2" t="s">
        <v>1</v>
      </c>
      <c r="D1" s="2" t="s">
        <v>2</v>
      </c>
      <c r="E1" s="2" t="s">
        <v>17</v>
      </c>
      <c r="F1" s="2" t="s">
        <v>3</v>
      </c>
      <c r="G1" s="3" t="s">
        <v>8</v>
      </c>
    </row>
    <row r="2" spans="1:7">
      <c r="A2" s="1" t="s">
        <v>9</v>
      </c>
    </row>
    <row r="3" spans="1:7">
      <c r="A3" s="1" t="s">
        <v>4</v>
      </c>
      <c r="B3" s="4">
        <v>325441</v>
      </c>
      <c r="C3" s="4">
        <v>375278</v>
      </c>
      <c r="D3" s="4">
        <v>374214</v>
      </c>
      <c r="E3" s="4">
        <f>(B3*4+C3+D3)/6</f>
        <v>341876</v>
      </c>
      <c r="F3" s="1">
        <v>310.39999999999998</v>
      </c>
    </row>
    <row r="4" spans="1:7">
      <c r="A4" s="1" t="s">
        <v>5</v>
      </c>
      <c r="B4" s="4">
        <v>323789</v>
      </c>
      <c r="C4" s="4">
        <v>379114</v>
      </c>
      <c r="D4" s="4">
        <v>374531</v>
      </c>
      <c r="E4" s="4">
        <f t="shared" ref="E4:E10" si="0">(B4*4+C4+D4)/6</f>
        <v>341466.83333333331</v>
      </c>
      <c r="F4" s="1">
        <v>197.12799999999999</v>
      </c>
    </row>
    <row r="5" spans="1:7">
      <c r="A5" s="1" t="s">
        <v>6</v>
      </c>
      <c r="B5" s="4">
        <v>326170</v>
      </c>
      <c r="C5" s="4">
        <v>379931</v>
      </c>
      <c r="D5" s="4">
        <v>376233</v>
      </c>
      <c r="E5" s="4">
        <f t="shared" si="0"/>
        <v>343474</v>
      </c>
      <c r="F5" s="1">
        <v>250.46</v>
      </c>
    </row>
    <row r="6" spans="1:7">
      <c r="A6" s="1" t="s">
        <v>10</v>
      </c>
      <c r="B6" s="4">
        <v>322096</v>
      </c>
      <c r="C6" s="4">
        <v>377665</v>
      </c>
      <c r="D6" s="4">
        <v>376147</v>
      </c>
      <c r="E6" s="4">
        <f t="shared" si="0"/>
        <v>340366</v>
      </c>
      <c r="F6" s="1">
        <v>188.71799999999999</v>
      </c>
    </row>
    <row r="7" spans="1:7">
      <c r="A7" s="1" t="s">
        <v>11</v>
      </c>
      <c r="B7" s="4">
        <v>319798</v>
      </c>
      <c r="C7" s="4">
        <v>373702</v>
      </c>
      <c r="D7" s="4">
        <v>370889</v>
      </c>
      <c r="E7" s="4">
        <f t="shared" si="0"/>
        <v>337297.16666666669</v>
      </c>
      <c r="F7" s="1">
        <v>272.49799999999999</v>
      </c>
    </row>
    <row r="8" spans="1:7">
      <c r="A8" s="1" t="s">
        <v>12</v>
      </c>
      <c r="B8" s="4">
        <v>327608</v>
      </c>
      <c r="C8" s="4">
        <v>376269</v>
      </c>
      <c r="D8" s="4">
        <v>378490</v>
      </c>
      <c r="E8" s="4">
        <f t="shared" si="0"/>
        <v>344198.5</v>
      </c>
      <c r="F8" s="1">
        <v>204.126</v>
      </c>
    </row>
    <row r="9" spans="1:7">
      <c r="A9" s="1" t="s">
        <v>13</v>
      </c>
      <c r="B9" s="4">
        <v>323346</v>
      </c>
      <c r="C9" s="4">
        <v>373131</v>
      </c>
      <c r="D9" s="4">
        <v>371853</v>
      </c>
      <c r="E9" s="4">
        <f t="shared" si="0"/>
        <v>339728</v>
      </c>
      <c r="F9" s="1">
        <v>268.07</v>
      </c>
    </row>
    <row r="10" spans="1:7">
      <c r="A10" s="1" t="s">
        <v>14</v>
      </c>
      <c r="B10" s="4">
        <v>317362</v>
      </c>
      <c r="C10" s="4">
        <v>371316</v>
      </c>
      <c r="D10" s="4">
        <v>369201</v>
      </c>
      <c r="E10" s="4">
        <f t="shared" si="0"/>
        <v>334994.16666666669</v>
      </c>
      <c r="F10" s="1">
        <v>283.14800000000002</v>
      </c>
    </row>
    <row r="11" spans="1:7">
      <c r="A11" s="1" t="s">
        <v>15</v>
      </c>
      <c r="B11" s="4">
        <f>AVERAGE(B3:B10)</f>
        <v>323201.25</v>
      </c>
      <c r="C11" s="4">
        <f t="shared" ref="C11:F11" si="1">AVERAGE(C3:C10)</f>
        <v>375800.75</v>
      </c>
      <c r="D11" s="4">
        <f t="shared" si="1"/>
        <v>373944.75</v>
      </c>
      <c r="E11" s="4">
        <f t="shared" si="1"/>
        <v>340425.08333333331</v>
      </c>
      <c r="F11" s="5">
        <f t="shared" si="1"/>
        <v>246.81849999999997</v>
      </c>
      <c r="G11" s="1" t="s">
        <v>16</v>
      </c>
    </row>
    <row r="13" spans="1:7">
      <c r="A13" s="1" t="s">
        <v>19</v>
      </c>
    </row>
    <row r="14" spans="1:7">
      <c r="A14" s="1" t="s">
        <v>4</v>
      </c>
      <c r="B14" s="4">
        <v>325255</v>
      </c>
      <c r="C14" s="4">
        <v>374993</v>
      </c>
      <c r="D14" s="4">
        <v>373932</v>
      </c>
      <c r="E14" s="4">
        <f>(B14*4+C14+D14)/6</f>
        <v>341657.5</v>
      </c>
      <c r="F14" s="1">
        <v>312.77199999999999</v>
      </c>
    </row>
    <row r="15" spans="1:7">
      <c r="A15" s="1" t="s">
        <v>5</v>
      </c>
      <c r="B15" s="4">
        <v>323570</v>
      </c>
      <c r="C15" s="4">
        <v>378920</v>
      </c>
      <c r="D15" s="4">
        <v>374281</v>
      </c>
      <c r="E15" s="4">
        <f t="shared" ref="E15:E21" si="2">(B15*4+C15+D15)/6</f>
        <v>341246.83333333331</v>
      </c>
      <c r="F15" s="1">
        <v>200.23400000000001</v>
      </c>
    </row>
    <row r="16" spans="1:7">
      <c r="A16" s="1" t="s">
        <v>6</v>
      </c>
      <c r="B16" s="4">
        <v>325865</v>
      </c>
      <c r="C16" s="4">
        <v>379194</v>
      </c>
      <c r="D16" s="4">
        <v>375927</v>
      </c>
      <c r="E16" s="4">
        <f t="shared" si="2"/>
        <v>343096.83333333331</v>
      </c>
      <c r="F16" s="1">
        <v>254.71</v>
      </c>
    </row>
    <row r="17" spans="1:7">
      <c r="A17" s="1" t="s">
        <v>10</v>
      </c>
      <c r="B17" s="4">
        <v>321606</v>
      </c>
      <c r="C17" s="4">
        <v>377095</v>
      </c>
      <c r="D17" s="4">
        <v>375679</v>
      </c>
      <c r="E17" s="4">
        <f t="shared" si="2"/>
        <v>339866.33333333331</v>
      </c>
      <c r="F17" s="1">
        <v>190.3</v>
      </c>
    </row>
    <row r="18" spans="1:7">
      <c r="A18" s="1" t="s">
        <v>11</v>
      </c>
      <c r="B18" s="4">
        <v>319402</v>
      </c>
      <c r="C18" s="4">
        <v>372895</v>
      </c>
      <c r="D18" s="4">
        <v>370197</v>
      </c>
      <c r="E18" s="4">
        <f t="shared" si="2"/>
        <v>336783.33333333331</v>
      </c>
      <c r="F18" s="1">
        <v>276.76799999999997</v>
      </c>
    </row>
    <row r="19" spans="1:7">
      <c r="A19" s="1" t="s">
        <v>12</v>
      </c>
      <c r="B19" s="4">
        <v>327079</v>
      </c>
      <c r="C19" s="4">
        <v>376006</v>
      </c>
      <c r="D19" s="4">
        <v>377648</v>
      </c>
      <c r="E19" s="4">
        <f t="shared" si="2"/>
        <v>343661.66666666669</v>
      </c>
      <c r="F19" s="1">
        <v>207.29400000000001</v>
      </c>
    </row>
    <row r="20" spans="1:7">
      <c r="A20" s="1" t="s">
        <v>13</v>
      </c>
      <c r="B20" s="4">
        <v>322974</v>
      </c>
      <c r="C20" s="4">
        <v>372818</v>
      </c>
      <c r="D20" s="4">
        <v>371502</v>
      </c>
      <c r="E20" s="4">
        <f t="shared" si="2"/>
        <v>339369.33333333331</v>
      </c>
      <c r="F20" s="1">
        <v>272.83999999999997</v>
      </c>
    </row>
    <row r="21" spans="1:7">
      <c r="A21" s="1" t="s">
        <v>14</v>
      </c>
      <c r="B21" s="4">
        <v>317080</v>
      </c>
      <c r="C21" s="4">
        <v>370855</v>
      </c>
      <c r="D21" s="4">
        <v>368746</v>
      </c>
      <c r="E21" s="4">
        <f t="shared" si="2"/>
        <v>334653.5</v>
      </c>
      <c r="F21" s="1">
        <v>286.89600000000002</v>
      </c>
    </row>
    <row r="22" spans="1:7">
      <c r="A22" s="1" t="s">
        <v>7</v>
      </c>
      <c r="B22" s="4">
        <f>AVERAGE(B14:B21)</f>
        <v>322853.875</v>
      </c>
      <c r="C22" s="4">
        <f t="shared" ref="C22:F22" si="3">AVERAGE(C14:C21)</f>
        <v>375347</v>
      </c>
      <c r="D22" s="4">
        <f t="shared" si="3"/>
        <v>373489</v>
      </c>
      <c r="E22" s="4">
        <f t="shared" si="3"/>
        <v>340041.91666666663</v>
      </c>
      <c r="F22" s="5">
        <f t="shared" si="3"/>
        <v>250.22675000000001</v>
      </c>
      <c r="G22" s="1" t="s">
        <v>18</v>
      </c>
    </row>
    <row r="24" spans="1:7">
      <c r="A24" s="1" t="s">
        <v>28</v>
      </c>
    </row>
    <row r="25" spans="1:7">
      <c r="A25" s="1" t="s">
        <v>4</v>
      </c>
      <c r="B25" s="4">
        <v>325273</v>
      </c>
      <c r="C25" s="4">
        <v>374973</v>
      </c>
      <c r="D25" s="4">
        <v>373929</v>
      </c>
      <c r="E25" s="4">
        <f>(B25*4+C25+D25)/6</f>
        <v>341665.66666666669</v>
      </c>
      <c r="F25" s="1">
        <v>312.61599999999999</v>
      </c>
    </row>
    <row r="26" spans="1:7">
      <c r="A26" s="1" t="s">
        <v>5</v>
      </c>
      <c r="B26" s="4">
        <v>323590</v>
      </c>
      <c r="C26" s="4">
        <v>379064</v>
      </c>
      <c r="D26" s="4">
        <v>374332</v>
      </c>
      <c r="E26" s="4">
        <f t="shared" ref="E26:E32" si="4">(B26*4+C26+D26)/6</f>
        <v>341292.66666666669</v>
      </c>
      <c r="F26" s="1">
        <v>199.018</v>
      </c>
    </row>
    <row r="27" spans="1:7">
      <c r="A27" s="1" t="s">
        <v>6</v>
      </c>
      <c r="B27" s="4">
        <v>325920</v>
      </c>
      <c r="C27" s="4">
        <v>379406</v>
      </c>
      <c r="D27" s="4">
        <v>375964</v>
      </c>
      <c r="E27" s="4">
        <f t="shared" si="4"/>
        <v>343175</v>
      </c>
      <c r="F27" s="1">
        <v>254.584</v>
      </c>
    </row>
    <row r="28" spans="1:7">
      <c r="A28" s="1" t="s">
        <v>10</v>
      </c>
      <c r="B28" s="4">
        <v>321641</v>
      </c>
      <c r="C28" s="4">
        <v>377197</v>
      </c>
      <c r="D28" s="4">
        <v>375831</v>
      </c>
      <c r="E28" s="4">
        <f t="shared" si="4"/>
        <v>339932</v>
      </c>
      <c r="F28" s="1">
        <v>189.45</v>
      </c>
    </row>
    <row r="29" spans="1:7">
      <c r="A29" s="1" t="s">
        <v>11</v>
      </c>
      <c r="B29" s="4">
        <v>319497</v>
      </c>
      <c r="C29" s="4">
        <v>373146</v>
      </c>
      <c r="D29" s="4">
        <v>370444</v>
      </c>
      <c r="E29" s="4">
        <f t="shared" si="4"/>
        <v>336929.66666666669</v>
      </c>
      <c r="F29" s="1">
        <v>276.33800000000002</v>
      </c>
    </row>
    <row r="30" spans="1:7">
      <c r="A30" s="1" t="s">
        <v>12</v>
      </c>
      <c r="B30" s="4">
        <v>327123</v>
      </c>
      <c r="C30" s="4">
        <v>376252</v>
      </c>
      <c r="D30" s="4">
        <v>377972</v>
      </c>
      <c r="E30" s="4">
        <f t="shared" si="4"/>
        <v>343786</v>
      </c>
      <c r="F30" s="1">
        <v>207.21799999999999</v>
      </c>
    </row>
    <row r="31" spans="1:7">
      <c r="A31" s="1" t="s">
        <v>13</v>
      </c>
      <c r="B31" s="4">
        <v>323065</v>
      </c>
      <c r="C31" s="4">
        <v>373054</v>
      </c>
      <c r="D31" s="4">
        <v>371617</v>
      </c>
      <c r="E31" s="4">
        <f t="shared" si="4"/>
        <v>339488.5</v>
      </c>
      <c r="F31" s="1">
        <v>271.82</v>
      </c>
    </row>
    <row r="32" spans="1:7">
      <c r="A32" s="1" t="s">
        <v>14</v>
      </c>
      <c r="B32" s="4">
        <v>317181</v>
      </c>
      <c r="C32" s="4">
        <v>371079</v>
      </c>
      <c r="D32" s="4">
        <v>368936</v>
      </c>
      <c r="E32" s="4">
        <f t="shared" si="4"/>
        <v>334789.83333333331</v>
      </c>
      <c r="F32" s="1">
        <v>286.54000000000002</v>
      </c>
    </row>
    <row r="33" spans="1:7">
      <c r="A33" s="1" t="s">
        <v>7</v>
      </c>
      <c r="B33" s="4">
        <f>AVERAGE(B25:B32)</f>
        <v>322911.25</v>
      </c>
      <c r="C33" s="4">
        <f t="shared" ref="C33:F33" si="5">AVERAGE(C25:C32)</f>
        <v>375521.375</v>
      </c>
      <c r="D33" s="4">
        <f t="shared" si="5"/>
        <v>373628.125</v>
      </c>
      <c r="E33" s="4">
        <f t="shared" si="5"/>
        <v>340132.41666666669</v>
      </c>
      <c r="F33" s="5">
        <f t="shared" si="5"/>
        <v>249.69800000000001</v>
      </c>
      <c r="G33" s="1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58"/>
  <sheetViews>
    <sheetView tabSelected="1" topLeftCell="E1" workbookViewId="0">
      <pane ySplit="1" topLeftCell="A47" activePane="bottomLeft" state="frozen"/>
      <selection pane="bottomLeft" activeCell="Q58" sqref="Q58:R58"/>
    </sheetView>
  </sheetViews>
  <sheetFormatPr defaultRowHeight="13.5"/>
  <cols>
    <col min="1" max="3" width="9" style="1"/>
    <col min="4" max="6" width="9" style="11"/>
    <col min="7" max="8" width="9.5" style="11" bestFit="1" customWidth="1"/>
    <col min="9" max="9" width="9" style="1"/>
    <col min="10" max="10" width="9" style="8"/>
    <col min="11" max="11" width="9.5" style="11" bestFit="1" customWidth="1"/>
    <col min="12" max="12" width="9" style="11"/>
    <col min="13" max="14" width="9" style="8"/>
    <col min="15" max="18" width="9" style="1"/>
    <col min="19" max="19" width="9" style="8"/>
    <col min="20" max="20" width="9" style="1"/>
    <col min="21" max="21" width="8.125" style="1" customWidth="1"/>
    <col min="22" max="16384" width="9" style="1"/>
  </cols>
  <sheetData>
    <row r="1" spans="1:21">
      <c r="C1" s="1" t="s">
        <v>105</v>
      </c>
      <c r="G1" s="11" t="s">
        <v>111</v>
      </c>
      <c r="I1" s="8"/>
      <c r="K1" s="11" t="s">
        <v>112</v>
      </c>
      <c r="O1" s="1" t="s">
        <v>116</v>
      </c>
    </row>
    <row r="2" spans="1:21">
      <c r="C2" s="11" t="s">
        <v>107</v>
      </c>
      <c r="D2" s="11" t="s">
        <v>108</v>
      </c>
      <c r="E2" s="11" t="s">
        <v>117</v>
      </c>
      <c r="F2" s="11" t="s">
        <v>115</v>
      </c>
      <c r="G2" s="11" t="s">
        <v>107</v>
      </c>
      <c r="H2" s="11" t="s">
        <v>108</v>
      </c>
      <c r="I2" s="8" t="s">
        <v>113</v>
      </c>
      <c r="J2" s="8" t="s">
        <v>115</v>
      </c>
      <c r="K2" s="11" t="s">
        <v>107</v>
      </c>
      <c r="L2" s="11" t="s">
        <v>108</v>
      </c>
      <c r="M2" s="8" t="s">
        <v>114</v>
      </c>
      <c r="N2" s="8" t="s">
        <v>115</v>
      </c>
      <c r="O2" s="11" t="s">
        <v>107</v>
      </c>
      <c r="P2" s="11"/>
      <c r="Q2" s="11" t="s">
        <v>108</v>
      </c>
      <c r="R2" s="11"/>
      <c r="S2" s="8" t="s">
        <v>114</v>
      </c>
      <c r="T2" s="1" t="s">
        <v>115</v>
      </c>
    </row>
    <row r="3" spans="1:21">
      <c r="C3" s="11"/>
      <c r="I3" s="8"/>
    </row>
    <row r="4" spans="1:21">
      <c r="A4" s="1" t="s">
        <v>221</v>
      </c>
      <c r="C4" s="11"/>
      <c r="I4" s="8"/>
    </row>
    <row r="5" spans="1:21">
      <c r="A5" s="1" t="s">
        <v>106</v>
      </c>
      <c r="B5" s="1">
        <v>24</v>
      </c>
      <c r="C5" s="11">
        <v>39.443800000000003</v>
      </c>
      <c r="D5" s="11">
        <v>39.431100000000001</v>
      </c>
      <c r="E5" s="16">
        <f>D5-C5</f>
        <v>-1.2700000000002376E-2</v>
      </c>
      <c r="G5" s="11">
        <v>1144.7919999999999</v>
      </c>
      <c r="H5" s="11">
        <v>1153.2940000000001</v>
      </c>
      <c r="I5" s="8">
        <f>(H5-G5)/G5</f>
        <v>7.4266766364546408E-3</v>
      </c>
      <c r="K5" s="11">
        <v>5550.7730000000001</v>
      </c>
      <c r="L5" s="11">
        <v>601.12120000000004</v>
      </c>
      <c r="M5" s="8">
        <f t="shared" ref="M5:M16" si="0">(L5-K5)/K5</f>
        <v>-0.89170495712939435</v>
      </c>
      <c r="O5" s="1" t="s">
        <v>45</v>
      </c>
      <c r="P5" s="1">
        <f>17*3600+48*60+14</f>
        <v>64094</v>
      </c>
      <c r="Q5" s="1" t="s">
        <v>93</v>
      </c>
      <c r="R5" s="1">
        <f>6*3600+45*60+30</f>
        <v>24330</v>
      </c>
      <c r="S5" s="8">
        <f t="shared" ref="S5:S16" si="1">(R5-P5)/P5</f>
        <v>-0.62040128561175778</v>
      </c>
    </row>
    <row r="6" spans="1:21">
      <c r="B6" s="1">
        <v>28</v>
      </c>
      <c r="C6" s="11">
        <v>37.7318</v>
      </c>
      <c r="D6" s="11">
        <v>37.713500000000003</v>
      </c>
      <c r="E6" s="16">
        <f t="shared" ref="E6:E16" si="2">D6-C6</f>
        <v>-1.829999999999643E-2</v>
      </c>
      <c r="G6" s="11">
        <v>664.46299999999997</v>
      </c>
      <c r="H6" s="11">
        <v>671.15350000000001</v>
      </c>
      <c r="I6" s="8">
        <f t="shared" ref="I6:I16" si="3">(H6-G6)/G6</f>
        <v>1.0069033189206988E-2</v>
      </c>
      <c r="K6" s="11">
        <v>5209.4340000000002</v>
      </c>
      <c r="L6" s="11">
        <v>538.12670000000003</v>
      </c>
      <c r="M6" s="8">
        <f t="shared" si="0"/>
        <v>-0.89670150346467581</v>
      </c>
      <c r="O6" s="1" t="s">
        <v>46</v>
      </c>
      <c r="P6" s="1">
        <f>16*3600+51*60+50</f>
        <v>60710</v>
      </c>
      <c r="Q6" s="1" t="s">
        <v>94</v>
      </c>
      <c r="R6" s="1">
        <f>6*3600+26*60+11</f>
        <v>23171</v>
      </c>
      <c r="S6" s="8">
        <f t="shared" si="1"/>
        <v>-0.6183330588041509</v>
      </c>
    </row>
    <row r="7" spans="1:21">
      <c r="B7" s="1">
        <v>32</v>
      </c>
      <c r="C7" s="11">
        <v>35.900700000000001</v>
      </c>
      <c r="D7" s="11">
        <v>35.873800000000003</v>
      </c>
      <c r="E7" s="16">
        <f t="shared" si="2"/>
        <v>-2.6899999999997704E-2</v>
      </c>
      <c r="G7" s="11">
        <v>397.59350000000001</v>
      </c>
      <c r="H7" s="11">
        <v>403.75729999999999</v>
      </c>
      <c r="I7" s="8">
        <f t="shared" si="3"/>
        <v>1.5502768531175637E-2</v>
      </c>
      <c r="K7" s="11">
        <v>4845.3609999999999</v>
      </c>
      <c r="L7" s="11">
        <v>467.714</v>
      </c>
      <c r="M7" s="8">
        <f t="shared" si="0"/>
        <v>-0.90347179498080743</v>
      </c>
      <c r="O7" s="1" t="s">
        <v>47</v>
      </c>
      <c r="P7" s="1">
        <f>15*3600+55*60+6</f>
        <v>57306</v>
      </c>
      <c r="Q7" s="1" t="s">
        <v>95</v>
      </c>
      <c r="R7" s="1">
        <f>6*3600+7*60+48</f>
        <v>22068</v>
      </c>
      <c r="S7" s="8">
        <f t="shared" si="1"/>
        <v>-0.61490943356716576</v>
      </c>
    </row>
    <row r="8" spans="1:21">
      <c r="B8" s="1">
        <v>36</v>
      </c>
      <c r="C8" s="11">
        <v>34.042499999999997</v>
      </c>
      <c r="D8" s="11">
        <v>33.997799999999998</v>
      </c>
      <c r="E8" s="16">
        <f t="shared" si="2"/>
        <v>-4.4699999999998852E-2</v>
      </c>
      <c r="F8" s="16">
        <f>AVERAGE(E5:E8)</f>
        <v>-2.564999999999884E-2</v>
      </c>
      <c r="G8" s="11">
        <v>246.82849999999999</v>
      </c>
      <c r="H8" s="11">
        <v>251.6918</v>
      </c>
      <c r="I8" s="8">
        <f t="shared" si="3"/>
        <v>1.9703154214363455E-2</v>
      </c>
      <c r="J8" s="8">
        <f>AVERAGE(I5:I8)</f>
        <v>1.3175408142800181E-2</v>
      </c>
      <c r="K8" s="11">
        <v>4416.7209999999995</v>
      </c>
      <c r="L8" s="11">
        <v>389.85809999999998</v>
      </c>
      <c r="M8" s="8">
        <f t="shared" si="0"/>
        <v>-0.91173132738065188</v>
      </c>
      <c r="N8" s="8">
        <f>AVERAGE(M5:M8)</f>
        <v>-0.90090239573888242</v>
      </c>
      <c r="O8" s="1" t="s">
        <v>48</v>
      </c>
      <c r="P8" s="1">
        <f>14*3600+50*60+17</f>
        <v>53417</v>
      </c>
      <c r="Q8" s="1" t="s">
        <v>96</v>
      </c>
      <c r="R8" s="1">
        <f>5*3600+48*60+14</f>
        <v>20894</v>
      </c>
      <c r="S8" s="8">
        <f t="shared" si="1"/>
        <v>-0.60885111481363607</v>
      </c>
      <c r="T8" s="8">
        <f>AVERAGE(S5:S8)</f>
        <v>-0.61562372319917757</v>
      </c>
      <c r="U8" s="6">
        <f>T8/J8</f>
        <v>-46.725210826625563</v>
      </c>
    </row>
    <row r="9" spans="1:21">
      <c r="A9" s="1" t="s">
        <v>109</v>
      </c>
      <c r="B9" s="1">
        <v>24</v>
      </c>
      <c r="C9" s="11">
        <v>40.6676</v>
      </c>
      <c r="D9" s="11">
        <v>40.651200000000003</v>
      </c>
      <c r="E9" s="16">
        <f t="shared" si="2"/>
        <v>-1.6399999999997306E-2</v>
      </c>
      <c r="G9" s="11">
        <v>568.24180000000001</v>
      </c>
      <c r="H9" s="11">
        <v>573.44449999999995</v>
      </c>
      <c r="I9" s="8">
        <f t="shared" si="3"/>
        <v>9.1557854420423416E-3</v>
      </c>
      <c r="K9" s="11">
        <v>4789.3310000000001</v>
      </c>
      <c r="L9" s="11">
        <v>491.13299999999998</v>
      </c>
      <c r="M9" s="8">
        <f t="shared" si="0"/>
        <v>-0.89745269224449098</v>
      </c>
      <c r="O9" s="1" t="s">
        <v>118</v>
      </c>
      <c r="P9" s="1">
        <f>15*3600+55*60+11</f>
        <v>57311</v>
      </c>
      <c r="Q9" s="1" t="s">
        <v>97</v>
      </c>
      <c r="R9" s="1">
        <f>6*3600+18*60+34</f>
        <v>22714</v>
      </c>
      <c r="S9" s="8">
        <f t="shared" si="1"/>
        <v>-0.60367119750135223</v>
      </c>
    </row>
    <row r="10" spans="1:21">
      <c r="B10" s="1">
        <v>28</v>
      </c>
      <c r="C10" s="11">
        <v>39.465899999999998</v>
      </c>
      <c r="D10" s="11">
        <v>39.447099999999999</v>
      </c>
      <c r="E10" s="16">
        <f t="shared" si="2"/>
        <v>-1.8799999999998818E-2</v>
      </c>
      <c r="G10" s="11">
        <v>298.05099999999999</v>
      </c>
      <c r="H10" s="11">
        <v>302.34930000000003</v>
      </c>
      <c r="I10" s="8">
        <f t="shared" si="3"/>
        <v>1.4421357418696936E-2</v>
      </c>
      <c r="K10" s="11">
        <v>4392.0630000000001</v>
      </c>
      <c r="L10" s="11">
        <v>430.01389999999998</v>
      </c>
      <c r="M10" s="8">
        <f t="shared" si="0"/>
        <v>-0.90209295722761718</v>
      </c>
      <c r="O10" s="1" t="s">
        <v>53</v>
      </c>
      <c r="P10" s="1">
        <f>14*3600+49*60+30</f>
        <v>53370</v>
      </c>
      <c r="Q10" s="1" t="s">
        <v>98</v>
      </c>
      <c r="R10" s="1">
        <f>5*3600+59*60+15</f>
        <v>21555</v>
      </c>
      <c r="S10" s="8">
        <f t="shared" si="1"/>
        <v>-0.59612141652613826</v>
      </c>
    </row>
    <row r="11" spans="1:21">
      <c r="B11" s="1">
        <v>32</v>
      </c>
      <c r="C11" s="11">
        <v>38.090400000000002</v>
      </c>
      <c r="D11" s="11">
        <v>38.057699999999997</v>
      </c>
      <c r="E11" s="16">
        <f t="shared" si="2"/>
        <v>-3.2700000000005502E-2</v>
      </c>
      <c r="G11" s="11">
        <v>177.03700000000001</v>
      </c>
      <c r="H11" s="11">
        <v>180.58529999999999</v>
      </c>
      <c r="I11" s="8">
        <f t="shared" si="3"/>
        <v>2.0042702937803868E-2</v>
      </c>
      <c r="K11" s="11">
        <v>4056.7510000000002</v>
      </c>
      <c r="L11" s="11">
        <v>366.2</v>
      </c>
      <c r="M11" s="8">
        <f t="shared" si="0"/>
        <v>-0.90973071800561589</v>
      </c>
      <c r="O11" s="1" t="s">
        <v>54</v>
      </c>
      <c r="P11" s="1">
        <f>13*3600+57*60+4</f>
        <v>50224</v>
      </c>
      <c r="Q11" s="1" t="s">
        <v>99</v>
      </c>
      <c r="R11" s="1">
        <f>5*3600+40*60+54</f>
        <v>20454</v>
      </c>
      <c r="S11" s="8">
        <f t="shared" si="1"/>
        <v>-0.5927445046193055</v>
      </c>
    </row>
    <row r="12" spans="1:21">
      <c r="B12" s="1">
        <v>36</v>
      </c>
      <c r="C12" s="11">
        <v>36.4619</v>
      </c>
      <c r="D12" s="11">
        <v>36.423900000000003</v>
      </c>
      <c r="E12" s="16">
        <f t="shared" si="2"/>
        <v>-3.7999999999996703E-2</v>
      </c>
      <c r="F12" s="16">
        <f>AVERAGE(E9:E12)</f>
        <v>-2.6474999999999582E-2</v>
      </c>
      <c r="G12" s="11">
        <v>112.83929999999999</v>
      </c>
      <c r="H12" s="11">
        <v>115.62779999999999</v>
      </c>
      <c r="I12" s="8">
        <f t="shared" si="3"/>
        <v>2.4712134867905057E-2</v>
      </c>
      <c r="J12" s="8">
        <f>AVERAGE(I9:I12)</f>
        <v>1.7082995166612051E-2</v>
      </c>
      <c r="K12" s="11">
        <v>3706.163</v>
      </c>
      <c r="L12" s="11">
        <v>298.1096</v>
      </c>
      <c r="M12" s="8">
        <f t="shared" si="0"/>
        <v>-0.91956381842892498</v>
      </c>
      <c r="N12" s="8">
        <f>AVERAGE(M9:M12)</f>
        <v>-0.90721004647666237</v>
      </c>
      <c r="O12" s="1" t="s">
        <v>55</v>
      </c>
      <c r="P12" s="1">
        <f>13*3600+3*60+32</f>
        <v>47012</v>
      </c>
      <c r="Q12" s="1" t="s">
        <v>100</v>
      </c>
      <c r="R12" s="1">
        <f>5*3600+24*60+19</f>
        <v>19459</v>
      </c>
      <c r="S12" s="8">
        <f t="shared" si="1"/>
        <v>-0.58608440398196204</v>
      </c>
      <c r="T12" s="8">
        <f>AVERAGE(S9:S12)</f>
        <v>-0.59465538065718959</v>
      </c>
      <c r="U12" s="6">
        <f>T12/J12</f>
        <v>-34.809784517144685</v>
      </c>
    </row>
    <row r="13" spans="1:21">
      <c r="A13" s="1" t="s">
        <v>110</v>
      </c>
      <c r="B13" s="1">
        <v>24</v>
      </c>
      <c r="C13" s="11">
        <v>39.346200000000003</v>
      </c>
      <c r="D13" s="11">
        <v>39.340800000000002</v>
      </c>
      <c r="E13" s="16">
        <f t="shared" si="2"/>
        <v>-5.4000000000016257E-3</v>
      </c>
      <c r="G13" s="11">
        <v>664.32079999999996</v>
      </c>
      <c r="H13" s="11">
        <v>667.32230000000004</v>
      </c>
      <c r="I13" s="8">
        <f t="shared" si="3"/>
        <v>4.5181484608039944E-3</v>
      </c>
      <c r="K13" s="11">
        <v>3210.75</v>
      </c>
      <c r="L13" s="11">
        <v>308.0625</v>
      </c>
      <c r="M13" s="8">
        <f t="shared" si="0"/>
        <v>-0.90405279140387762</v>
      </c>
      <c r="O13" s="1" t="s">
        <v>66</v>
      </c>
      <c r="P13" s="1">
        <f>12*3600+24*60+55</f>
        <v>44695</v>
      </c>
      <c r="Q13" s="1" t="s">
        <v>101</v>
      </c>
      <c r="R13" s="1">
        <f>5*3600+56*60+17</f>
        <v>21377</v>
      </c>
      <c r="S13" s="8">
        <f t="shared" si="1"/>
        <v>-0.52171383823693929</v>
      </c>
    </row>
    <row r="14" spans="1:21">
      <c r="B14" s="1">
        <v>28</v>
      </c>
      <c r="C14" s="11">
        <v>38.075600000000001</v>
      </c>
      <c r="D14" s="11">
        <v>38.072499999999998</v>
      </c>
      <c r="E14" s="16">
        <f t="shared" si="2"/>
        <v>-3.1000000000034333E-3</v>
      </c>
      <c r="G14" s="11">
        <v>296.75599999999997</v>
      </c>
      <c r="H14" s="11">
        <v>300.25049999999999</v>
      </c>
      <c r="I14" s="8">
        <f t="shared" si="3"/>
        <v>1.177566755179345E-2</v>
      </c>
      <c r="K14" s="11">
        <v>2763.0369999999998</v>
      </c>
      <c r="L14" s="11">
        <v>262.23379999999997</v>
      </c>
      <c r="M14" s="8">
        <f t="shared" si="0"/>
        <v>-0.90509218660481205</v>
      </c>
      <c r="O14" s="1" t="s">
        <v>67</v>
      </c>
      <c r="P14" s="1">
        <f>11*3600+9*60+54</f>
        <v>40194</v>
      </c>
      <c r="Q14" s="1" t="s">
        <v>102</v>
      </c>
      <c r="R14" s="1">
        <f>5*3600+34*60+43</f>
        <v>20083</v>
      </c>
      <c r="S14" s="8">
        <f t="shared" si="1"/>
        <v>-0.50034831069313823</v>
      </c>
    </row>
    <row r="15" spans="1:21">
      <c r="B15" s="1">
        <v>32</v>
      </c>
      <c r="C15" s="11">
        <v>36.764400000000002</v>
      </c>
      <c r="D15" s="11">
        <v>36.752899999999997</v>
      </c>
      <c r="E15" s="16">
        <f t="shared" si="2"/>
        <v>-1.1500000000005173E-2</v>
      </c>
      <c r="G15" s="11">
        <v>146.995</v>
      </c>
      <c r="H15" s="11">
        <v>149.34200000000001</v>
      </c>
      <c r="I15" s="8">
        <f t="shared" si="3"/>
        <v>1.5966529473791683E-2</v>
      </c>
      <c r="K15" s="11">
        <v>2391.5909999999999</v>
      </c>
      <c r="L15" s="11">
        <v>225.75120000000001</v>
      </c>
      <c r="M15" s="8">
        <f t="shared" si="0"/>
        <v>-0.90560626796136956</v>
      </c>
      <c r="O15" s="1" t="s">
        <v>68</v>
      </c>
      <c r="P15" s="1">
        <f>10*3600+11*60+41</f>
        <v>36701</v>
      </c>
      <c r="Q15" s="1" t="s">
        <v>103</v>
      </c>
      <c r="R15" s="1">
        <f>5*3600+21*60+13</f>
        <v>19273</v>
      </c>
      <c r="S15" s="8">
        <f t="shared" si="1"/>
        <v>-0.47486444511048748</v>
      </c>
    </row>
    <row r="16" spans="1:21">
      <c r="B16" s="1">
        <v>36</v>
      </c>
      <c r="C16" s="11">
        <v>35.310699999999997</v>
      </c>
      <c r="D16" s="11">
        <v>35.289499999999997</v>
      </c>
      <c r="E16" s="16">
        <f t="shared" si="2"/>
        <v>-2.120000000000033E-2</v>
      </c>
      <c r="F16" s="16">
        <f>AVERAGE(E13:E16)</f>
        <v>-1.030000000000264E-2</v>
      </c>
      <c r="G16" s="11">
        <v>77.557000000000002</v>
      </c>
      <c r="H16" s="11">
        <v>79.06</v>
      </c>
      <c r="I16" s="8">
        <f t="shared" si="3"/>
        <v>1.9379295228025839E-2</v>
      </c>
      <c r="J16" s="8">
        <f>AVERAGE(I13:I16)</f>
        <v>1.2909910178603741E-2</v>
      </c>
      <c r="K16" s="11">
        <v>2074.7779999999998</v>
      </c>
      <c r="L16" s="11">
        <v>192.7251</v>
      </c>
      <c r="M16" s="8">
        <f t="shared" si="0"/>
        <v>-0.90711049567712776</v>
      </c>
      <c r="N16" s="8">
        <f>AVERAGE(M13:M16)</f>
        <v>-0.90546543541179669</v>
      </c>
      <c r="O16" s="1" t="s">
        <v>69</v>
      </c>
      <c r="P16" s="1">
        <f>9*3600+23*60+10</f>
        <v>33790</v>
      </c>
      <c r="Q16" s="1" t="s">
        <v>104</v>
      </c>
      <c r="R16" s="1">
        <f>5*3600+10*60+17</f>
        <v>18617</v>
      </c>
      <c r="S16" s="8">
        <f t="shared" si="1"/>
        <v>-0.44903817697543652</v>
      </c>
      <c r="T16" s="8">
        <f>AVERAGE(S13:S16)</f>
        <v>-0.48649119275400043</v>
      </c>
      <c r="U16" s="6">
        <f>T16/J16</f>
        <v>-37.683545897963512</v>
      </c>
    </row>
    <row r="17" spans="1:21">
      <c r="C17" s="11"/>
      <c r="I17" s="8"/>
    </row>
    <row r="18" spans="1:21">
      <c r="A18" s="1" t="s">
        <v>222</v>
      </c>
      <c r="C18" s="11"/>
      <c r="I18" s="8"/>
    </row>
    <row r="19" spans="1:21">
      <c r="A19" s="1" t="s">
        <v>106</v>
      </c>
      <c r="B19" s="1">
        <v>24</v>
      </c>
      <c r="C19" s="11">
        <v>39.439599999999999</v>
      </c>
      <c r="D19" s="11">
        <v>39.4328</v>
      </c>
      <c r="E19" s="16">
        <f t="shared" ref="E19:E30" si="4">D19-C19</f>
        <v>-6.7999999999983629E-3</v>
      </c>
      <c r="G19" s="11">
        <v>1146.3720000000001</v>
      </c>
      <c r="H19" s="11">
        <v>1153.4369999999999</v>
      </c>
      <c r="I19" s="8">
        <f>(H19-G19)/G19</f>
        <v>6.1629209366591536E-3</v>
      </c>
      <c r="K19" s="11">
        <v>2555.1640000000002</v>
      </c>
      <c r="L19" s="11">
        <v>614.47289999999998</v>
      </c>
      <c r="M19" s="8">
        <f t="shared" ref="M19:M30" si="5">(L19-K19)/K19</f>
        <v>-0.75951723646701352</v>
      </c>
      <c r="O19" s="1" t="s">
        <v>141</v>
      </c>
      <c r="P19" s="1">
        <f>11*3600+8*60+17</f>
        <v>40097</v>
      </c>
      <c r="Q19" s="1" t="s">
        <v>131</v>
      </c>
      <c r="R19" s="1">
        <f>6*3600+47*60+17</f>
        <v>24437</v>
      </c>
      <c r="S19" s="8">
        <f t="shared" ref="S19:S30" si="6">(R19-P19)/P19</f>
        <v>-0.39055290919520164</v>
      </c>
    </row>
    <row r="20" spans="1:21">
      <c r="B20" s="1">
        <v>28</v>
      </c>
      <c r="C20" s="11">
        <v>37.727499999999999</v>
      </c>
      <c r="D20" s="11">
        <v>37.714199999999998</v>
      </c>
      <c r="E20" s="16">
        <f t="shared" si="4"/>
        <v>-1.3300000000000978E-2</v>
      </c>
      <c r="G20" s="11">
        <v>665.50800000000004</v>
      </c>
      <c r="H20" s="11">
        <v>671.1875</v>
      </c>
      <c r="I20" s="8">
        <f t="shared" ref="I20:I30" si="7">(H20-G20)/G20</f>
        <v>8.5340822349242399E-3</v>
      </c>
      <c r="K20" s="11">
        <v>2431.6529999999998</v>
      </c>
      <c r="L20" s="11">
        <v>550.96699999999998</v>
      </c>
      <c r="M20" s="8">
        <f t="shared" si="5"/>
        <v>-0.77341874025611379</v>
      </c>
      <c r="O20" s="1" t="s">
        <v>142</v>
      </c>
      <c r="P20" s="1">
        <f>10*3600+41*60+10</f>
        <v>38470</v>
      </c>
      <c r="Q20" s="1" t="s">
        <v>132</v>
      </c>
      <c r="R20" s="1">
        <f>6*3600+27*60+49</f>
        <v>23269</v>
      </c>
      <c r="S20" s="8">
        <f t="shared" si="6"/>
        <v>-0.39513906940473098</v>
      </c>
    </row>
    <row r="21" spans="1:21">
      <c r="B21" s="1">
        <v>32</v>
      </c>
      <c r="C21" s="11">
        <v>35.897300000000001</v>
      </c>
      <c r="D21" s="11">
        <v>35.874600000000001</v>
      </c>
      <c r="E21" s="16">
        <f t="shared" si="4"/>
        <v>-2.2700000000000387E-2</v>
      </c>
      <c r="G21" s="11">
        <v>398.39479999999998</v>
      </c>
      <c r="H21" s="11">
        <v>403.64080000000001</v>
      </c>
      <c r="I21" s="8">
        <f t="shared" si="7"/>
        <v>1.3167842552161921E-2</v>
      </c>
      <c r="K21" s="11">
        <v>2299.33</v>
      </c>
      <c r="L21" s="11">
        <v>480.61349999999999</v>
      </c>
      <c r="M21" s="8">
        <f t="shared" si="5"/>
        <v>-0.79097671930518898</v>
      </c>
      <c r="O21" s="1" t="s">
        <v>151</v>
      </c>
      <c r="P21" s="1">
        <f>10*3600+15*60+16</f>
        <v>36916</v>
      </c>
      <c r="Q21" s="1" t="s">
        <v>133</v>
      </c>
      <c r="R21" s="1">
        <f>6*3600+9*60+29</f>
        <v>22169</v>
      </c>
      <c r="S21" s="8">
        <f t="shared" si="6"/>
        <v>-0.39947448260916674</v>
      </c>
    </row>
    <row r="22" spans="1:21">
      <c r="B22" s="1">
        <v>36</v>
      </c>
      <c r="C22" s="11">
        <v>34.037999999999997</v>
      </c>
      <c r="D22" s="11">
        <v>34.002400000000002</v>
      </c>
      <c r="E22" s="16">
        <f t="shared" si="4"/>
        <v>-3.5599999999995191E-2</v>
      </c>
      <c r="F22" s="16">
        <f>AVERAGE(E19:E22)</f>
        <v>-1.959999999999873E-2</v>
      </c>
      <c r="G22" s="11">
        <v>247.2098</v>
      </c>
      <c r="H22" s="11">
        <v>251.78649999999999</v>
      </c>
      <c r="I22" s="8">
        <f t="shared" si="7"/>
        <v>1.8513424629606059E-2</v>
      </c>
      <c r="J22" s="8">
        <f>AVERAGE(I19:I22)</f>
        <v>1.1594567588337844E-2</v>
      </c>
      <c r="K22" s="11">
        <v>2146.3690000000001</v>
      </c>
      <c r="L22" s="11">
        <v>402.00420000000003</v>
      </c>
      <c r="M22" s="8">
        <f t="shared" si="5"/>
        <v>-0.81270499154618803</v>
      </c>
      <c r="N22" s="8">
        <f>AVERAGE(M19:M22)</f>
        <v>-0.78415442189362605</v>
      </c>
      <c r="O22" s="1" t="s">
        <v>143</v>
      </c>
      <c r="P22" s="1">
        <f>9*3600+47*60+0</f>
        <v>35220</v>
      </c>
      <c r="Q22" s="1" t="s">
        <v>134</v>
      </c>
      <c r="R22" s="1">
        <f>5*3600+50*60+0</f>
        <v>21000</v>
      </c>
      <c r="S22" s="8">
        <f t="shared" si="6"/>
        <v>-0.40374787052810901</v>
      </c>
      <c r="T22" s="8">
        <f>AVERAGE(S19:S22)</f>
        <v>-0.39722858293430208</v>
      </c>
      <c r="U22" s="6">
        <f>T22/J22</f>
        <v>-34.259887650648245</v>
      </c>
    </row>
    <row r="23" spans="1:21">
      <c r="A23" s="1" t="s">
        <v>109</v>
      </c>
      <c r="B23" s="1">
        <v>24</v>
      </c>
      <c r="C23" s="11">
        <v>40.664999999999999</v>
      </c>
      <c r="D23" s="11">
        <v>40.652799999999999</v>
      </c>
      <c r="E23" s="16">
        <f t="shared" si="4"/>
        <v>-1.2199999999999989E-2</v>
      </c>
      <c r="G23" s="11">
        <v>569.4973</v>
      </c>
      <c r="H23" s="11">
        <v>573.13850000000002</v>
      </c>
      <c r="I23" s="8">
        <f t="shared" si="7"/>
        <v>6.3937089780759741E-3</v>
      </c>
      <c r="K23" s="11">
        <v>2322.636</v>
      </c>
      <c r="L23" s="11">
        <v>507.67910000000001</v>
      </c>
      <c r="M23" s="8">
        <f t="shared" si="5"/>
        <v>-0.78142115251808719</v>
      </c>
      <c r="O23" s="1" t="s">
        <v>144</v>
      </c>
      <c r="P23" s="1">
        <f>10*3600+26*60+0</f>
        <v>37560</v>
      </c>
      <c r="Q23" s="1" t="s">
        <v>135</v>
      </c>
      <c r="R23" s="1">
        <f>6*3800+20*60+59</f>
        <v>24059</v>
      </c>
      <c r="S23" s="8">
        <f t="shared" si="6"/>
        <v>-0.35945154419595315</v>
      </c>
    </row>
    <row r="24" spans="1:21">
      <c r="B24" s="1">
        <v>28</v>
      </c>
      <c r="C24" s="11">
        <v>39.463900000000002</v>
      </c>
      <c r="D24" s="11">
        <v>39.448399999999999</v>
      </c>
      <c r="E24" s="16">
        <f t="shared" si="4"/>
        <v>-1.5500000000002956E-2</v>
      </c>
      <c r="G24" s="11">
        <v>298.38580000000002</v>
      </c>
      <c r="H24" s="11">
        <v>302.54599999999999</v>
      </c>
      <c r="I24" s="8">
        <f t="shared" si="7"/>
        <v>1.3942352484602063E-2</v>
      </c>
      <c r="K24" s="11">
        <v>2173.9810000000002</v>
      </c>
      <c r="L24" s="11">
        <v>443.98559999999998</v>
      </c>
      <c r="M24" s="8">
        <f t="shared" si="5"/>
        <v>-0.79577300813576568</v>
      </c>
      <c r="O24" s="1" t="s">
        <v>145</v>
      </c>
      <c r="P24" s="1">
        <f>9*3600+53*60+27</f>
        <v>35607</v>
      </c>
      <c r="Q24" s="1" t="s">
        <v>136</v>
      </c>
      <c r="R24" s="1">
        <f>5*3600+50*60+28</f>
        <v>21028</v>
      </c>
      <c r="S24" s="8">
        <f t="shared" si="6"/>
        <v>-0.40944196365883112</v>
      </c>
    </row>
    <row r="25" spans="1:21">
      <c r="B25" s="1">
        <v>32</v>
      </c>
      <c r="C25" s="11">
        <v>38.088700000000003</v>
      </c>
      <c r="D25" s="11">
        <v>38.061300000000003</v>
      </c>
      <c r="E25" s="16">
        <f t="shared" si="4"/>
        <v>-2.7400000000000091E-2</v>
      </c>
      <c r="G25" s="11">
        <v>177.16900000000001</v>
      </c>
      <c r="H25" s="11">
        <v>179.89</v>
      </c>
      <c r="I25" s="8">
        <f t="shared" si="7"/>
        <v>1.5358217295350626E-2</v>
      </c>
      <c r="K25" s="11">
        <v>2042.31</v>
      </c>
      <c r="L25" s="11">
        <v>378.21350000000001</v>
      </c>
      <c r="M25" s="8">
        <f t="shared" si="5"/>
        <v>-0.81481092488407736</v>
      </c>
      <c r="O25" s="1" t="s">
        <v>146</v>
      </c>
      <c r="P25" s="1">
        <f>9*3600+28*60+16</f>
        <v>34096</v>
      </c>
      <c r="Q25" t="s">
        <v>197</v>
      </c>
      <c r="R25" s="1">
        <f>5*3600+42*60+32</f>
        <v>20552</v>
      </c>
      <c r="S25" s="8">
        <f t="shared" si="6"/>
        <v>-0.39723134678554667</v>
      </c>
    </row>
    <row r="26" spans="1:21">
      <c r="B26" s="1">
        <v>36</v>
      </c>
      <c r="C26" s="11">
        <v>36.461399999999998</v>
      </c>
      <c r="D26" s="11">
        <v>36.426299999999998</v>
      </c>
      <c r="E26" s="16">
        <f t="shared" si="4"/>
        <v>-3.5099999999999909E-2</v>
      </c>
      <c r="F26" s="16">
        <f>AVERAGE(E23:E26)</f>
        <v>-2.2550000000000736E-2</v>
      </c>
      <c r="G26" s="11">
        <v>113.429</v>
      </c>
      <c r="H26" s="11">
        <v>115.38500000000001</v>
      </c>
      <c r="I26" s="8">
        <f t="shared" si="7"/>
        <v>1.7244267339040307E-2</v>
      </c>
      <c r="J26" s="8">
        <f>AVERAGE(I23:I26)</f>
        <v>1.3234636524267242E-2</v>
      </c>
      <c r="K26" s="11">
        <v>1912.5119999999999</v>
      </c>
      <c r="L26" s="11">
        <v>307.14760000000001</v>
      </c>
      <c r="M26" s="8">
        <f t="shared" si="5"/>
        <v>-0.83940095539269821</v>
      </c>
      <c r="N26" s="8">
        <f>AVERAGE(M23:M26)</f>
        <v>-0.80785151023265711</v>
      </c>
      <c r="O26" s="1" t="s">
        <v>147</v>
      </c>
      <c r="P26" s="1">
        <f>9*3600+4*60+13</f>
        <v>32653</v>
      </c>
      <c r="Q26" s="1" t="s">
        <v>137</v>
      </c>
      <c r="R26" s="1">
        <f>5*3600+25*60+29</f>
        <v>19529</v>
      </c>
      <c r="S26" s="8">
        <f t="shared" si="6"/>
        <v>-0.40192325360610054</v>
      </c>
      <c r="T26" s="8">
        <f>AVERAGE(S23:S26)</f>
        <v>-0.39201202706160787</v>
      </c>
      <c r="U26" s="6">
        <f>T26/J26</f>
        <v>-29.620158161715157</v>
      </c>
    </row>
    <row r="27" spans="1:21">
      <c r="A27" s="1" t="s">
        <v>110</v>
      </c>
      <c r="B27" s="1">
        <v>24</v>
      </c>
      <c r="C27" s="11">
        <v>39.345399999999998</v>
      </c>
      <c r="D27" s="11">
        <v>39.341000000000001</v>
      </c>
      <c r="E27" s="16">
        <f t="shared" si="4"/>
        <v>-4.3999999999968509E-3</v>
      </c>
      <c r="G27" s="11">
        <v>665.38480000000004</v>
      </c>
      <c r="H27" s="11">
        <v>667.14449999999999</v>
      </c>
      <c r="I27" s="8">
        <f t="shared" si="7"/>
        <v>2.6446351043786279E-3</v>
      </c>
      <c r="K27" s="11">
        <v>1761.345</v>
      </c>
      <c r="L27" s="11">
        <v>315.27</v>
      </c>
      <c r="M27" s="8">
        <f t="shared" si="5"/>
        <v>-0.82100610612912295</v>
      </c>
      <c r="O27" s="1" t="s">
        <v>148</v>
      </c>
      <c r="P27" s="1">
        <f>9*3600+11*60+32</f>
        <v>33092</v>
      </c>
      <c r="Q27" s="1" t="s">
        <v>138</v>
      </c>
      <c r="R27" s="1">
        <f>5*3600+57*60+12</f>
        <v>21432</v>
      </c>
      <c r="S27" s="8">
        <f t="shared" si="6"/>
        <v>-0.35235102139489904</v>
      </c>
    </row>
    <row r="28" spans="1:21">
      <c r="B28" s="1">
        <v>28</v>
      </c>
      <c r="C28" s="11">
        <v>38.073999999999998</v>
      </c>
      <c r="D28" s="11">
        <v>38.072000000000003</v>
      </c>
      <c r="E28" s="16">
        <f t="shared" si="4"/>
        <v>-1.9999999999953388E-3</v>
      </c>
      <c r="G28" s="11">
        <v>297.12079999999997</v>
      </c>
      <c r="H28" s="11">
        <v>299.96679999999998</v>
      </c>
      <c r="I28" s="8">
        <f t="shared" si="7"/>
        <v>9.5785956419072778E-3</v>
      </c>
      <c r="K28" s="11">
        <v>1597.816</v>
      </c>
      <c r="L28" s="11">
        <v>267.27760000000001</v>
      </c>
      <c r="M28" s="8">
        <f t="shared" si="5"/>
        <v>-0.832723167123123</v>
      </c>
      <c r="O28" s="1" t="s">
        <v>152</v>
      </c>
      <c r="P28" s="1">
        <f>8*3600+34*60+22</f>
        <v>30862</v>
      </c>
      <c r="Q28" s="1" t="s">
        <v>139</v>
      </c>
      <c r="R28" s="1">
        <f>5*3600+35*60+20</f>
        <v>20120</v>
      </c>
      <c r="S28" s="8">
        <f t="shared" si="6"/>
        <v>-0.34806558226945761</v>
      </c>
    </row>
    <row r="29" spans="1:21">
      <c r="B29" s="1">
        <v>32</v>
      </c>
      <c r="C29" s="11">
        <v>36.764600000000002</v>
      </c>
      <c r="D29" s="11">
        <v>36.754300000000001</v>
      </c>
      <c r="E29" s="16">
        <f t="shared" si="4"/>
        <v>-1.0300000000000864E-2</v>
      </c>
      <c r="G29" s="11">
        <v>147.22579999999999</v>
      </c>
      <c r="H29" s="11">
        <v>149.2225</v>
      </c>
      <c r="I29" s="8">
        <f t="shared" si="7"/>
        <v>1.3562160979936969E-2</v>
      </c>
      <c r="K29" s="11">
        <v>1457.3530000000001</v>
      </c>
      <c r="L29" s="11">
        <v>230.01150000000001</v>
      </c>
      <c r="M29" s="8">
        <f t="shared" si="5"/>
        <v>-0.84217173190023276</v>
      </c>
      <c r="O29" s="1" t="s">
        <v>149</v>
      </c>
      <c r="P29" s="1">
        <f>8*3600+7*60+2</f>
        <v>29222</v>
      </c>
      <c r="Q29" s="1" t="s">
        <v>195</v>
      </c>
      <c r="R29" s="1">
        <f>5*3600+21*60+40</f>
        <v>19300</v>
      </c>
      <c r="S29" s="8">
        <f t="shared" si="6"/>
        <v>-0.33953870371637807</v>
      </c>
    </row>
    <row r="30" spans="1:21">
      <c r="B30" s="1">
        <v>36</v>
      </c>
      <c r="C30" s="11">
        <v>35.308399999999999</v>
      </c>
      <c r="D30" s="11">
        <v>35.2913</v>
      </c>
      <c r="E30" s="16">
        <f t="shared" si="4"/>
        <v>-1.7099999999999227E-2</v>
      </c>
      <c r="F30" s="16">
        <f>AVERAGE(E27:E30)</f>
        <v>-8.4499999999980702E-3</v>
      </c>
      <c r="G30" s="11">
        <v>77.737250000000003</v>
      </c>
      <c r="H30" s="11">
        <v>78.821749999999994</v>
      </c>
      <c r="I30" s="8">
        <f t="shared" si="7"/>
        <v>1.3950840813123583E-2</v>
      </c>
      <c r="J30" s="8">
        <f>AVERAGE(I27:I30)</f>
        <v>9.9340581348366149E-3</v>
      </c>
      <c r="K30" s="11">
        <v>1331.306</v>
      </c>
      <c r="L30" s="11">
        <v>196.52070000000001</v>
      </c>
      <c r="M30" s="8">
        <f t="shared" si="5"/>
        <v>-0.85238502643269087</v>
      </c>
      <c r="N30" s="8">
        <f>AVERAGE(M27:M30)</f>
        <v>-0.83707150789629248</v>
      </c>
      <c r="O30" s="1" t="s">
        <v>150</v>
      </c>
      <c r="P30" s="1">
        <f>7*3600+43*60+56</f>
        <v>27836</v>
      </c>
      <c r="Q30" s="1" t="s">
        <v>140</v>
      </c>
      <c r="R30" s="1">
        <f>5*3600+10*60+43</f>
        <v>18643</v>
      </c>
      <c r="S30" s="8">
        <f t="shared" si="6"/>
        <v>-0.33025578387699384</v>
      </c>
      <c r="T30" s="8">
        <f>AVERAGE(S27:S30)</f>
        <v>-0.34255277281443208</v>
      </c>
      <c r="U30" s="6">
        <f>T30/J30</f>
        <v>-34.482662388814987</v>
      </c>
    </row>
    <row r="31" spans="1:21">
      <c r="C31" s="11"/>
      <c r="I31" s="8"/>
    </row>
    <row r="32" spans="1:21">
      <c r="A32" s="1" t="s">
        <v>223</v>
      </c>
      <c r="C32" s="11"/>
      <c r="I32" s="8"/>
    </row>
    <row r="33" spans="1:21">
      <c r="A33" s="1" t="s">
        <v>106</v>
      </c>
      <c r="B33" s="1">
        <v>24</v>
      </c>
      <c r="C33" s="11">
        <v>39.439599999999999</v>
      </c>
      <c r="D33" s="11">
        <v>39.433100000000003</v>
      </c>
      <c r="E33" s="16">
        <f t="shared" ref="E33:E44" si="8">D33-C33</f>
        <v>-6.4999999999955094E-3</v>
      </c>
      <c r="G33" s="11">
        <v>1146.3720000000001</v>
      </c>
      <c r="H33" s="11">
        <v>1153.46</v>
      </c>
      <c r="I33" s="8">
        <f>(H33-G33)/G33</f>
        <v>6.1829842319944704E-3</v>
      </c>
      <c r="K33" s="11">
        <v>2555.1640000000002</v>
      </c>
      <c r="L33" s="11">
        <v>605.37</v>
      </c>
      <c r="M33" s="8">
        <f t="shared" ref="M33:M44" si="9">(L33-K33)/K33</f>
        <v>-0.7630797866594865</v>
      </c>
      <c r="P33" s="1">
        <f>11*3600+8*60+17</f>
        <v>40097</v>
      </c>
      <c r="Q33" t="s">
        <v>153</v>
      </c>
      <c r="R33" s="1">
        <f>6*3600+45*60+51</f>
        <v>24351</v>
      </c>
      <c r="S33" s="8">
        <f t="shared" ref="S33:S44" si="10">(R33-P33)/P33</f>
        <v>-0.39269770805795945</v>
      </c>
    </row>
    <row r="34" spans="1:21">
      <c r="B34" s="1">
        <v>28</v>
      </c>
      <c r="C34" s="11">
        <v>37.727499999999999</v>
      </c>
      <c r="D34" s="11">
        <v>37.712400000000002</v>
      </c>
      <c r="E34" s="16">
        <f t="shared" si="8"/>
        <v>-1.5099999999996783E-2</v>
      </c>
      <c r="G34" s="11">
        <v>665.50800000000004</v>
      </c>
      <c r="H34" s="11">
        <v>671.57</v>
      </c>
      <c r="I34" s="8">
        <f t="shared" ref="I34:I44" si="11">(H34-G34)/G34</f>
        <v>9.1088311485361725E-3</v>
      </c>
      <c r="K34" s="11">
        <v>2431.6529999999998</v>
      </c>
      <c r="L34" s="11">
        <v>543.05999999999995</v>
      </c>
      <c r="M34" s="8">
        <f t="shared" si="9"/>
        <v>-0.77667043776394085</v>
      </c>
      <c r="P34" s="1">
        <f>10*3600+41*60+10</f>
        <v>38470</v>
      </c>
      <c r="Q34" t="s">
        <v>154</v>
      </c>
      <c r="R34" s="1">
        <f>6*3600+26*60+39</f>
        <v>23199</v>
      </c>
      <c r="S34" s="8">
        <f t="shared" si="10"/>
        <v>-0.39695866909279959</v>
      </c>
    </row>
    <row r="35" spans="1:21">
      <c r="B35" s="1">
        <v>32</v>
      </c>
      <c r="C35" s="11">
        <v>35.897300000000001</v>
      </c>
      <c r="D35" s="11">
        <v>35.874899999999997</v>
      </c>
      <c r="E35" s="16">
        <f t="shared" si="8"/>
        <v>-2.2400000000004638E-2</v>
      </c>
      <c r="G35" s="11">
        <v>398.39479999999998</v>
      </c>
      <c r="H35" s="11">
        <v>403.74</v>
      </c>
      <c r="I35" s="8">
        <f t="shared" si="11"/>
        <v>1.3416841786087656E-2</v>
      </c>
      <c r="K35" s="11">
        <v>2299.33</v>
      </c>
      <c r="L35" s="11">
        <v>474.01</v>
      </c>
      <c r="M35" s="8">
        <f t="shared" si="9"/>
        <v>-0.79384864286553036</v>
      </c>
      <c r="P35" s="1">
        <f>10*3600+15*60+16</f>
        <v>36916</v>
      </c>
      <c r="Q35" t="s">
        <v>155</v>
      </c>
      <c r="R35" s="1">
        <f>6*3600+8*60+32</f>
        <v>22112</v>
      </c>
      <c r="S35" s="8">
        <f t="shared" si="10"/>
        <v>-0.40101852855130565</v>
      </c>
    </row>
    <row r="36" spans="1:21">
      <c r="B36" s="1">
        <v>36</v>
      </c>
      <c r="C36" s="11">
        <v>34.037999999999997</v>
      </c>
      <c r="D36" s="11">
        <v>34.002899999999997</v>
      </c>
      <c r="E36" s="16">
        <f t="shared" si="8"/>
        <v>-3.5099999999999909E-2</v>
      </c>
      <c r="F36" s="16">
        <f>AVERAGE(E33:E36)</f>
        <v>-1.977499999999921E-2</v>
      </c>
      <c r="G36" s="11">
        <v>247.2098</v>
      </c>
      <c r="H36" s="11">
        <v>252.07</v>
      </c>
      <c r="I36" s="8">
        <f t="shared" si="11"/>
        <v>1.9660223826078058E-2</v>
      </c>
      <c r="J36" s="8">
        <f>AVERAGE(I33:I36)</f>
        <v>1.209222024817409E-2</v>
      </c>
      <c r="K36" s="11">
        <v>2146.3690000000001</v>
      </c>
      <c r="L36" s="11">
        <v>397.57</v>
      </c>
      <c r="M36" s="8">
        <f t="shared" si="9"/>
        <v>-0.81477089913244183</v>
      </c>
      <c r="N36" s="8">
        <f>AVERAGE(M33:M36)</f>
        <v>-0.78709244160534997</v>
      </c>
      <c r="P36" s="1">
        <f>9*3600+47*60+0</f>
        <v>35220</v>
      </c>
      <c r="Q36" t="s">
        <v>156</v>
      </c>
      <c r="R36" s="1">
        <f>5*3600+49*60+15</f>
        <v>20955</v>
      </c>
      <c r="S36" s="8">
        <f t="shared" si="10"/>
        <v>-0.40502555366269166</v>
      </c>
      <c r="T36" s="8">
        <f>AVERAGE(S33:S36)</f>
        <v>-0.39892511484118909</v>
      </c>
      <c r="U36" s="6">
        <f>T36/J36</f>
        <v>-32.990228978125529</v>
      </c>
    </row>
    <row r="37" spans="1:21">
      <c r="A37" s="1" t="s">
        <v>109</v>
      </c>
      <c r="B37" s="1">
        <v>24</v>
      </c>
      <c r="C37" s="11">
        <v>40.664999999999999</v>
      </c>
      <c r="D37" s="11">
        <v>40.652900000000002</v>
      </c>
      <c r="E37" s="16">
        <f t="shared" si="8"/>
        <v>-1.2099999999996669E-2</v>
      </c>
      <c r="G37" s="11">
        <v>569.4973</v>
      </c>
      <c r="H37" s="11">
        <v>573.34</v>
      </c>
      <c r="I37" s="8">
        <f t="shared" si="11"/>
        <v>6.7475297951369324E-3</v>
      </c>
      <c r="K37" s="11">
        <v>2322.636</v>
      </c>
      <c r="L37" s="11">
        <v>503.41</v>
      </c>
      <c r="M37" s="8">
        <f t="shared" si="9"/>
        <v>-0.78325919343366757</v>
      </c>
      <c r="P37" s="1">
        <f>10*3600+26*60+0</f>
        <v>37560</v>
      </c>
      <c r="Q37" s="1" t="s">
        <v>157</v>
      </c>
      <c r="R37" s="1">
        <f>6*3600+20*60+4</f>
        <v>22804</v>
      </c>
      <c r="S37" s="8">
        <f t="shared" si="10"/>
        <v>-0.39286474973375934</v>
      </c>
    </row>
    <row r="38" spans="1:21">
      <c r="B38" s="1">
        <v>28</v>
      </c>
      <c r="C38" s="11">
        <v>39.463900000000002</v>
      </c>
      <c r="D38" s="11">
        <v>39.447699999999998</v>
      </c>
      <c r="E38" s="16">
        <f t="shared" si="8"/>
        <v>-1.6200000000004877E-2</v>
      </c>
      <c r="G38" s="11">
        <v>298.38580000000002</v>
      </c>
      <c r="H38" s="11">
        <v>301.93</v>
      </c>
      <c r="I38" s="8">
        <f t="shared" si="11"/>
        <v>1.1877911080218928E-2</v>
      </c>
      <c r="K38" s="11">
        <v>2173.9810000000002</v>
      </c>
      <c r="L38" s="11">
        <v>441.26</v>
      </c>
      <c r="M38" s="8">
        <f t="shared" si="9"/>
        <v>-0.79702674494395309</v>
      </c>
      <c r="P38" s="1">
        <f>9*3600+53*60+27</f>
        <v>35607</v>
      </c>
      <c r="Q38" s="1" t="s">
        <v>158</v>
      </c>
      <c r="R38" s="1">
        <f>5*3600+58*60+53</f>
        <v>21533</v>
      </c>
      <c r="S38" s="8">
        <f t="shared" si="10"/>
        <v>-0.39525935911478083</v>
      </c>
    </row>
    <row r="39" spans="1:21">
      <c r="B39" s="1">
        <v>32</v>
      </c>
      <c r="C39" s="11">
        <v>38.088700000000003</v>
      </c>
      <c r="D39" s="11">
        <v>38.063299999999998</v>
      </c>
      <c r="E39" s="16">
        <f t="shared" si="8"/>
        <v>-2.5400000000004752E-2</v>
      </c>
      <c r="G39" s="11">
        <v>177.16900000000001</v>
      </c>
      <c r="H39" s="11">
        <v>180.4</v>
      </c>
      <c r="I39" s="8">
        <f t="shared" si="11"/>
        <v>1.8236824726673369E-2</v>
      </c>
      <c r="K39" s="11">
        <v>2042.31</v>
      </c>
      <c r="L39" s="11">
        <v>377.77</v>
      </c>
      <c r="M39" s="8">
        <f t="shared" si="9"/>
        <v>-0.81502808094755452</v>
      </c>
      <c r="P39" s="1">
        <f>9*3600+28*60+16</f>
        <v>34096</v>
      </c>
      <c r="Q39" s="1" t="s">
        <v>159</v>
      </c>
      <c r="R39" s="1">
        <f>5*3600+42*60+17</f>
        <v>20537</v>
      </c>
      <c r="S39" s="8">
        <f t="shared" si="10"/>
        <v>-0.39767128108869076</v>
      </c>
    </row>
    <row r="40" spans="1:21">
      <c r="B40" s="1">
        <v>36</v>
      </c>
      <c r="C40" s="11">
        <v>36.461399999999998</v>
      </c>
      <c r="D40" s="11">
        <v>36.425600000000003</v>
      </c>
      <c r="E40" s="16">
        <f t="shared" si="8"/>
        <v>-3.5799999999994725E-2</v>
      </c>
      <c r="F40" s="16">
        <f>AVERAGE(E37:E40)</f>
        <v>-2.2375000000000256E-2</v>
      </c>
      <c r="G40" s="11">
        <v>113.429</v>
      </c>
      <c r="H40" s="11">
        <v>115.63</v>
      </c>
      <c r="I40" s="8">
        <f t="shared" si="11"/>
        <v>1.9404208800218582E-2</v>
      </c>
      <c r="J40" s="8">
        <f>AVERAGE(I37:I40)</f>
        <v>1.4066618600561954E-2</v>
      </c>
      <c r="K40" s="11">
        <v>1912.5119999999999</v>
      </c>
      <c r="L40" s="11">
        <v>307.12</v>
      </c>
      <c r="M40" s="8">
        <f t="shared" si="9"/>
        <v>-0.83941538667469795</v>
      </c>
      <c r="N40" s="8">
        <f>AVERAGE(M37:M40)</f>
        <v>-0.80868235149996825</v>
      </c>
      <c r="P40" s="1">
        <f>9*3600+4*60+13</f>
        <v>32653</v>
      </c>
      <c r="Q40" t="s">
        <v>160</v>
      </c>
      <c r="R40" s="1">
        <f>5*3600+25*60+21</f>
        <v>19521</v>
      </c>
      <c r="S40" s="8">
        <f t="shared" si="10"/>
        <v>-0.40216825406547635</v>
      </c>
      <c r="T40" s="8">
        <f>AVERAGE(S37:S40)</f>
        <v>-0.39699091100067685</v>
      </c>
      <c r="U40" s="6">
        <f>T40/J40</f>
        <v>-28.222199113638958</v>
      </c>
    </row>
    <row r="41" spans="1:21">
      <c r="A41" s="1" t="s">
        <v>110</v>
      </c>
      <c r="B41" s="1">
        <v>24</v>
      </c>
      <c r="C41" s="11">
        <v>39.345399999999998</v>
      </c>
      <c r="D41" s="11">
        <v>39.340699999999998</v>
      </c>
      <c r="E41" s="16">
        <f t="shared" si="8"/>
        <v>-4.6999999999997044E-3</v>
      </c>
      <c r="G41" s="11">
        <v>665.38480000000004</v>
      </c>
      <c r="H41" s="11">
        <v>667.07</v>
      </c>
      <c r="I41" s="8">
        <f t="shared" si="11"/>
        <v>2.5326698175251504E-3</v>
      </c>
      <c r="K41" s="11">
        <v>1761.345</v>
      </c>
      <c r="L41" s="11">
        <v>311.95</v>
      </c>
      <c r="M41" s="8">
        <f t="shared" si="9"/>
        <v>-0.82289102929863256</v>
      </c>
      <c r="P41" s="1">
        <f>9*3600+11*60+32</f>
        <v>33092</v>
      </c>
      <c r="Q41" t="s">
        <v>161</v>
      </c>
      <c r="R41" s="1">
        <f>5*3600+56*60+34</f>
        <v>21394</v>
      </c>
      <c r="S41" s="8">
        <f t="shared" si="10"/>
        <v>-0.35349933518675208</v>
      </c>
    </row>
    <row r="42" spans="1:21">
      <c r="B42" s="1">
        <v>28</v>
      </c>
      <c r="C42" s="11">
        <v>38.073999999999998</v>
      </c>
      <c r="D42" s="11">
        <v>38.073099999999997</v>
      </c>
      <c r="E42" s="16">
        <f t="shared" si="8"/>
        <v>-9.0000000000145519E-4</v>
      </c>
      <c r="G42" s="11">
        <v>297.12079999999997</v>
      </c>
      <c r="H42" s="11">
        <v>299.76</v>
      </c>
      <c r="I42" s="8">
        <f t="shared" si="11"/>
        <v>8.8825824378502508E-3</v>
      </c>
      <c r="K42" s="11">
        <v>1597.816</v>
      </c>
      <c r="L42" s="11">
        <v>265.68</v>
      </c>
      <c r="M42" s="8">
        <f t="shared" si="9"/>
        <v>-0.83372303193859609</v>
      </c>
      <c r="P42" s="1">
        <f>8*3600+34*60+22</f>
        <v>30862</v>
      </c>
      <c r="Q42" t="s">
        <v>162</v>
      </c>
      <c r="R42" s="1">
        <f>5*3600+35*60+43</f>
        <v>20143</v>
      </c>
      <c r="S42" s="8">
        <f t="shared" si="10"/>
        <v>-0.34732032920743955</v>
      </c>
    </row>
    <row r="43" spans="1:21">
      <c r="B43" s="1">
        <v>32</v>
      </c>
      <c r="C43" s="11">
        <v>36.764600000000002</v>
      </c>
      <c r="D43" s="11">
        <v>36.751399999999997</v>
      </c>
      <c r="E43" s="16">
        <f t="shared" si="8"/>
        <v>-1.3200000000004763E-2</v>
      </c>
      <c r="G43" s="11">
        <v>147.22579999999999</v>
      </c>
      <c r="H43" s="11">
        <v>149.03</v>
      </c>
      <c r="I43" s="8">
        <f t="shared" si="11"/>
        <v>1.2254645585216781E-2</v>
      </c>
      <c r="K43" s="11">
        <v>1457.3530000000001</v>
      </c>
      <c r="L43" s="11">
        <v>229.11</v>
      </c>
      <c r="M43" s="8">
        <f t="shared" si="9"/>
        <v>-0.84279031916083469</v>
      </c>
      <c r="P43" s="1">
        <f>8*3600+7*60+2</f>
        <v>29222</v>
      </c>
      <c r="Q43" t="s">
        <v>163</v>
      </c>
      <c r="R43" s="1">
        <f>5*3600+21*60+28</f>
        <v>19288</v>
      </c>
      <c r="S43" s="8">
        <f t="shared" si="10"/>
        <v>-0.33994935322702075</v>
      </c>
    </row>
    <row r="44" spans="1:21">
      <c r="B44" s="1">
        <v>36</v>
      </c>
      <c r="C44" s="11">
        <v>35.308399999999999</v>
      </c>
      <c r="D44" s="11">
        <v>35.290700000000001</v>
      </c>
      <c r="E44" s="16">
        <f t="shared" si="8"/>
        <v>-1.7699999999997829E-2</v>
      </c>
      <c r="F44" s="16">
        <f>AVERAGE(E41:E44)</f>
        <v>-9.1250000000009379E-3</v>
      </c>
      <c r="G44" s="11">
        <v>77.737250000000003</v>
      </c>
      <c r="H44" s="11">
        <v>78.819999999999993</v>
      </c>
      <c r="I44" s="8">
        <f t="shared" si="11"/>
        <v>1.3928329082904143E-2</v>
      </c>
      <c r="J44" s="8">
        <f>AVERAGE(I41:I44)</f>
        <v>9.3995567308740816E-3</v>
      </c>
      <c r="K44" s="11">
        <v>1331.306</v>
      </c>
      <c r="L44" s="11">
        <v>196.19</v>
      </c>
      <c r="M44" s="8">
        <f t="shared" si="9"/>
        <v>-0.85263342912899054</v>
      </c>
      <c r="N44" s="8">
        <f>AVERAGE(M41:M44)</f>
        <v>-0.8380094523817635</v>
      </c>
      <c r="P44" s="1">
        <f>7*3600+43*60+56</f>
        <v>27836</v>
      </c>
      <c r="Q44" t="s">
        <v>164</v>
      </c>
      <c r="R44" s="1">
        <f>5*3600+10*60+38</f>
        <v>18638</v>
      </c>
      <c r="S44" s="8">
        <f t="shared" si="10"/>
        <v>-0.33043540738611871</v>
      </c>
      <c r="T44" s="8">
        <f>AVERAGE(S41:S44)</f>
        <v>-0.34280110625183274</v>
      </c>
      <c r="U44" s="6">
        <f>T44/J44</f>
        <v>-36.469922578993263</v>
      </c>
    </row>
    <row r="46" spans="1:21">
      <c r="A46" s="1" t="s">
        <v>224</v>
      </c>
      <c r="C46" s="11"/>
      <c r="I46" s="8"/>
    </row>
    <row r="47" spans="1:21">
      <c r="A47" s="1" t="s">
        <v>106</v>
      </c>
      <c r="B47" s="1">
        <v>24</v>
      </c>
      <c r="C47" s="11">
        <v>39.439599999999999</v>
      </c>
      <c r="D47" s="11">
        <v>39.432699999999997</v>
      </c>
      <c r="E47" s="16">
        <f t="shared" ref="E47:E58" si="12">D47-C47</f>
        <v>-6.9000000000016826E-3</v>
      </c>
      <c r="G47" s="11">
        <v>1146.3720000000001</v>
      </c>
      <c r="H47" s="11">
        <v>1154.299</v>
      </c>
      <c r="I47" s="8">
        <f>(H47-G47)/G47</f>
        <v>6.9148583531348524E-3</v>
      </c>
      <c r="K47" s="11">
        <v>2555.1640000000002</v>
      </c>
      <c r="L47" s="11">
        <v>580.00239999999997</v>
      </c>
      <c r="M47" s="8">
        <f t="shared" ref="M47:M58" si="13">(L47-K47)/K47</f>
        <v>-0.77300775997157134</v>
      </c>
      <c r="P47" s="1">
        <f>11*3600+8*60+17</f>
        <v>40097</v>
      </c>
      <c r="Q47" s="1" t="s">
        <v>208</v>
      </c>
      <c r="R47" s="1">
        <f>6*3600+42*60+20</f>
        <v>24140</v>
      </c>
      <c r="S47" s="8">
        <f t="shared" ref="S47:S58" si="14">(R47-P47)/P47</f>
        <v>-0.39795994712821409</v>
      </c>
    </row>
    <row r="48" spans="1:21">
      <c r="B48" s="1">
        <v>28</v>
      </c>
      <c r="C48" s="11">
        <v>37.727499999999999</v>
      </c>
      <c r="D48" s="11">
        <v>37.7134</v>
      </c>
      <c r="E48" s="16">
        <f t="shared" si="12"/>
        <v>-1.4099999999999113E-2</v>
      </c>
      <c r="G48" s="11">
        <v>665.50800000000004</v>
      </c>
      <c r="H48" s="11">
        <v>672.4828</v>
      </c>
      <c r="I48" s="8">
        <f t="shared" ref="I48:I58" si="15">(H48-G48)/G48</f>
        <v>1.0480414961202509E-2</v>
      </c>
      <c r="K48" s="11">
        <v>2431.6529999999998</v>
      </c>
      <c r="L48" s="11">
        <v>520.71140000000003</v>
      </c>
      <c r="M48" s="8">
        <f t="shared" si="13"/>
        <v>-0.78586114054924772</v>
      </c>
      <c r="P48" s="1">
        <f>10*3600+41*60+10</f>
        <v>38470</v>
      </c>
      <c r="Q48" s="1" t="s">
        <v>210</v>
      </c>
      <c r="R48" s="1">
        <f>6*3600+23*60+30</f>
        <v>23010</v>
      </c>
      <c r="S48" s="8">
        <f t="shared" si="14"/>
        <v>-0.40187158825058489</v>
      </c>
    </row>
    <row r="49" spans="1:21">
      <c r="B49" s="1">
        <v>32</v>
      </c>
      <c r="C49" s="11">
        <v>35.897300000000001</v>
      </c>
      <c r="D49" s="11">
        <v>35.873699999999999</v>
      </c>
      <c r="E49" s="16">
        <f t="shared" si="12"/>
        <v>-2.3600000000001842E-2</v>
      </c>
      <c r="G49" s="11">
        <v>398.39479999999998</v>
      </c>
      <c r="H49" s="11">
        <v>403.83879999999999</v>
      </c>
      <c r="I49" s="8">
        <f t="shared" si="15"/>
        <v>1.36648369908443E-2</v>
      </c>
      <c r="K49" s="11">
        <v>2299.33</v>
      </c>
      <c r="L49" s="11">
        <v>455.22620000000001</v>
      </c>
      <c r="M49" s="8">
        <f t="shared" si="13"/>
        <v>-0.80201789216858821</v>
      </c>
      <c r="P49" s="1">
        <f>10*3600+15*60+16</f>
        <v>36916</v>
      </c>
      <c r="Q49" s="1" t="s">
        <v>211</v>
      </c>
      <c r="R49" s="1">
        <f>6*3600+5*60+52</f>
        <v>21952</v>
      </c>
      <c r="S49" s="8">
        <f t="shared" si="14"/>
        <v>-0.40535269259941487</v>
      </c>
    </row>
    <row r="50" spans="1:21">
      <c r="B50" s="1">
        <v>36</v>
      </c>
      <c r="C50" s="11">
        <v>34.037999999999997</v>
      </c>
      <c r="D50" s="11">
        <v>33.9985</v>
      </c>
      <c r="E50" s="16">
        <f t="shared" si="12"/>
        <v>-3.949999999999676E-2</v>
      </c>
      <c r="F50" s="16">
        <f>AVERAGE(E47:E50)</f>
        <v>-2.1024999999999849E-2</v>
      </c>
      <c r="G50" s="11">
        <v>247.2098</v>
      </c>
      <c r="H50" s="11">
        <v>252.16329999999999</v>
      </c>
      <c r="I50" s="8">
        <f t="shared" si="15"/>
        <v>2.0037636048409049E-2</v>
      </c>
      <c r="J50" s="8">
        <f>AVERAGE(I47:I50)</f>
        <v>1.2774436588397678E-2</v>
      </c>
      <c r="K50" s="11">
        <v>2146.3690000000001</v>
      </c>
      <c r="L50" s="11">
        <v>381.9237</v>
      </c>
      <c r="M50" s="8">
        <f t="shared" si="13"/>
        <v>-0.82206055901850983</v>
      </c>
      <c r="N50" s="8">
        <f>AVERAGE(M47:M50)</f>
        <v>-0.79573683792697925</v>
      </c>
      <c r="P50" s="1">
        <f>9*3600+47*60+0</f>
        <v>35220</v>
      </c>
      <c r="Q50" s="1" t="s">
        <v>212</v>
      </c>
      <c r="R50" s="1">
        <f>5*3600+47*60+2</f>
        <v>20822</v>
      </c>
      <c r="S50" s="8">
        <f t="shared" si="14"/>
        <v>-0.40880181714934694</v>
      </c>
      <c r="T50" s="8">
        <f>AVERAGE(S47:S50)</f>
        <v>-0.40349651128189024</v>
      </c>
      <c r="U50" s="6">
        <f>T50/J50</f>
        <v>-31.586247149902803</v>
      </c>
    </row>
    <row r="51" spans="1:21">
      <c r="A51" s="1" t="s">
        <v>109</v>
      </c>
      <c r="B51" s="1">
        <v>24</v>
      </c>
      <c r="C51" s="11">
        <v>40.664999999999999</v>
      </c>
      <c r="D51" s="11">
        <v>40.652700000000003</v>
      </c>
      <c r="E51" s="16">
        <f t="shared" si="12"/>
        <v>-1.2299999999996203E-2</v>
      </c>
      <c r="G51" s="11">
        <v>569.4973</v>
      </c>
      <c r="H51" s="11">
        <v>573.88080000000002</v>
      </c>
      <c r="I51" s="8">
        <f t="shared" si="15"/>
        <v>7.6971392138295057E-3</v>
      </c>
      <c r="K51" s="11">
        <v>2322.636</v>
      </c>
      <c r="L51" s="11">
        <v>480.76670000000001</v>
      </c>
      <c r="M51" s="8">
        <f t="shared" si="13"/>
        <v>-0.79300815969441607</v>
      </c>
      <c r="P51" s="1">
        <f>10*3600+26*60+0</f>
        <v>37560</v>
      </c>
      <c r="Q51" s="1" t="s">
        <v>213</v>
      </c>
      <c r="R51" s="1">
        <f>6*3600+17*60+1</f>
        <v>22621</v>
      </c>
      <c r="S51" s="8">
        <f t="shared" si="14"/>
        <v>-0.39773695420660277</v>
      </c>
    </row>
    <row r="52" spans="1:21">
      <c r="B52" s="1">
        <v>28</v>
      </c>
      <c r="C52" s="11">
        <v>39.463900000000002</v>
      </c>
      <c r="D52" s="11">
        <v>39.444699999999997</v>
      </c>
      <c r="E52" s="16">
        <f t="shared" si="12"/>
        <v>-1.9200000000004991E-2</v>
      </c>
      <c r="G52" s="11">
        <v>298.38580000000002</v>
      </c>
      <c r="H52" s="11">
        <v>302.82749999999999</v>
      </c>
      <c r="I52" s="8">
        <f t="shared" si="15"/>
        <v>1.4885761990014165E-2</v>
      </c>
      <c r="K52" s="11">
        <v>2173.9810000000002</v>
      </c>
      <c r="L52" s="11">
        <v>422.26920000000001</v>
      </c>
      <c r="M52" s="8">
        <f t="shared" si="13"/>
        <v>-0.8057622398723816</v>
      </c>
      <c r="P52" s="1">
        <f>9*3600+53*60+27</f>
        <v>35607</v>
      </c>
      <c r="Q52" s="1" t="s">
        <v>214</v>
      </c>
      <c r="R52" s="1">
        <f>5*3600+56*60+20</f>
        <v>21380</v>
      </c>
      <c r="S52" s="8">
        <f t="shared" si="14"/>
        <v>-0.39955626702614655</v>
      </c>
    </row>
    <row r="53" spans="1:21">
      <c r="B53" s="1">
        <v>32</v>
      </c>
      <c r="C53" s="11">
        <v>38.088700000000003</v>
      </c>
      <c r="D53" s="11">
        <v>38.0623</v>
      </c>
      <c r="E53" s="16">
        <f t="shared" si="12"/>
        <v>-2.6400000000002422E-2</v>
      </c>
      <c r="G53" s="11">
        <v>177.16900000000001</v>
      </c>
      <c r="H53" s="11">
        <v>180.32249999999999</v>
      </c>
      <c r="I53" s="8">
        <f t="shared" si="15"/>
        <v>1.779938928367818E-2</v>
      </c>
      <c r="K53" s="11">
        <v>2042.31</v>
      </c>
      <c r="L53" s="11">
        <v>361.7627</v>
      </c>
      <c r="M53" s="8">
        <f t="shared" si="13"/>
        <v>-0.8228659214321038</v>
      </c>
      <c r="P53" s="1">
        <f>9*3600+28*60+16</f>
        <v>34096</v>
      </c>
      <c r="Q53" s="1" t="s">
        <v>215</v>
      </c>
      <c r="R53" s="1">
        <f>5*3600+40*60+8</f>
        <v>20408</v>
      </c>
      <c r="S53" s="8">
        <f t="shared" si="14"/>
        <v>-0.40145471609572969</v>
      </c>
    </row>
    <row r="54" spans="1:21">
      <c r="B54" s="1">
        <v>36</v>
      </c>
      <c r="C54" s="11">
        <v>36.461399999999998</v>
      </c>
      <c r="D54" s="11">
        <v>36.428800000000003</v>
      </c>
      <c r="E54" s="16">
        <f t="shared" si="12"/>
        <v>-3.2599999999995077E-2</v>
      </c>
      <c r="F54" s="16">
        <f>AVERAGE(E51:E54)</f>
        <v>-2.2624999999999673E-2</v>
      </c>
      <c r="G54" s="11">
        <v>113.429</v>
      </c>
      <c r="H54" s="11">
        <v>116.078</v>
      </c>
      <c r="I54" s="8">
        <f t="shared" si="15"/>
        <v>2.3353816043516214E-2</v>
      </c>
      <c r="J54" s="8">
        <f>AVERAGE(I51:I54)</f>
        <v>1.5934026632759515E-2</v>
      </c>
      <c r="K54" s="11">
        <v>1912.5119999999999</v>
      </c>
      <c r="L54" s="11">
        <v>295.64330000000001</v>
      </c>
      <c r="M54" s="8">
        <f t="shared" si="13"/>
        <v>-0.84541623791118703</v>
      </c>
      <c r="N54" s="8">
        <f>AVERAGE(M51:M54)</f>
        <v>-0.81676313972752212</v>
      </c>
      <c r="P54" s="1">
        <f>9*3600+4*60+13</f>
        <v>32653</v>
      </c>
      <c r="Q54" s="1" t="s">
        <v>216</v>
      </c>
      <c r="R54" s="1">
        <f>5*3600+23*60+52</f>
        <v>19432</v>
      </c>
      <c r="S54" s="8">
        <f t="shared" si="14"/>
        <v>-0.40489388417603284</v>
      </c>
      <c r="T54" s="8">
        <f>AVERAGE(S51:S54)</f>
        <v>-0.40091045537612791</v>
      </c>
      <c r="U54" s="6">
        <f>T54/J54</f>
        <v>-25.160649258102609</v>
      </c>
    </row>
    <row r="55" spans="1:21">
      <c r="A55" s="1" t="s">
        <v>110</v>
      </c>
      <c r="B55" s="1">
        <v>24</v>
      </c>
      <c r="C55" s="11">
        <v>39.345399999999998</v>
      </c>
      <c r="D55" s="11">
        <v>39.3429</v>
      </c>
      <c r="E55" s="16">
        <f t="shared" si="12"/>
        <v>-2.4999999999977263E-3</v>
      </c>
      <c r="G55" s="11">
        <v>665.38480000000004</v>
      </c>
      <c r="H55" s="11">
        <v>668.03330000000005</v>
      </c>
      <c r="I55" s="8">
        <f t="shared" si="15"/>
        <v>3.9804035198880592E-3</v>
      </c>
      <c r="K55" s="11">
        <v>1761.345</v>
      </c>
      <c r="L55" s="11">
        <v>298.0684</v>
      </c>
      <c r="M55" s="8">
        <f t="shared" si="13"/>
        <v>-0.83077227913895357</v>
      </c>
      <c r="P55" s="1">
        <f>9*3600+11*60+32</f>
        <v>33092</v>
      </c>
      <c r="Q55" s="1" t="s">
        <v>217</v>
      </c>
      <c r="R55" s="1">
        <f>5*3600+54*60+44</f>
        <v>21284</v>
      </c>
      <c r="S55" s="8">
        <f t="shared" si="14"/>
        <v>-0.35682340142632663</v>
      </c>
    </row>
    <row r="56" spans="1:21">
      <c r="B56" s="1">
        <v>28</v>
      </c>
      <c r="C56" s="11">
        <v>38.073999999999998</v>
      </c>
      <c r="D56" s="11">
        <v>38.070700000000002</v>
      </c>
      <c r="E56" s="16">
        <f t="shared" si="12"/>
        <v>-3.2999999999958618E-3</v>
      </c>
      <c r="G56" s="11">
        <v>297.12079999999997</v>
      </c>
      <c r="H56" s="11">
        <v>300.75650000000002</v>
      </c>
      <c r="I56" s="8">
        <f t="shared" si="15"/>
        <v>1.2236437166297489E-2</v>
      </c>
      <c r="K56" s="11">
        <v>1597.816</v>
      </c>
      <c r="L56" s="11">
        <v>254.8383</v>
      </c>
      <c r="M56" s="8">
        <f t="shared" si="13"/>
        <v>-0.84050835640649479</v>
      </c>
      <c r="P56" s="1">
        <f>8*3600+34*60+22</f>
        <v>30862</v>
      </c>
      <c r="Q56" s="1" t="s">
        <v>218</v>
      </c>
      <c r="R56" s="1">
        <f>5*3600+33*60+36</f>
        <v>20016</v>
      </c>
      <c r="S56" s="8">
        <f t="shared" si="14"/>
        <v>-0.35143542220206081</v>
      </c>
    </row>
    <row r="57" spans="1:21">
      <c r="B57" s="1">
        <v>32</v>
      </c>
      <c r="C57" s="11">
        <v>36.764600000000002</v>
      </c>
      <c r="D57" s="11">
        <v>36.753599999999999</v>
      </c>
      <c r="E57" s="16">
        <f t="shared" si="12"/>
        <v>-1.1000000000002785E-2</v>
      </c>
      <c r="G57" s="11">
        <v>147.22579999999999</v>
      </c>
      <c r="H57" s="11">
        <v>149.44579999999999</v>
      </c>
      <c r="I57" s="8">
        <f t="shared" si="15"/>
        <v>1.5078878837812388E-2</v>
      </c>
      <c r="K57" s="11">
        <v>1457.3530000000001</v>
      </c>
      <c r="L57" s="11">
        <v>220.92769999999999</v>
      </c>
      <c r="M57" s="8">
        <f t="shared" si="13"/>
        <v>-0.84840481338426588</v>
      </c>
      <c r="P57" s="1">
        <f>8*3600+7*60+2</f>
        <v>29222</v>
      </c>
      <c r="Q57" s="1" t="s">
        <v>219</v>
      </c>
      <c r="R57" s="1">
        <f>5*3600+20*60+19</f>
        <v>19219</v>
      </c>
      <c r="S57" s="8">
        <f t="shared" si="14"/>
        <v>-0.34231058791321606</v>
      </c>
    </row>
    <row r="58" spans="1:21">
      <c r="B58" s="1">
        <v>36</v>
      </c>
      <c r="C58" s="11">
        <v>35.308399999999999</v>
      </c>
      <c r="D58" s="11">
        <v>35.2883</v>
      </c>
      <c r="E58" s="16">
        <f t="shared" si="12"/>
        <v>-2.0099999999999341E-2</v>
      </c>
      <c r="F58" s="16">
        <f>AVERAGE(E55:E58)</f>
        <v>-9.2249999999989285E-3</v>
      </c>
      <c r="G58" s="11">
        <v>77.737250000000003</v>
      </c>
      <c r="H58" s="11">
        <v>78.960499999999996</v>
      </c>
      <c r="I58" s="8">
        <f t="shared" si="15"/>
        <v>1.5735699423378019E-2</v>
      </c>
      <c r="J58" s="8">
        <f>AVERAGE(I55:I58)</f>
        <v>1.1757854736843988E-2</v>
      </c>
      <c r="K58" s="11">
        <v>1331.306</v>
      </c>
      <c r="L58" s="11">
        <v>190.2244</v>
      </c>
      <c r="M58" s="8">
        <f t="shared" si="13"/>
        <v>-0.85711444250983615</v>
      </c>
      <c r="N58" s="8">
        <f>AVERAGE(M55:M58)</f>
        <v>-0.84419997285988757</v>
      </c>
      <c r="P58" s="1">
        <f>7*3600+43*60+56</f>
        <v>27836</v>
      </c>
      <c r="Q58" s="1" t="s">
        <v>220</v>
      </c>
      <c r="R58" s="1">
        <f>5*300+9*60+49</f>
        <v>2089</v>
      </c>
      <c r="S58" s="8">
        <f t="shared" si="14"/>
        <v>-0.92495329788762748</v>
      </c>
      <c r="T58" s="8">
        <f>AVERAGE(S55:S58)</f>
        <v>-0.49388067735730778</v>
      </c>
      <c r="U58" s="6">
        <f>T58/J58</f>
        <v>-42.004318679809941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44"/>
  <sheetViews>
    <sheetView topLeftCell="A19" workbookViewId="0">
      <selection activeCell="G35" sqref="G35"/>
    </sheetView>
  </sheetViews>
  <sheetFormatPr defaultRowHeight="13.5"/>
  <sheetData>
    <row r="1" spans="1:7" ht="14.25">
      <c r="A1" s="1"/>
      <c r="B1" s="2" t="s">
        <v>0</v>
      </c>
      <c r="C1" s="2" t="s">
        <v>1</v>
      </c>
      <c r="D1" s="2" t="s">
        <v>2</v>
      </c>
      <c r="E1" s="2" t="s">
        <v>17</v>
      </c>
      <c r="F1" s="12" t="s">
        <v>3</v>
      </c>
      <c r="G1" s="17" t="s">
        <v>8</v>
      </c>
    </row>
    <row r="2" spans="1:7">
      <c r="A2" s="1" t="s">
        <v>37</v>
      </c>
      <c r="B2" s="1"/>
      <c r="C2" s="1"/>
      <c r="D2" s="1"/>
      <c r="E2" s="1"/>
      <c r="F2" s="11"/>
      <c r="G2" s="11"/>
    </row>
    <row r="3" spans="1:7">
      <c r="A3" s="1" t="s">
        <v>4</v>
      </c>
      <c r="B3" s="4">
        <v>385070</v>
      </c>
      <c r="C3" s="4">
        <v>415003</v>
      </c>
      <c r="D3" s="4">
        <v>413618</v>
      </c>
      <c r="E3" s="4">
        <f>(B3*4+C3+D3)/6</f>
        <v>394816.83333333331</v>
      </c>
      <c r="F3" s="11">
        <v>1273.0820000000001</v>
      </c>
      <c r="G3" s="11"/>
    </row>
    <row r="4" spans="1:7">
      <c r="A4" s="1" t="s">
        <v>5</v>
      </c>
      <c r="B4" s="4">
        <v>383295</v>
      </c>
      <c r="C4" s="4">
        <v>415787</v>
      </c>
      <c r="D4" s="4">
        <v>412284</v>
      </c>
      <c r="E4" s="4">
        <f t="shared" ref="E4:E10" si="0">(B4*4+C4+D4)/6</f>
        <v>393541.83333333331</v>
      </c>
      <c r="F4" s="11">
        <v>994.596</v>
      </c>
      <c r="G4" s="11"/>
    </row>
    <row r="5" spans="1:7">
      <c r="A5" s="1" t="s">
        <v>6</v>
      </c>
      <c r="B5" s="4">
        <v>386430</v>
      </c>
      <c r="C5" s="4">
        <v>418143</v>
      </c>
      <c r="D5" s="4">
        <v>415397</v>
      </c>
      <c r="E5" s="4">
        <f t="shared" si="0"/>
        <v>396543.33333333331</v>
      </c>
      <c r="F5" s="11">
        <v>1147.502</v>
      </c>
      <c r="G5" s="11"/>
    </row>
    <row r="6" spans="1:7">
      <c r="A6" s="1" t="s">
        <v>10</v>
      </c>
      <c r="B6" s="4">
        <v>385144</v>
      </c>
      <c r="C6" s="4">
        <v>414521</v>
      </c>
      <c r="D6" s="4">
        <v>413826</v>
      </c>
      <c r="E6" s="4">
        <f t="shared" si="0"/>
        <v>394820.5</v>
      </c>
      <c r="F6" s="11">
        <v>964.48800000000006</v>
      </c>
      <c r="G6" s="11"/>
    </row>
    <row r="7" spans="1:7">
      <c r="A7" s="1" t="s">
        <v>11</v>
      </c>
      <c r="B7" s="4">
        <v>383811</v>
      </c>
      <c r="C7" s="4">
        <v>413360</v>
      </c>
      <c r="D7" s="4">
        <v>410518</v>
      </c>
      <c r="E7" s="4">
        <f t="shared" si="0"/>
        <v>393187</v>
      </c>
      <c r="F7" s="11">
        <v>1264.672</v>
      </c>
      <c r="G7" s="11"/>
    </row>
    <row r="8" spans="1:7">
      <c r="A8" s="1" t="s">
        <v>12</v>
      </c>
      <c r="B8" s="4">
        <v>390827</v>
      </c>
      <c r="C8" s="4">
        <v>418630</v>
      </c>
      <c r="D8" s="4">
        <v>417537</v>
      </c>
      <c r="E8" s="4">
        <f t="shared" si="0"/>
        <v>399912.5</v>
      </c>
      <c r="F8" s="11">
        <v>927.40599999999995</v>
      </c>
      <c r="G8" s="11"/>
    </row>
    <row r="9" spans="1:7">
      <c r="A9" s="1" t="s">
        <v>13</v>
      </c>
      <c r="B9" s="4">
        <v>379921</v>
      </c>
      <c r="C9" s="4">
        <v>412859</v>
      </c>
      <c r="D9" s="4">
        <v>410773</v>
      </c>
      <c r="E9" s="4">
        <f t="shared" si="0"/>
        <v>390552.66666666669</v>
      </c>
      <c r="F9" s="11">
        <v>1261.8599999999999</v>
      </c>
      <c r="G9" s="11"/>
    </row>
    <row r="10" spans="1:7">
      <c r="A10" s="1" t="s">
        <v>14</v>
      </c>
      <c r="B10" s="4">
        <v>382955</v>
      </c>
      <c r="C10" s="4">
        <v>411541</v>
      </c>
      <c r="D10" s="4">
        <v>408330</v>
      </c>
      <c r="E10" s="4">
        <f t="shared" si="0"/>
        <v>391948.5</v>
      </c>
      <c r="F10" s="11">
        <v>1331.0360000000001</v>
      </c>
      <c r="G10" s="11"/>
    </row>
    <row r="11" spans="1:7">
      <c r="A11" s="1" t="s">
        <v>7</v>
      </c>
      <c r="B11" s="4">
        <f>AVERAGE(B3:B10)</f>
        <v>384681.625</v>
      </c>
      <c r="C11" s="4">
        <f t="shared" ref="C11:F11" si="1">AVERAGE(C3:C10)</f>
        <v>414980.5</v>
      </c>
      <c r="D11" s="4">
        <f t="shared" si="1"/>
        <v>412785.375</v>
      </c>
      <c r="E11" s="4">
        <f t="shared" si="1"/>
        <v>394415.39583333331</v>
      </c>
      <c r="F11" s="11">
        <f t="shared" si="1"/>
        <v>1145.58025</v>
      </c>
      <c r="G11" s="11" t="s">
        <v>200</v>
      </c>
    </row>
    <row r="12" spans="1:7">
      <c r="A12" s="1"/>
      <c r="B12" s="1"/>
      <c r="C12" s="1"/>
      <c r="D12" s="1"/>
      <c r="E12" s="1"/>
      <c r="F12" s="11"/>
      <c r="G12" s="11"/>
    </row>
    <row r="13" spans="1:7">
      <c r="A13" s="1" t="s">
        <v>39</v>
      </c>
      <c r="B13" s="1"/>
      <c r="C13" s="1"/>
      <c r="D13" s="1"/>
      <c r="E13" s="1"/>
      <c r="F13" s="11"/>
      <c r="G13" s="11"/>
    </row>
    <row r="14" spans="1:7">
      <c r="A14" s="1" t="s">
        <v>4</v>
      </c>
      <c r="B14" s="4">
        <v>366604</v>
      </c>
      <c r="C14" s="4">
        <v>399631</v>
      </c>
      <c r="D14" s="4">
        <v>397886</v>
      </c>
      <c r="E14" s="4">
        <f>(B14*4+C14+D14)/6</f>
        <v>377322.16666666669</v>
      </c>
      <c r="F14" s="11">
        <v>785.56799999999998</v>
      </c>
      <c r="G14" s="11"/>
    </row>
    <row r="15" spans="1:7">
      <c r="A15" s="1" t="s">
        <v>5</v>
      </c>
      <c r="B15" s="4">
        <v>366448</v>
      </c>
      <c r="C15" s="4">
        <v>402357</v>
      </c>
      <c r="D15" s="4">
        <v>397719</v>
      </c>
      <c r="E15" s="4">
        <f t="shared" ref="E15:E21" si="2">(B15*4+C15+D15)/6</f>
        <v>377644.66666666669</v>
      </c>
      <c r="F15" s="11">
        <v>558.31399999999996</v>
      </c>
      <c r="G15" s="11"/>
    </row>
    <row r="16" spans="1:7">
      <c r="A16" s="1" t="s">
        <v>6</v>
      </c>
      <c r="B16" s="4">
        <v>368937</v>
      </c>
      <c r="C16" s="4">
        <v>403870</v>
      </c>
      <c r="D16" s="4">
        <v>400607</v>
      </c>
      <c r="E16" s="4">
        <f t="shared" si="2"/>
        <v>380037.5</v>
      </c>
      <c r="F16" s="11">
        <v>675.73</v>
      </c>
      <c r="G16" s="11"/>
    </row>
    <row r="17" spans="1:7">
      <c r="A17" s="1" t="s">
        <v>10</v>
      </c>
      <c r="B17" s="4">
        <v>365833</v>
      </c>
      <c r="C17" s="4">
        <v>400047</v>
      </c>
      <c r="D17" s="4">
        <v>398785</v>
      </c>
      <c r="E17" s="4">
        <f t="shared" si="2"/>
        <v>377027.33333333331</v>
      </c>
      <c r="F17" s="11">
        <v>535.03800000000001</v>
      </c>
      <c r="G17" s="11"/>
    </row>
    <row r="18" spans="1:7">
      <c r="A18" s="1" t="s">
        <v>11</v>
      </c>
      <c r="B18" s="4">
        <v>364546</v>
      </c>
      <c r="C18" s="4">
        <v>397764</v>
      </c>
      <c r="D18" s="4">
        <v>394838</v>
      </c>
      <c r="E18" s="4">
        <f t="shared" si="2"/>
        <v>375131</v>
      </c>
      <c r="F18" s="11">
        <v>740.952</v>
      </c>
      <c r="G18" s="11"/>
    </row>
    <row r="19" spans="1:7">
      <c r="A19" s="1" t="s">
        <v>12</v>
      </c>
      <c r="B19" s="4">
        <v>371876</v>
      </c>
      <c r="C19" s="4">
        <v>402480</v>
      </c>
      <c r="D19" s="4">
        <v>402290</v>
      </c>
      <c r="E19" s="4">
        <f t="shared" si="2"/>
        <v>382045.66666666669</v>
      </c>
      <c r="F19" s="11">
        <v>528.64400000000001</v>
      </c>
      <c r="G19" s="11"/>
    </row>
    <row r="20" spans="1:7">
      <c r="A20" s="1" t="s">
        <v>13</v>
      </c>
      <c r="B20" s="4">
        <v>363925</v>
      </c>
      <c r="C20" s="4">
        <v>399494</v>
      </c>
      <c r="D20" s="4">
        <v>396611</v>
      </c>
      <c r="E20" s="4">
        <f t="shared" si="2"/>
        <v>375300.83333333331</v>
      </c>
      <c r="F20" s="11">
        <v>720.60400000000004</v>
      </c>
      <c r="G20" s="11"/>
    </row>
    <row r="21" spans="1:7">
      <c r="A21" s="1" t="s">
        <v>14</v>
      </c>
      <c r="B21" s="4">
        <v>363449</v>
      </c>
      <c r="C21" s="4">
        <v>395881</v>
      </c>
      <c r="D21" s="4">
        <v>392660</v>
      </c>
      <c r="E21" s="4">
        <f t="shared" si="2"/>
        <v>373722.83333333331</v>
      </c>
      <c r="F21" s="11">
        <v>777.22400000000005</v>
      </c>
      <c r="G21" s="11"/>
    </row>
    <row r="22" spans="1:7">
      <c r="A22" s="1" t="s">
        <v>7</v>
      </c>
      <c r="B22" s="4">
        <f>AVERAGE(B14:B21)</f>
        <v>366452.25</v>
      </c>
      <c r="C22" s="4">
        <f t="shared" ref="C22:F22" si="3">AVERAGE(C14:C21)</f>
        <v>400190.5</v>
      </c>
      <c r="D22" s="4">
        <f t="shared" si="3"/>
        <v>397674.5</v>
      </c>
      <c r="E22" s="4">
        <f t="shared" si="3"/>
        <v>377279.00000000006</v>
      </c>
      <c r="F22" s="11">
        <f t="shared" si="3"/>
        <v>665.25925000000007</v>
      </c>
      <c r="G22" s="11" t="s">
        <v>201</v>
      </c>
    </row>
    <row r="23" spans="1:7">
      <c r="A23" s="1"/>
      <c r="B23" s="1"/>
      <c r="C23" s="1"/>
      <c r="D23" s="1"/>
      <c r="E23" s="1"/>
      <c r="F23" s="11"/>
      <c r="G23" s="11"/>
    </row>
    <row r="24" spans="1:7">
      <c r="A24" s="1" t="s">
        <v>40</v>
      </c>
      <c r="B24" s="1"/>
      <c r="C24" s="1"/>
      <c r="D24" s="1"/>
      <c r="E24" s="1"/>
      <c r="F24" s="11"/>
      <c r="G24" s="11"/>
    </row>
    <row r="25" spans="1:7">
      <c r="A25" s="1" t="s">
        <v>4</v>
      </c>
      <c r="B25" s="4">
        <v>346122</v>
      </c>
      <c r="C25" s="4">
        <v>386873</v>
      </c>
      <c r="D25" s="4">
        <v>385531</v>
      </c>
      <c r="E25" s="4">
        <f>(B25*4+C25+D25)/6</f>
        <v>359482</v>
      </c>
      <c r="F25" s="11">
        <v>488.97800000000001</v>
      </c>
      <c r="G25" s="11"/>
    </row>
    <row r="26" spans="1:7">
      <c r="A26" s="1" t="s">
        <v>5</v>
      </c>
      <c r="B26" s="4">
        <v>345742</v>
      </c>
      <c r="C26" s="4">
        <v>390865</v>
      </c>
      <c r="D26" s="4">
        <v>386014</v>
      </c>
      <c r="E26" s="4">
        <f t="shared" ref="E26:E32" si="4">(B26*4+C26+D26)/6</f>
        <v>359974.5</v>
      </c>
      <c r="F26" s="11">
        <v>325.07400000000001</v>
      </c>
      <c r="G26" s="11"/>
    </row>
    <row r="27" spans="1:7">
      <c r="A27" s="1" t="s">
        <v>6</v>
      </c>
      <c r="B27" s="4">
        <v>348107</v>
      </c>
      <c r="C27" s="4">
        <v>391872</v>
      </c>
      <c r="D27" s="4">
        <v>388342</v>
      </c>
      <c r="E27" s="4">
        <f t="shared" si="4"/>
        <v>362107</v>
      </c>
      <c r="F27" s="11">
        <v>407.14</v>
      </c>
      <c r="G27" s="11"/>
    </row>
    <row r="28" spans="1:7">
      <c r="A28" s="1" t="s">
        <v>10</v>
      </c>
      <c r="B28" s="4">
        <v>343664</v>
      </c>
      <c r="C28" s="4">
        <v>388494</v>
      </c>
      <c r="D28" s="4">
        <v>386972</v>
      </c>
      <c r="E28" s="4">
        <f t="shared" si="4"/>
        <v>358353.66666666669</v>
      </c>
      <c r="F28" s="11">
        <v>309.166</v>
      </c>
      <c r="G28" s="11"/>
    </row>
    <row r="29" spans="1:7">
      <c r="A29" s="1" t="s">
        <v>11</v>
      </c>
      <c r="B29" s="4">
        <v>342368</v>
      </c>
      <c r="C29" s="4">
        <v>385011</v>
      </c>
      <c r="D29" s="4">
        <v>382305</v>
      </c>
      <c r="E29" s="4">
        <f t="shared" si="4"/>
        <v>356131.33333333331</v>
      </c>
      <c r="F29" s="11">
        <v>443.93799999999999</v>
      </c>
      <c r="G29" s="11"/>
    </row>
    <row r="30" spans="1:7">
      <c r="A30" s="1" t="s">
        <v>12</v>
      </c>
      <c r="B30" s="4">
        <v>350088</v>
      </c>
      <c r="C30" s="4">
        <v>389237</v>
      </c>
      <c r="D30" s="4">
        <v>389938</v>
      </c>
      <c r="E30" s="4">
        <f t="shared" si="4"/>
        <v>363254.5</v>
      </c>
      <c r="F30" s="11">
        <v>320.14400000000001</v>
      </c>
      <c r="G30" s="11"/>
    </row>
    <row r="31" spans="1:7">
      <c r="A31" s="1" t="s">
        <v>13</v>
      </c>
      <c r="B31" s="4">
        <v>344456</v>
      </c>
      <c r="C31" s="4">
        <v>386701</v>
      </c>
      <c r="D31" s="4">
        <v>384238</v>
      </c>
      <c r="E31" s="4">
        <f t="shared" si="4"/>
        <v>358127.16666666669</v>
      </c>
      <c r="F31" s="11">
        <v>432.04</v>
      </c>
      <c r="G31" s="11"/>
    </row>
    <row r="32" spans="1:7">
      <c r="A32" s="1" t="s">
        <v>14</v>
      </c>
      <c r="B32" s="4">
        <v>340609</v>
      </c>
      <c r="C32" s="4">
        <v>383499</v>
      </c>
      <c r="D32" s="4">
        <v>380103</v>
      </c>
      <c r="E32" s="4">
        <f t="shared" si="4"/>
        <v>354339.66666666669</v>
      </c>
      <c r="F32" s="11">
        <v>463.54</v>
      </c>
      <c r="G32" s="11"/>
    </row>
    <row r="33" spans="1:14">
      <c r="A33" s="1" t="s">
        <v>7</v>
      </c>
      <c r="B33" s="4">
        <f>AVERAGE(B25:B32)</f>
        <v>345144.5</v>
      </c>
      <c r="C33" s="4">
        <f t="shared" ref="C33:F33" si="5">AVERAGE(C25:C32)</f>
        <v>387819</v>
      </c>
      <c r="D33" s="4">
        <f t="shared" si="5"/>
        <v>385430.375</v>
      </c>
      <c r="E33" s="4">
        <f t="shared" si="5"/>
        <v>358971.22916666663</v>
      </c>
      <c r="F33" s="11">
        <f t="shared" si="5"/>
        <v>398.75249999999994</v>
      </c>
      <c r="G33" s="11" t="s">
        <v>202</v>
      </c>
    </row>
    <row r="34" spans="1:14">
      <c r="A34" s="1"/>
      <c r="B34" s="1"/>
      <c r="C34" s="1"/>
      <c r="D34" s="1"/>
      <c r="E34" s="1"/>
      <c r="F34" s="11"/>
      <c r="G34" s="11"/>
    </row>
    <row r="35" spans="1:14">
      <c r="A35" s="1" t="s">
        <v>41</v>
      </c>
      <c r="B35" s="1"/>
      <c r="C35" s="1"/>
      <c r="D35" s="1"/>
      <c r="E35" s="1"/>
      <c r="F35" s="11"/>
      <c r="G35" s="11" t="s">
        <v>207</v>
      </c>
      <c r="N35" t="s">
        <v>206</v>
      </c>
    </row>
    <row r="36" spans="1:14">
      <c r="A36" s="1" t="s">
        <v>4</v>
      </c>
      <c r="B36" s="4">
        <v>325421</v>
      </c>
      <c r="C36" s="4">
        <v>375118</v>
      </c>
      <c r="D36" s="4">
        <v>374089</v>
      </c>
      <c r="E36" s="4">
        <f>(B36*4+C36+D36)/6</f>
        <v>341815.16666666669</v>
      </c>
      <c r="F36" s="11">
        <v>311.55799999999999</v>
      </c>
      <c r="G36" s="11"/>
      <c r="I36" s="4">
        <v>325264</v>
      </c>
      <c r="J36" s="4">
        <v>374871</v>
      </c>
      <c r="K36" s="4">
        <v>373934</v>
      </c>
      <c r="L36" s="4">
        <f>(I36*4+J36+K36)/6</f>
        <v>341643.5</v>
      </c>
      <c r="M36" s="11">
        <v>312.56599999999997</v>
      </c>
      <c r="N36" s="11"/>
    </row>
    <row r="37" spans="1:14">
      <c r="A37" s="1" t="s">
        <v>5</v>
      </c>
      <c r="B37" s="4">
        <v>323718</v>
      </c>
      <c r="C37" s="4">
        <v>379119</v>
      </c>
      <c r="D37" s="4">
        <v>374400</v>
      </c>
      <c r="E37" s="4">
        <f t="shared" ref="E37:E43" si="6">(B37*4+C37+D37)/6</f>
        <v>341398.5</v>
      </c>
      <c r="F37" s="11">
        <v>198.4</v>
      </c>
      <c r="G37" s="11"/>
      <c r="I37" s="4">
        <v>323480</v>
      </c>
      <c r="J37" s="4">
        <v>378909</v>
      </c>
      <c r="K37" s="4">
        <v>374241</v>
      </c>
      <c r="L37" s="4">
        <f t="shared" ref="L37:L43" si="7">(I37*4+J37+K37)/6</f>
        <v>341178.33333333331</v>
      </c>
      <c r="M37" s="11">
        <v>202.06200000000001</v>
      </c>
      <c r="N37" s="11"/>
    </row>
    <row r="38" spans="1:14">
      <c r="A38" s="1" t="s">
        <v>6</v>
      </c>
      <c r="B38" s="4">
        <v>326034</v>
      </c>
      <c r="C38" s="4">
        <v>379790</v>
      </c>
      <c r="D38" s="4">
        <v>375938</v>
      </c>
      <c r="E38" s="4">
        <f t="shared" si="6"/>
        <v>343310.66666666669</v>
      </c>
      <c r="F38" s="11">
        <v>251.334</v>
      </c>
      <c r="G38" s="11"/>
      <c r="I38" s="4">
        <v>325866</v>
      </c>
      <c r="J38" s="4">
        <v>379339</v>
      </c>
      <c r="K38" s="4">
        <v>375923</v>
      </c>
      <c r="L38" s="4">
        <f t="shared" si="7"/>
        <v>343121</v>
      </c>
      <c r="M38" s="11">
        <v>255.72399999999999</v>
      </c>
      <c r="N38" s="11"/>
    </row>
    <row r="39" spans="1:14">
      <c r="A39" s="1" t="s">
        <v>10</v>
      </c>
      <c r="B39" s="4">
        <v>321820</v>
      </c>
      <c r="C39" s="4">
        <v>377696</v>
      </c>
      <c r="D39" s="4">
        <v>375815</v>
      </c>
      <c r="E39" s="4">
        <f t="shared" si="6"/>
        <v>340131.83333333331</v>
      </c>
      <c r="F39" s="11">
        <v>189.29400000000001</v>
      </c>
      <c r="G39" s="11"/>
      <c r="I39" s="4">
        <v>321423</v>
      </c>
      <c r="J39" s="4">
        <v>377057</v>
      </c>
      <c r="K39" s="4">
        <v>375525</v>
      </c>
      <c r="L39" s="4">
        <f t="shared" si="7"/>
        <v>339712.33333333331</v>
      </c>
      <c r="M39" s="11">
        <v>192.202</v>
      </c>
      <c r="N39" s="11"/>
    </row>
    <row r="40" spans="1:14">
      <c r="A40" s="1" t="s">
        <v>11</v>
      </c>
      <c r="B40" s="4">
        <v>319725</v>
      </c>
      <c r="C40" s="4">
        <v>373496</v>
      </c>
      <c r="D40" s="4">
        <v>370591</v>
      </c>
      <c r="E40" s="4">
        <f t="shared" si="6"/>
        <v>337164.5</v>
      </c>
      <c r="F40" s="11">
        <v>274.286</v>
      </c>
      <c r="G40" s="11"/>
      <c r="I40" s="4">
        <v>319500</v>
      </c>
      <c r="J40" s="4">
        <v>372782</v>
      </c>
      <c r="K40" s="4">
        <v>370028</v>
      </c>
      <c r="L40" s="4">
        <f t="shared" si="7"/>
        <v>336801.66666666669</v>
      </c>
      <c r="M40" s="11">
        <v>280.214</v>
      </c>
      <c r="N40" s="11"/>
    </row>
    <row r="41" spans="1:14">
      <c r="A41" s="1" t="s">
        <v>12</v>
      </c>
      <c r="B41" s="4">
        <v>327383</v>
      </c>
      <c r="C41" s="4">
        <v>376694</v>
      </c>
      <c r="D41" s="4">
        <v>378017</v>
      </c>
      <c r="E41" s="4">
        <f t="shared" si="6"/>
        <v>344040.5</v>
      </c>
      <c r="F41" s="11">
        <v>205.386</v>
      </c>
      <c r="G41" s="11"/>
      <c r="I41" s="4">
        <v>326872</v>
      </c>
      <c r="J41" s="4">
        <v>375981</v>
      </c>
      <c r="K41" s="4">
        <v>377553</v>
      </c>
      <c r="L41" s="4">
        <f t="shared" si="7"/>
        <v>343503.66666666669</v>
      </c>
      <c r="M41" s="11">
        <v>209.12799999999999</v>
      </c>
      <c r="N41" s="11"/>
    </row>
    <row r="42" spans="1:14">
      <c r="A42" s="1" t="s">
        <v>13</v>
      </c>
      <c r="B42" s="4">
        <v>323280</v>
      </c>
      <c r="C42" s="4">
        <v>373207</v>
      </c>
      <c r="D42" s="4">
        <v>371620</v>
      </c>
      <c r="E42" s="4">
        <f t="shared" si="6"/>
        <v>339657.83333333331</v>
      </c>
      <c r="F42" s="11">
        <v>269.47800000000001</v>
      </c>
      <c r="G42" s="11"/>
      <c r="I42" s="4">
        <v>322900</v>
      </c>
      <c r="J42" s="4">
        <v>372938</v>
      </c>
      <c r="K42" s="4">
        <v>371330</v>
      </c>
      <c r="L42" s="4">
        <f t="shared" si="7"/>
        <v>339311.33333333331</v>
      </c>
      <c r="M42" s="11">
        <v>273.73200000000003</v>
      </c>
      <c r="N42" s="11"/>
    </row>
    <row r="43" spans="1:14">
      <c r="A43" s="1" t="s">
        <v>14</v>
      </c>
      <c r="B43" s="4">
        <v>317295</v>
      </c>
      <c r="C43" s="4">
        <v>371160</v>
      </c>
      <c r="D43" s="4">
        <v>368871</v>
      </c>
      <c r="E43" s="4">
        <f t="shared" si="6"/>
        <v>334868.5</v>
      </c>
      <c r="F43" s="11">
        <v>283.166</v>
      </c>
      <c r="G43" s="11"/>
      <c r="I43" s="4">
        <v>317119</v>
      </c>
      <c r="J43" s="4">
        <v>370834</v>
      </c>
      <c r="K43" s="4">
        <v>368644</v>
      </c>
      <c r="L43" s="4">
        <f t="shared" si="7"/>
        <v>334659</v>
      </c>
      <c r="M43" s="11">
        <v>287.56599999999997</v>
      </c>
      <c r="N43" s="11"/>
    </row>
    <row r="44" spans="1:14">
      <c r="A44" s="1" t="s">
        <v>7</v>
      </c>
      <c r="B44" s="4">
        <f>AVERAGE(B36:B43)</f>
        <v>323084.5</v>
      </c>
      <c r="C44" s="4">
        <f t="shared" ref="C44:F44" si="8">AVERAGE(C36:C43)</f>
        <v>375785</v>
      </c>
      <c r="D44" s="4">
        <f t="shared" si="8"/>
        <v>373667.625</v>
      </c>
      <c r="E44" s="4">
        <f t="shared" si="8"/>
        <v>340298.4375</v>
      </c>
      <c r="F44" s="11">
        <f t="shared" si="8"/>
        <v>247.86274999999998</v>
      </c>
      <c r="G44" s="11" t="s">
        <v>203</v>
      </c>
      <c r="I44" s="4">
        <f>AVERAGE(I36:I43)</f>
        <v>322803</v>
      </c>
      <c r="J44" s="4">
        <f t="shared" ref="J44:M44" si="9">AVERAGE(J36:J43)</f>
        <v>375338.875</v>
      </c>
      <c r="K44" s="4">
        <f t="shared" si="9"/>
        <v>373397.25</v>
      </c>
      <c r="L44" s="4">
        <f t="shared" si="9"/>
        <v>339991.35416666669</v>
      </c>
      <c r="M44" s="11">
        <f t="shared" si="9"/>
        <v>251.64924999999997</v>
      </c>
      <c r="N44" s="11" t="s">
        <v>205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C64"/>
  <sheetViews>
    <sheetView topLeftCell="A4" workbookViewId="0">
      <selection activeCell="M2" sqref="M2"/>
    </sheetView>
  </sheetViews>
  <sheetFormatPr defaultRowHeight="13.5"/>
  <cols>
    <col min="4" max="4" width="9" style="11"/>
    <col min="5" max="5" width="9" style="9"/>
    <col min="6" max="6" width="10.5" style="11" bestFit="1" customWidth="1"/>
    <col min="7" max="7" width="10.5" style="9" customWidth="1"/>
    <col min="8" max="8" width="13.5" customWidth="1"/>
    <col min="9" max="9" width="9" style="1"/>
    <col min="10" max="10" width="12.625" style="9" customWidth="1"/>
    <col min="11" max="11" width="12.625" style="11" customWidth="1"/>
    <col min="12" max="13" width="12.625" style="9" customWidth="1"/>
  </cols>
  <sheetData>
    <row r="1" spans="1:16383" ht="14.25">
      <c r="D1" s="12" t="s">
        <v>17</v>
      </c>
      <c r="E1" s="7" t="s">
        <v>57</v>
      </c>
      <c r="F1" s="12" t="s">
        <v>3</v>
      </c>
      <c r="G1" s="7" t="s">
        <v>57</v>
      </c>
      <c r="H1" s="3" t="s">
        <v>76</v>
      </c>
      <c r="I1" s="3" t="s">
        <v>60</v>
      </c>
      <c r="J1" s="10" t="s">
        <v>59</v>
      </c>
      <c r="K1" s="13" t="s">
        <v>77</v>
      </c>
      <c r="L1" s="10" t="s">
        <v>78</v>
      </c>
      <c r="M1" s="10" t="s">
        <v>73</v>
      </c>
    </row>
    <row r="2" spans="1:16383">
      <c r="A2" s="1" t="s">
        <v>9</v>
      </c>
      <c r="D2" s="11">
        <v>34.038600000000002</v>
      </c>
      <c r="E2" s="8"/>
      <c r="F2" s="11">
        <v>245.81129999999999</v>
      </c>
      <c r="G2" s="8"/>
      <c r="H2" s="1" t="s">
        <v>21</v>
      </c>
      <c r="I2" s="1">
        <f>15*3600+8*60+11</f>
        <v>54491</v>
      </c>
      <c r="J2" s="8"/>
      <c r="K2" s="11">
        <v>5032.1869999999999</v>
      </c>
      <c r="L2" s="8"/>
      <c r="M2" s="8" t="s">
        <v>209</v>
      </c>
    </row>
    <row r="3" spans="1:16383">
      <c r="A3" s="1" t="s">
        <v>29</v>
      </c>
      <c r="D3" s="11">
        <v>34.028799999999997</v>
      </c>
      <c r="E3" s="8">
        <f>(D3-D2)/D2</f>
        <v>-2.8790843336698869E-4</v>
      </c>
      <c r="F3" s="11">
        <v>246.52629999999999</v>
      </c>
      <c r="G3" s="8">
        <f>(F3-F2)/F2</f>
        <v>2.9087352778330508E-3</v>
      </c>
      <c r="H3" s="1" t="s">
        <v>30</v>
      </c>
      <c r="I3" s="1">
        <f>13*3600+41*60+54</f>
        <v>49314</v>
      </c>
      <c r="J3" s="8">
        <f>(I2-I3)/I3</f>
        <v>0.10498033012937502</v>
      </c>
      <c r="L3" s="8"/>
      <c r="M3" s="11">
        <f t="shared" ref="M3:M10" si="0">J3/G3</f>
        <v>36.091400592350659</v>
      </c>
    </row>
    <row r="4" spans="1:16383">
      <c r="A4" s="1" t="s">
        <v>23</v>
      </c>
      <c r="B4" s="1"/>
      <c r="C4" s="1"/>
      <c r="D4" s="11">
        <v>33.9955</v>
      </c>
      <c r="E4" s="8">
        <f>(D4-D2)/D2</f>
        <v>-1.2662095385827436E-3</v>
      </c>
      <c r="F4" s="11">
        <v>250.29750000000001</v>
      </c>
      <c r="G4" s="8">
        <f>(F4-F2)/F2</f>
        <v>1.8250584899880622E-2</v>
      </c>
      <c r="H4" s="1" t="s">
        <v>24</v>
      </c>
      <c r="I4" s="1">
        <f>6*3600+13*60+50</f>
        <v>22430</v>
      </c>
      <c r="J4" s="8">
        <f>(I2-I4)/I2</f>
        <v>0.58837239177111822</v>
      </c>
      <c r="L4" s="8"/>
      <c r="M4" s="11">
        <f t="shared" si="0"/>
        <v>32.238549887514388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>
      <c r="A5" s="1" t="s">
        <v>25</v>
      </c>
      <c r="D5" s="11">
        <v>33.983199999999997</v>
      </c>
      <c r="E5" s="8">
        <f>(D5-D2)/D2</f>
        <v>-1.6275640008697738E-3</v>
      </c>
      <c r="F5" s="11">
        <v>252.29599999999999</v>
      </c>
      <c r="G5" s="8">
        <f>(F5-F2)/F2</f>
        <v>2.6380805113515954E-2</v>
      </c>
      <c r="H5" s="1" t="s">
        <v>22</v>
      </c>
      <c r="I5" s="1">
        <f>5*3600+53*60+57</f>
        <v>21237</v>
      </c>
      <c r="J5" s="8">
        <f>(I2-I5)/I2</f>
        <v>0.61026591547227982</v>
      </c>
      <c r="L5" s="8"/>
      <c r="M5" s="11">
        <f t="shared" si="0"/>
        <v>23.13295264668082</v>
      </c>
    </row>
    <row r="6" spans="1:16383">
      <c r="A6" s="1" t="s">
        <v>26</v>
      </c>
      <c r="D6" s="11">
        <v>33.988300000000002</v>
      </c>
      <c r="E6" s="8">
        <f>(D6-D2)/D2</f>
        <v>-1.4777341018725801E-3</v>
      </c>
      <c r="F6" s="11">
        <v>251.8108</v>
      </c>
      <c r="G6" s="8">
        <f>(F6-F2)/F2</f>
        <v>2.4406933285817261E-2</v>
      </c>
      <c r="H6" s="1" t="s">
        <v>27</v>
      </c>
      <c r="I6" s="1">
        <f>6*3600+1*60+30</f>
        <v>21690</v>
      </c>
      <c r="J6" s="8">
        <f>(I2-I6)/I2</f>
        <v>0.60195261602833494</v>
      </c>
      <c r="L6" s="8"/>
      <c r="M6" s="11">
        <f t="shared" si="0"/>
        <v>24.663181112480299</v>
      </c>
    </row>
    <row r="7" spans="1:16383">
      <c r="A7" s="1" t="s">
        <v>88</v>
      </c>
      <c r="D7" s="11">
        <v>33.984299999999998</v>
      </c>
      <c r="E7" s="8">
        <f>(D7-D2)/D2</f>
        <v>-1.5952477481448971E-3</v>
      </c>
      <c r="F7" s="11">
        <v>252.7355</v>
      </c>
      <c r="G7" s="8">
        <f>(F7-F2)/F2</f>
        <v>2.8168761973107068E-2</v>
      </c>
      <c r="H7" s="1" t="s">
        <v>33</v>
      </c>
      <c r="I7" s="1">
        <f>5*3600+50*60+28</f>
        <v>21028</v>
      </c>
      <c r="J7" s="8">
        <f>(I2-I7)/I2</f>
        <v>0.6141014112422235</v>
      </c>
      <c r="L7" s="8"/>
      <c r="M7" s="11">
        <f t="shared" si="0"/>
        <v>21.800795215228515</v>
      </c>
    </row>
    <row r="8" spans="1:16383">
      <c r="A8" s="1" t="s">
        <v>83</v>
      </c>
      <c r="D8" s="11">
        <v>33.957900000000002</v>
      </c>
      <c r="E8" s="8">
        <f>(D8-D2)/D2</f>
        <v>-2.3708378135411036E-3</v>
      </c>
      <c r="F8" s="11">
        <v>256.85250000000002</v>
      </c>
      <c r="G8" s="8">
        <f>(F8-F2)/F2</f>
        <v>4.4917381747706604E-2</v>
      </c>
      <c r="H8" s="1" t="s">
        <v>56</v>
      </c>
      <c r="I8" s="6">
        <f>5*3600+28*60+54</f>
        <v>19734</v>
      </c>
      <c r="J8" s="8">
        <f>(I2-I8)/I2</f>
        <v>0.63784845203795126</v>
      </c>
      <c r="L8" s="8"/>
      <c r="M8" s="11">
        <f t="shared" si="0"/>
        <v>14.200481577947686</v>
      </c>
    </row>
    <row r="9" spans="1:16383">
      <c r="A9" s="1" t="s">
        <v>84</v>
      </c>
      <c r="D9" s="11">
        <v>33.976700000000001</v>
      </c>
      <c r="E9" s="8">
        <f>(D9-D2)/D2</f>
        <v>-1.8185236760619237E-3</v>
      </c>
      <c r="F9" s="11">
        <v>253.8125</v>
      </c>
      <c r="G9" s="8">
        <f>(F9-F2)/F2</f>
        <v>3.2550171615381443E-2</v>
      </c>
      <c r="H9" s="1" t="s">
        <v>35</v>
      </c>
      <c r="I9" s="6">
        <f>5*3600+42*60+39</f>
        <v>20559</v>
      </c>
      <c r="J9" s="8">
        <f>(I2-I9)/I2</f>
        <v>0.62270833715659468</v>
      </c>
      <c r="L9" s="8"/>
      <c r="M9" s="11">
        <f t="shared" si="0"/>
        <v>19.130723626118659</v>
      </c>
    </row>
    <row r="10" spans="1:16383">
      <c r="A10" s="1" t="s">
        <v>85</v>
      </c>
      <c r="D10" s="11">
        <v>33.965800000000002</v>
      </c>
      <c r="E10" s="8">
        <f>(D10-D2)/D2</f>
        <v>-2.1387483621535803E-3</v>
      </c>
      <c r="F10" s="11">
        <v>256.5453</v>
      </c>
      <c r="G10" s="8">
        <f>(F10-F2)/F2</f>
        <v>4.3667642618545242E-2</v>
      </c>
      <c r="H10" s="1" t="s">
        <v>58</v>
      </c>
      <c r="I10" s="6">
        <f>5*3600+33*60+32</f>
        <v>20012</v>
      </c>
      <c r="J10" s="8">
        <f>(I2-I10)/I2</f>
        <v>0.63274669211429413</v>
      </c>
      <c r="L10" s="8"/>
      <c r="M10" s="11">
        <f t="shared" si="0"/>
        <v>14.490058408730599</v>
      </c>
    </row>
    <row r="11" spans="1:16383">
      <c r="A11" s="1" t="s">
        <v>89</v>
      </c>
      <c r="E11" s="8"/>
      <c r="G11" s="8"/>
      <c r="H11" s="1"/>
      <c r="I11" s="6"/>
      <c r="J11" s="8"/>
      <c r="L11" s="8"/>
      <c r="M11" s="11"/>
    </row>
    <row r="12" spans="1:16383">
      <c r="A12" s="1" t="s">
        <v>86</v>
      </c>
      <c r="D12" s="11">
        <v>33.970500000000001</v>
      </c>
      <c r="E12" s="8">
        <f>(D12-D2)/D2</f>
        <v>-2.0006698277837852E-3</v>
      </c>
      <c r="F12" s="11">
        <v>254.869</v>
      </c>
      <c r="G12" s="8">
        <f>(F12-F2)/F2</f>
        <v>3.6848183952487179E-2</v>
      </c>
      <c r="H12" s="1" t="s">
        <v>34</v>
      </c>
      <c r="I12" s="6">
        <f>5*3600+38*60+41</f>
        <v>20321</v>
      </c>
      <c r="J12" s="8">
        <f>(I2-I12)/I2</f>
        <v>0.62707603090418607</v>
      </c>
      <c r="L12" s="8"/>
      <c r="M12" s="11">
        <f t="shared" ref="M12:M20" si="1">J12/G12</f>
        <v>17.017827302228817</v>
      </c>
    </row>
    <row r="13" spans="1:16383">
      <c r="A13" s="1" t="s">
        <v>87</v>
      </c>
      <c r="D13" s="11">
        <v>33.957900000000002</v>
      </c>
      <c r="E13" s="8">
        <f>(D13-D2)/D2</f>
        <v>-2.3708378135411036E-3</v>
      </c>
      <c r="F13" s="11">
        <v>256.85250000000002</v>
      </c>
      <c r="G13" s="8">
        <f>(F13-F2)/F2</f>
        <v>4.4917381747706604E-2</v>
      </c>
      <c r="H13" s="1" t="s">
        <v>36</v>
      </c>
      <c r="I13" s="6">
        <f>5*3600+28*60+55</f>
        <v>19735</v>
      </c>
      <c r="J13" s="8">
        <f>(I2-I13)/I2</f>
        <v>0.63783010038354959</v>
      </c>
      <c r="L13" s="8"/>
      <c r="M13" s="11">
        <f t="shared" si="1"/>
        <v>14.200073013296596</v>
      </c>
    </row>
    <row r="14" spans="1:16383">
      <c r="A14" s="1" t="s">
        <v>91</v>
      </c>
      <c r="D14" s="11">
        <v>33.984299999999998</v>
      </c>
      <c r="E14" s="8">
        <f>(D14-D2)/D2</f>
        <v>-1.5952477481448971E-3</v>
      </c>
      <c r="F14" s="11">
        <v>252.7355</v>
      </c>
      <c r="G14" s="8">
        <f>(F14-F2)/F2</f>
        <v>2.8168761973107068E-2</v>
      </c>
      <c r="H14" s="1" t="s">
        <v>31</v>
      </c>
      <c r="I14" s="6">
        <f>5*3600+50*60+7</f>
        <v>21007</v>
      </c>
      <c r="J14" s="8">
        <f>(I2-I14)/I2</f>
        <v>0.61448679598465805</v>
      </c>
      <c r="L14" s="8"/>
      <c r="M14" s="11">
        <f t="shared" si="1"/>
        <v>21.814476496031784</v>
      </c>
    </row>
    <row r="15" spans="1:16383">
      <c r="A15" s="1" t="s">
        <v>90</v>
      </c>
      <c r="D15" s="11">
        <v>33.9756</v>
      </c>
      <c r="E15" s="8">
        <f>(D15-D2)/D2</f>
        <v>-1.8508399287868005E-3</v>
      </c>
      <c r="F15" s="11">
        <v>254.143</v>
      </c>
      <c r="G15" s="8">
        <f>(F15-F2)/F2</f>
        <v>3.3894698901149024E-2</v>
      </c>
      <c r="H15" s="1" t="s">
        <v>32</v>
      </c>
      <c r="I15" s="6">
        <f>5*3600+47*60+4</f>
        <v>20824</v>
      </c>
      <c r="J15" s="8">
        <f>(I2-I15)/I2</f>
        <v>0.61784514874015894</v>
      </c>
      <c r="L15" s="8"/>
      <c r="M15" s="11">
        <f t="shared" si="1"/>
        <v>18.228371065990324</v>
      </c>
    </row>
    <row r="16" spans="1:16383">
      <c r="A16" s="1" t="s">
        <v>71</v>
      </c>
      <c r="D16" s="11">
        <v>33.984299999999998</v>
      </c>
      <c r="E16" s="8">
        <f>(D16-D2)/D2</f>
        <v>-1.5952477481448971E-3</v>
      </c>
      <c r="F16" s="11">
        <v>252.73480000000001</v>
      </c>
      <c r="G16" s="8">
        <f>(F16-F2)/F2</f>
        <v>2.8165914260247674E-2</v>
      </c>
      <c r="H16" s="1" t="s">
        <v>72</v>
      </c>
      <c r="I16" s="1">
        <f>5*3600+50*60+28</f>
        <v>21028</v>
      </c>
      <c r="J16" s="8">
        <f>(I2-I16)/I2</f>
        <v>0.6141014112422235</v>
      </c>
      <c r="L16" s="8"/>
      <c r="M16" s="11">
        <f t="shared" si="1"/>
        <v>21.802999383156664</v>
      </c>
    </row>
    <row r="17" spans="1:14">
      <c r="A17" s="1" t="s">
        <v>74</v>
      </c>
      <c r="D17" s="11">
        <v>33.986400000000003</v>
      </c>
      <c r="E17" s="8">
        <f>(D17-D2)/D2</f>
        <v>-1.5335530838518367E-3</v>
      </c>
      <c r="F17" s="11">
        <v>252.99299999999999</v>
      </c>
      <c r="G17" s="8">
        <f>(F17-F2)/F2</f>
        <v>2.9216313489249707E-2</v>
      </c>
      <c r="H17" s="1" t="s">
        <v>70</v>
      </c>
      <c r="I17" s="1">
        <f>5*3600+45*60+47</f>
        <v>20747</v>
      </c>
      <c r="J17" s="8">
        <f>(I2-I17)/I2</f>
        <v>0.61925822612908554</v>
      </c>
      <c r="L17" s="8"/>
      <c r="M17" s="11">
        <f t="shared" si="1"/>
        <v>21.19563189780753</v>
      </c>
    </row>
    <row r="18" spans="1:14">
      <c r="A18" s="1" t="s">
        <v>80</v>
      </c>
      <c r="D18" s="11">
        <v>33.994100000000003</v>
      </c>
      <c r="E18" s="8">
        <f>(D18-D2)/D2</f>
        <v>-1.3073393147779084E-3</v>
      </c>
      <c r="F18" s="11">
        <v>250.87780000000001</v>
      </c>
      <c r="G18" s="8">
        <f>(F18-F2)/F2</f>
        <v>2.0611338860337256E-2</v>
      </c>
      <c r="H18" s="1" t="s">
        <v>61</v>
      </c>
      <c r="I18" s="1">
        <f>5*3600+59*60+43</f>
        <v>21583</v>
      </c>
      <c r="J18" s="8">
        <f>(I2-I18)/I2</f>
        <v>0.60391624304931091</v>
      </c>
      <c r="K18" s="11">
        <v>394.1</v>
      </c>
      <c r="L18" s="8">
        <f>(K2-K18)/K2</f>
        <v>0.92168415044989382</v>
      </c>
      <c r="M18" s="11">
        <f t="shared" si="1"/>
        <v>29.300194768591041</v>
      </c>
      <c r="N18" t="s">
        <v>92</v>
      </c>
    </row>
    <row r="19" spans="1:14">
      <c r="A19" s="1" t="s">
        <v>79</v>
      </c>
      <c r="D19" s="11">
        <v>33.988799999999998</v>
      </c>
      <c r="E19" s="8">
        <f>(D19-D2)/D2</f>
        <v>-1.4630448960886971E-3</v>
      </c>
      <c r="F19" s="11">
        <v>252.03630000000001</v>
      </c>
      <c r="G19" s="8">
        <f>(F19-F2)/F2</f>
        <v>2.5324303642672338E-2</v>
      </c>
      <c r="H19" s="1" t="s">
        <v>75</v>
      </c>
      <c r="I19" s="1">
        <f>5*3600+53*60+19</f>
        <v>21199</v>
      </c>
      <c r="J19" s="8">
        <f>(I2-I19)/I2</f>
        <v>0.61096327833954234</v>
      </c>
      <c r="K19" s="11">
        <v>346.5</v>
      </c>
      <c r="L19" s="8">
        <f>(K2-K19)/K2</f>
        <v>0.93114325838845013</v>
      </c>
      <c r="M19" s="11">
        <f t="shared" si="1"/>
        <v>24.125570715004688</v>
      </c>
    </row>
    <row r="20" spans="1:14">
      <c r="A20" s="1" t="s">
        <v>81</v>
      </c>
      <c r="D20" s="11">
        <v>33.988300000000002</v>
      </c>
      <c r="E20" s="8">
        <f>(D20-D2)/D2</f>
        <v>-1.4777341018725801E-3</v>
      </c>
      <c r="F20" s="11">
        <v>251.97579999999999</v>
      </c>
      <c r="G20" s="8">
        <f>(F20-F2)/F2</f>
        <v>2.5078179888394083E-2</v>
      </c>
      <c r="H20" s="1" t="s">
        <v>82</v>
      </c>
      <c r="I20" s="1">
        <f>5*3600+49*60+58</f>
        <v>20998</v>
      </c>
      <c r="J20" s="8">
        <f>(I2-I20)/I2</f>
        <v>0.61465196087427276</v>
      </c>
      <c r="K20" s="11">
        <v>322.60000000000002</v>
      </c>
      <c r="L20" s="8">
        <f>(K2-K20)/K2</f>
        <v>0.93589268443322948</v>
      </c>
      <c r="M20" s="11">
        <f t="shared" si="1"/>
        <v>24.509432646614325</v>
      </c>
    </row>
    <row r="21" spans="1:14">
      <c r="A21" s="1"/>
      <c r="E21" s="8"/>
      <c r="G21" s="8"/>
      <c r="H21" s="1"/>
      <c r="J21" s="8"/>
      <c r="L21" s="8"/>
      <c r="M21" s="11"/>
    </row>
    <row r="22" spans="1:14">
      <c r="A22" s="1"/>
      <c r="L22" s="8"/>
    </row>
    <row r="23" spans="1:14">
      <c r="A23" s="1"/>
    </row>
    <row r="24" spans="1:14">
      <c r="A24" s="1"/>
      <c r="E24" s="14"/>
    </row>
    <row r="36" spans="1:1">
      <c r="A36" s="1"/>
    </row>
    <row r="37" spans="1:1">
      <c r="A37" s="1"/>
    </row>
    <row r="49" spans="1:3">
      <c r="A49" s="1"/>
    </row>
    <row r="50" spans="1:3">
      <c r="A50" s="1"/>
    </row>
    <row r="51" spans="1:3">
      <c r="C51" s="1"/>
    </row>
    <row r="62" spans="1:3">
      <c r="A62" s="1"/>
    </row>
    <row r="63" spans="1:3">
      <c r="A63" s="1"/>
    </row>
    <row r="64" spans="1:3">
      <c r="C6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2"/>
  <sheetViews>
    <sheetView workbookViewId="0">
      <selection activeCell="H24" sqref="H24"/>
    </sheetView>
  </sheetViews>
  <sheetFormatPr defaultRowHeight="13.5"/>
  <sheetData>
    <row r="1" spans="1:8" ht="14.25">
      <c r="B1" s="2" t="s">
        <v>0</v>
      </c>
      <c r="C1" s="2" t="s">
        <v>1</v>
      </c>
      <c r="D1" s="2" t="s">
        <v>2</v>
      </c>
      <c r="E1" s="2" t="s">
        <v>17</v>
      </c>
      <c r="F1" s="2" t="s">
        <v>3</v>
      </c>
      <c r="G1" s="2" t="s">
        <v>38</v>
      </c>
      <c r="H1" s="3" t="s">
        <v>8</v>
      </c>
    </row>
    <row r="2" spans="1:8">
      <c r="A2" s="1" t="s">
        <v>37</v>
      </c>
      <c r="B2" s="1"/>
      <c r="C2" s="1"/>
      <c r="D2" s="1"/>
      <c r="E2" s="1"/>
      <c r="F2" s="1"/>
      <c r="G2" s="1"/>
      <c r="H2" s="1"/>
    </row>
    <row r="3" spans="1:8">
      <c r="A3" s="1" t="s">
        <v>4</v>
      </c>
      <c r="B3" s="4">
        <v>385070</v>
      </c>
      <c r="C3" s="4">
        <v>415044</v>
      </c>
      <c r="D3" s="4">
        <v>413632</v>
      </c>
      <c r="E3" s="4">
        <f>(B3*4+C3+D3)/6</f>
        <v>394826</v>
      </c>
      <c r="F3" s="1">
        <v>1273.058</v>
      </c>
      <c r="G3" s="1">
        <v>2900.6867240000001</v>
      </c>
      <c r="H3" s="1"/>
    </row>
    <row r="4" spans="1:8">
      <c r="A4" s="1" t="s">
        <v>5</v>
      </c>
      <c r="B4" s="4">
        <v>383295</v>
      </c>
      <c r="C4" s="4">
        <v>415844</v>
      </c>
      <c r="D4" s="4">
        <v>412410</v>
      </c>
      <c r="E4" s="4">
        <f t="shared" ref="E4:E10" si="0">(B4*4+C4+D4)/6</f>
        <v>393572.33333333331</v>
      </c>
      <c r="F4" s="1">
        <v>994.36</v>
      </c>
      <c r="G4" s="1">
        <v>9502.841101</v>
      </c>
      <c r="H4" s="1"/>
    </row>
    <row r="5" spans="1:8">
      <c r="A5" s="1" t="s">
        <v>6</v>
      </c>
      <c r="B5" s="4">
        <v>386382</v>
      </c>
      <c r="C5" s="4">
        <v>418226</v>
      </c>
      <c r="D5" s="4">
        <v>415447</v>
      </c>
      <c r="E5" s="4">
        <f t="shared" si="0"/>
        <v>396533.5</v>
      </c>
      <c r="F5" s="1">
        <v>1147.4760000000001</v>
      </c>
      <c r="G5" s="1">
        <v>3167.4443529999999</v>
      </c>
      <c r="H5" s="1"/>
    </row>
    <row r="6" spans="1:8">
      <c r="A6" s="1" t="s">
        <v>10</v>
      </c>
      <c r="B6" s="4">
        <v>385140</v>
      </c>
      <c r="C6" s="4">
        <v>414589</v>
      </c>
      <c r="D6" s="4">
        <v>413850</v>
      </c>
      <c r="E6" s="4">
        <f t="shared" si="0"/>
        <v>394833.16666666669</v>
      </c>
      <c r="F6" s="1">
        <v>964.08799999999997</v>
      </c>
      <c r="G6" s="1">
        <v>9356.6153510000004</v>
      </c>
      <c r="H6" s="1"/>
    </row>
    <row r="7" spans="1:8">
      <c r="A7" s="1" t="s">
        <v>11</v>
      </c>
      <c r="B7" s="4">
        <v>383822</v>
      </c>
      <c r="C7" s="4">
        <v>413438</v>
      </c>
      <c r="D7" s="4">
        <v>410611</v>
      </c>
      <c r="E7" s="4">
        <f t="shared" si="0"/>
        <v>393222.83333333331</v>
      </c>
      <c r="F7" s="1">
        <v>1262.75</v>
      </c>
      <c r="G7" s="1">
        <v>3212.3901620000001</v>
      </c>
      <c r="H7" s="1"/>
    </row>
    <row r="8" spans="1:8">
      <c r="A8" s="1" t="s">
        <v>12</v>
      </c>
      <c r="B8" s="4">
        <v>390876</v>
      </c>
      <c r="C8" s="4">
        <v>418750</v>
      </c>
      <c r="D8" s="4">
        <v>417586</v>
      </c>
      <c r="E8" s="4">
        <f t="shared" si="0"/>
        <v>399973.33333333331</v>
      </c>
      <c r="F8" s="1">
        <v>926.40599999999995</v>
      </c>
      <c r="G8" s="1">
        <v>9524.2292990000005</v>
      </c>
      <c r="H8" s="1"/>
    </row>
    <row r="9" spans="1:8">
      <c r="A9" s="1" t="s">
        <v>13</v>
      </c>
      <c r="B9" s="4">
        <v>379937</v>
      </c>
      <c r="C9" s="4">
        <v>413007</v>
      </c>
      <c r="D9" s="4">
        <v>410801</v>
      </c>
      <c r="E9" s="4">
        <f t="shared" si="0"/>
        <v>390592.66666666669</v>
      </c>
      <c r="F9" s="1">
        <v>1260.3019999999999</v>
      </c>
      <c r="G9" s="1">
        <v>3234.4738819999998</v>
      </c>
      <c r="H9" s="1"/>
    </row>
    <row r="10" spans="1:8">
      <c r="A10" s="1" t="s">
        <v>14</v>
      </c>
      <c r="B10" s="4">
        <v>382934</v>
      </c>
      <c r="C10" s="4">
        <v>411641</v>
      </c>
      <c r="D10" s="4">
        <v>408307</v>
      </c>
      <c r="E10" s="4">
        <f t="shared" si="0"/>
        <v>391947.33333333331</v>
      </c>
      <c r="F10" s="1">
        <v>1329.894</v>
      </c>
      <c r="G10" s="1">
        <v>3507.505987</v>
      </c>
      <c r="H10" s="1"/>
    </row>
    <row r="11" spans="1:8">
      <c r="A11" s="1" t="s">
        <v>7</v>
      </c>
      <c r="B11" s="4">
        <f>AVERAGE(B3:B10)</f>
        <v>384682</v>
      </c>
      <c r="C11" s="4">
        <f t="shared" ref="C11:G11" si="1">AVERAGE(C3:C10)</f>
        <v>415067.375</v>
      </c>
      <c r="D11" s="4">
        <f t="shared" si="1"/>
        <v>412830.5</v>
      </c>
      <c r="E11" s="4">
        <f t="shared" si="1"/>
        <v>394437.64583333331</v>
      </c>
      <c r="F11" s="5">
        <f t="shared" si="1"/>
        <v>1144.7917499999999</v>
      </c>
      <c r="G11" s="5">
        <f t="shared" si="1"/>
        <v>5550.7733573749993</v>
      </c>
      <c r="H11" s="1" t="s">
        <v>45</v>
      </c>
    </row>
    <row r="13" spans="1:8">
      <c r="A13" s="1" t="s">
        <v>42</v>
      </c>
      <c r="B13" s="1"/>
      <c r="C13" s="1"/>
      <c r="D13" s="1"/>
      <c r="E13" s="1"/>
      <c r="F13" s="1"/>
      <c r="G13" s="1"/>
      <c r="H13" s="1"/>
    </row>
    <row r="14" spans="1:8">
      <c r="A14" s="1" t="s">
        <v>4</v>
      </c>
      <c r="B14" s="4">
        <v>366636</v>
      </c>
      <c r="C14" s="4">
        <v>399743</v>
      </c>
      <c r="D14" s="4">
        <v>397899</v>
      </c>
      <c r="E14" s="4">
        <f>(B14*4+C14+D14)/6</f>
        <v>377364.33333333331</v>
      </c>
      <c r="F14" s="1">
        <v>784.61400000000003</v>
      </c>
      <c r="G14" s="1">
        <v>2720.8046859999999</v>
      </c>
      <c r="H14" s="1"/>
    </row>
    <row r="15" spans="1:8">
      <c r="A15" s="1" t="s">
        <v>5</v>
      </c>
      <c r="B15" s="4">
        <v>366499</v>
      </c>
      <c r="C15" s="4">
        <v>402519</v>
      </c>
      <c r="D15" s="4">
        <v>397741</v>
      </c>
      <c r="E15" s="4">
        <f t="shared" ref="E15:E21" si="2">(B15*4+C15+D15)/6</f>
        <v>377709.33333333331</v>
      </c>
      <c r="F15" s="1">
        <v>556.53200000000004</v>
      </c>
      <c r="G15" s="1">
        <v>8866.6950039999992</v>
      </c>
      <c r="H15" s="1"/>
    </row>
    <row r="16" spans="1:8">
      <c r="A16" s="1" t="s">
        <v>6</v>
      </c>
      <c r="B16" s="4">
        <v>368933</v>
      </c>
      <c r="C16" s="4">
        <v>403973</v>
      </c>
      <c r="D16" s="4">
        <v>400662</v>
      </c>
      <c r="E16" s="4">
        <f t="shared" si="2"/>
        <v>380061.16666666669</v>
      </c>
      <c r="F16" s="1">
        <v>675.51</v>
      </c>
      <c r="G16" s="1">
        <v>2977.4271880000001</v>
      </c>
      <c r="H16" s="1"/>
    </row>
    <row r="17" spans="1:8">
      <c r="A17" s="1" t="s">
        <v>10</v>
      </c>
      <c r="B17" s="4">
        <v>365877</v>
      </c>
      <c r="C17" s="4">
        <v>400160</v>
      </c>
      <c r="D17" s="4">
        <v>398791</v>
      </c>
      <c r="E17" s="4">
        <f t="shared" si="2"/>
        <v>377076.5</v>
      </c>
      <c r="F17" s="1">
        <v>535.00400000000002</v>
      </c>
      <c r="G17" s="1">
        <v>8747.0935379999992</v>
      </c>
      <c r="H17" s="1"/>
    </row>
    <row r="18" spans="1:8">
      <c r="A18" s="1" t="s">
        <v>11</v>
      </c>
      <c r="B18" s="4">
        <v>364503</v>
      </c>
      <c r="C18" s="4">
        <v>397930</v>
      </c>
      <c r="D18" s="4">
        <v>394846</v>
      </c>
      <c r="E18" s="4">
        <f t="shared" si="2"/>
        <v>375131.33333333331</v>
      </c>
      <c r="F18" s="1">
        <v>741.41800000000001</v>
      </c>
      <c r="G18" s="1">
        <v>3024.4146759999999</v>
      </c>
      <c r="H18" s="1"/>
    </row>
    <row r="19" spans="1:8">
      <c r="A19" s="1" t="s">
        <v>12</v>
      </c>
      <c r="B19" s="4">
        <v>371959</v>
      </c>
      <c r="C19" s="4">
        <v>402537</v>
      </c>
      <c r="D19" s="4">
        <v>402266</v>
      </c>
      <c r="E19" s="4">
        <f t="shared" si="2"/>
        <v>382106.5</v>
      </c>
      <c r="F19" s="1">
        <v>526.37800000000004</v>
      </c>
      <c r="G19" s="1">
        <v>8954.5058769999996</v>
      </c>
      <c r="H19" s="1"/>
    </row>
    <row r="20" spans="1:8">
      <c r="A20" s="1" t="s">
        <v>13</v>
      </c>
      <c r="B20" s="4">
        <v>363974</v>
      </c>
      <c r="C20" s="4">
        <v>399592</v>
      </c>
      <c r="D20" s="4">
        <v>396676</v>
      </c>
      <c r="E20" s="4">
        <f t="shared" si="2"/>
        <v>375360.66666666669</v>
      </c>
      <c r="F20" s="1">
        <v>720.37199999999996</v>
      </c>
      <c r="G20" s="1">
        <v>3045.617068</v>
      </c>
      <c r="H20" s="1"/>
    </row>
    <row r="21" spans="1:8">
      <c r="A21" s="1" t="s">
        <v>14</v>
      </c>
      <c r="B21" s="4">
        <v>363420</v>
      </c>
      <c r="C21" s="4">
        <v>396138</v>
      </c>
      <c r="D21" s="4">
        <v>392608</v>
      </c>
      <c r="E21" s="4">
        <f t="shared" si="2"/>
        <v>373737.66666666669</v>
      </c>
      <c r="F21" s="1">
        <v>775.87599999999998</v>
      </c>
      <c r="G21" s="1">
        <v>3338.9120480000001</v>
      </c>
      <c r="H21" s="1"/>
    </row>
    <row r="22" spans="1:8">
      <c r="A22" s="1" t="s">
        <v>7</v>
      </c>
      <c r="B22" s="4">
        <f>AVERAGE(B14:B21)</f>
        <v>366475.125</v>
      </c>
      <c r="C22" s="4">
        <f t="shared" ref="C22:G22" si="3">AVERAGE(C14:C21)</f>
        <v>400324</v>
      </c>
      <c r="D22" s="4">
        <f t="shared" si="3"/>
        <v>397686.125</v>
      </c>
      <c r="E22" s="4">
        <f t="shared" si="3"/>
        <v>377318.43749999994</v>
      </c>
      <c r="F22" s="5">
        <f t="shared" si="3"/>
        <v>664.46300000000008</v>
      </c>
      <c r="G22" s="5">
        <f t="shared" si="3"/>
        <v>5209.4337606250001</v>
      </c>
      <c r="H22" s="1" t="s">
        <v>46</v>
      </c>
    </row>
    <row r="24" spans="1:8">
      <c r="A24" s="1" t="s">
        <v>43</v>
      </c>
      <c r="B24" s="1"/>
      <c r="C24" s="1"/>
      <c r="D24" s="1"/>
      <c r="E24" s="1"/>
      <c r="F24" s="1"/>
      <c r="G24" s="1"/>
      <c r="H24" s="1"/>
    </row>
    <row r="25" spans="1:8">
      <c r="A25" s="1" t="s">
        <v>4</v>
      </c>
      <c r="B25" s="4">
        <v>346141</v>
      </c>
      <c r="C25" s="4">
        <v>387021</v>
      </c>
      <c r="D25" s="4">
        <v>385681</v>
      </c>
      <c r="E25" s="4">
        <f>(B25*4+C25+D25)/6</f>
        <v>359544.33333333331</v>
      </c>
      <c r="F25" s="1">
        <v>488.56599999999997</v>
      </c>
      <c r="G25" s="1">
        <v>2557.0477259999998</v>
      </c>
      <c r="H25" s="1"/>
    </row>
    <row r="26" spans="1:8">
      <c r="A26" s="1" t="s">
        <v>5</v>
      </c>
      <c r="B26" s="4">
        <v>345753</v>
      </c>
      <c r="C26" s="4">
        <v>390952</v>
      </c>
      <c r="D26" s="4">
        <v>385961</v>
      </c>
      <c r="E26" s="4">
        <f t="shared" ref="E26:E32" si="4">(B26*4+C26+D26)/6</f>
        <v>359987.5</v>
      </c>
      <c r="F26" s="1">
        <v>323.322</v>
      </c>
      <c r="G26" s="1">
        <v>8167.137076</v>
      </c>
      <c r="H26" s="1"/>
    </row>
    <row r="27" spans="1:8">
      <c r="A27" s="1" t="s">
        <v>6</v>
      </c>
      <c r="B27" s="4">
        <v>348084</v>
      </c>
      <c r="C27" s="4">
        <v>391916</v>
      </c>
      <c r="D27" s="4">
        <v>388258</v>
      </c>
      <c r="E27" s="4">
        <f t="shared" si="4"/>
        <v>362085</v>
      </c>
      <c r="F27" s="1">
        <v>405.73</v>
      </c>
      <c r="G27" s="1">
        <v>2797.8392250000002</v>
      </c>
      <c r="H27" s="1"/>
    </row>
    <row r="28" spans="1:8">
      <c r="A28" s="1" t="s">
        <v>10</v>
      </c>
      <c r="B28" s="4">
        <v>343745</v>
      </c>
      <c r="C28" s="4">
        <v>388515</v>
      </c>
      <c r="D28" s="4">
        <v>387254</v>
      </c>
      <c r="E28" s="4">
        <f t="shared" si="4"/>
        <v>358458.16666666669</v>
      </c>
      <c r="F28" s="1">
        <v>307.17</v>
      </c>
      <c r="G28" s="1">
        <v>8062.7112719999996</v>
      </c>
      <c r="H28" s="1"/>
    </row>
    <row r="29" spans="1:8">
      <c r="A29" s="1" t="s">
        <v>11</v>
      </c>
      <c r="B29" s="4">
        <v>342312</v>
      </c>
      <c r="C29" s="4">
        <v>385259</v>
      </c>
      <c r="D29" s="4">
        <v>382415</v>
      </c>
      <c r="E29" s="4">
        <f t="shared" si="4"/>
        <v>356153.66666666669</v>
      </c>
      <c r="F29" s="1">
        <v>442.86</v>
      </c>
      <c r="G29" s="1">
        <v>2855.880553</v>
      </c>
      <c r="H29" s="1"/>
    </row>
    <row r="30" spans="1:8">
      <c r="A30" s="1" t="s">
        <v>12</v>
      </c>
      <c r="B30" s="4">
        <v>350139</v>
      </c>
      <c r="C30" s="4">
        <v>389224</v>
      </c>
      <c r="D30" s="4">
        <v>390017</v>
      </c>
      <c r="E30" s="4">
        <f t="shared" si="4"/>
        <v>363299.5</v>
      </c>
      <c r="F30" s="1">
        <v>320.024</v>
      </c>
      <c r="G30" s="1">
        <v>8270.8439880000005</v>
      </c>
      <c r="H30" s="1"/>
    </row>
    <row r="31" spans="1:8">
      <c r="A31" s="1" t="s">
        <v>13</v>
      </c>
      <c r="B31" s="4">
        <v>344460</v>
      </c>
      <c r="C31" s="4">
        <v>386977</v>
      </c>
      <c r="D31" s="4">
        <v>384193</v>
      </c>
      <c r="E31" s="4">
        <f t="shared" si="4"/>
        <v>358168.33333333331</v>
      </c>
      <c r="F31" s="1">
        <v>430.81</v>
      </c>
      <c r="G31" s="1">
        <v>2880.0786029999999</v>
      </c>
      <c r="H31" s="1"/>
    </row>
    <row r="32" spans="1:8">
      <c r="A32" s="1" t="s">
        <v>14</v>
      </c>
      <c r="B32" s="4">
        <v>340694</v>
      </c>
      <c r="C32" s="4">
        <v>383531</v>
      </c>
      <c r="D32" s="4">
        <v>379871</v>
      </c>
      <c r="E32" s="4">
        <f t="shared" si="4"/>
        <v>354363</v>
      </c>
      <c r="F32" s="1">
        <v>462.26600000000002</v>
      </c>
      <c r="G32" s="1">
        <v>3171.3527370000002</v>
      </c>
      <c r="H32" s="1"/>
    </row>
    <row r="33" spans="1:8">
      <c r="A33" s="1" t="s">
        <v>7</v>
      </c>
      <c r="B33" s="4">
        <f>AVERAGE(B25:B32)</f>
        <v>345166</v>
      </c>
      <c r="C33" s="4">
        <f t="shared" ref="C33:G33" si="5">AVERAGE(C25:C32)</f>
        <v>387924.375</v>
      </c>
      <c r="D33" s="4">
        <f t="shared" si="5"/>
        <v>385456.25</v>
      </c>
      <c r="E33" s="4">
        <f t="shared" si="5"/>
        <v>359007.43750000006</v>
      </c>
      <c r="F33" s="5">
        <f t="shared" si="5"/>
        <v>397.59350000000001</v>
      </c>
      <c r="G33" s="5">
        <f t="shared" si="5"/>
        <v>4845.3613974999998</v>
      </c>
      <c r="H33" s="1" t="s">
        <v>47</v>
      </c>
    </row>
    <row r="35" spans="1:8">
      <c r="A35" s="1" t="s">
        <v>44</v>
      </c>
      <c r="B35" s="1"/>
      <c r="C35" s="1"/>
      <c r="D35" s="1"/>
      <c r="E35" s="1"/>
      <c r="F35" s="1"/>
      <c r="G35" s="1"/>
      <c r="H35" s="1"/>
    </row>
    <row r="36" spans="1:8">
      <c r="A36" s="1" t="s">
        <v>4</v>
      </c>
      <c r="B36" s="4">
        <v>325441</v>
      </c>
      <c r="C36" s="4">
        <v>375278</v>
      </c>
      <c r="D36" s="4">
        <v>374214</v>
      </c>
      <c r="E36" s="4">
        <f>(B36*4+C36+D36)/6</f>
        <v>341876</v>
      </c>
      <c r="F36" s="1">
        <v>310.39999999999998</v>
      </c>
      <c r="G36" s="1">
        <v>2390.3773569999998</v>
      </c>
      <c r="H36" s="1"/>
    </row>
    <row r="37" spans="1:8">
      <c r="A37" s="1" t="s">
        <v>5</v>
      </c>
      <c r="B37" s="4">
        <v>323789</v>
      </c>
      <c r="C37" s="4">
        <v>379114</v>
      </c>
      <c r="D37" s="4">
        <v>374531</v>
      </c>
      <c r="E37" s="4">
        <f t="shared" ref="E37:E43" si="6">(B37*4+C37+D37)/6</f>
        <v>341466.83333333331</v>
      </c>
      <c r="F37" s="1">
        <v>197.12799999999999</v>
      </c>
      <c r="G37" s="1">
        <v>7309.4567850000003</v>
      </c>
      <c r="H37" s="1"/>
    </row>
    <row r="38" spans="1:8">
      <c r="A38" s="1" t="s">
        <v>6</v>
      </c>
      <c r="B38" s="4">
        <v>326170</v>
      </c>
      <c r="C38" s="4">
        <v>379931</v>
      </c>
      <c r="D38" s="4">
        <v>376233</v>
      </c>
      <c r="E38" s="4">
        <f t="shared" si="6"/>
        <v>343474</v>
      </c>
      <c r="F38" s="1">
        <v>250.46</v>
      </c>
      <c r="G38" s="1">
        <v>2600.19184</v>
      </c>
      <c r="H38" s="1"/>
    </row>
    <row r="39" spans="1:8">
      <c r="A39" s="1" t="s">
        <v>10</v>
      </c>
      <c r="B39" s="4">
        <v>322096</v>
      </c>
      <c r="C39" s="4">
        <v>377665</v>
      </c>
      <c r="D39" s="4">
        <v>376147</v>
      </c>
      <c r="E39" s="4">
        <f t="shared" si="6"/>
        <v>340366</v>
      </c>
      <c r="F39" s="1">
        <v>188.71799999999999</v>
      </c>
      <c r="G39" s="1">
        <v>7230.7329989999998</v>
      </c>
      <c r="H39" s="1"/>
    </row>
    <row r="40" spans="1:8">
      <c r="A40" s="1" t="s">
        <v>11</v>
      </c>
      <c r="B40" s="4">
        <v>319798</v>
      </c>
      <c r="C40" s="4">
        <v>373702</v>
      </c>
      <c r="D40" s="4">
        <v>370889</v>
      </c>
      <c r="E40" s="4">
        <f t="shared" si="6"/>
        <v>337297.16666666669</v>
      </c>
      <c r="F40" s="1">
        <v>272.49799999999999</v>
      </c>
      <c r="G40" s="1">
        <v>2674.2044729999998</v>
      </c>
      <c r="H40" s="1"/>
    </row>
    <row r="41" spans="1:8">
      <c r="A41" s="1" t="s">
        <v>12</v>
      </c>
      <c r="B41" s="4">
        <v>327608</v>
      </c>
      <c r="C41" s="4">
        <v>376269</v>
      </c>
      <c r="D41" s="4">
        <v>378490</v>
      </c>
      <c r="E41" s="4">
        <f t="shared" si="6"/>
        <v>344198.5</v>
      </c>
      <c r="F41" s="1">
        <v>204.126</v>
      </c>
      <c r="G41" s="1">
        <v>7453.1116119999997</v>
      </c>
      <c r="H41" s="1"/>
    </row>
    <row r="42" spans="1:8">
      <c r="A42" s="1" t="s">
        <v>13</v>
      </c>
      <c r="B42" s="4">
        <v>323346</v>
      </c>
      <c r="C42" s="4">
        <v>373131</v>
      </c>
      <c r="D42" s="4">
        <v>371853</v>
      </c>
      <c r="E42" s="4">
        <f t="shared" si="6"/>
        <v>339728</v>
      </c>
      <c r="F42" s="1">
        <v>268.07</v>
      </c>
      <c r="G42" s="1">
        <v>2697.4925499999999</v>
      </c>
      <c r="H42" s="1"/>
    </row>
    <row r="43" spans="1:8">
      <c r="A43" s="1" t="s">
        <v>14</v>
      </c>
      <c r="B43" s="4">
        <v>317362</v>
      </c>
      <c r="C43" s="4">
        <v>371316</v>
      </c>
      <c r="D43" s="4">
        <v>369201</v>
      </c>
      <c r="E43" s="4">
        <f t="shared" si="6"/>
        <v>334994.16666666669</v>
      </c>
      <c r="F43" s="1">
        <v>283.14800000000002</v>
      </c>
      <c r="G43" s="1">
        <v>2978.1988310000002</v>
      </c>
      <c r="H43" s="1"/>
    </row>
    <row r="44" spans="1:8">
      <c r="A44" s="1" t="s">
        <v>7</v>
      </c>
      <c r="B44" s="4">
        <f>AVERAGE(B36:B43)</f>
        <v>323201.25</v>
      </c>
      <c r="C44" s="4">
        <f t="shared" ref="C44:G44" si="7">AVERAGE(C36:C43)</f>
        <v>375800.75</v>
      </c>
      <c r="D44" s="4">
        <f t="shared" si="7"/>
        <v>373944.75</v>
      </c>
      <c r="E44" s="4">
        <f t="shared" si="7"/>
        <v>340425.08333333331</v>
      </c>
      <c r="F44" s="5">
        <f t="shared" si="7"/>
        <v>246.81849999999997</v>
      </c>
      <c r="G44" s="5">
        <f t="shared" si="7"/>
        <v>4416.7208058749993</v>
      </c>
      <c r="H44" s="1" t="s">
        <v>48</v>
      </c>
    </row>
    <row r="46" spans="1:8">
      <c r="A46" s="1" t="s">
        <v>49</v>
      </c>
      <c r="B46" s="1"/>
      <c r="C46" s="1"/>
      <c r="D46" s="1"/>
      <c r="E46" s="1"/>
      <c r="F46" s="1"/>
      <c r="G46" s="1"/>
      <c r="H46" s="1"/>
    </row>
    <row r="47" spans="1:8">
      <c r="A47" s="1" t="s">
        <v>4</v>
      </c>
      <c r="B47" s="4">
        <v>397077</v>
      </c>
      <c r="C47" s="4">
        <v>435765</v>
      </c>
      <c r="D47" s="4">
        <v>427698</v>
      </c>
      <c r="E47" s="4">
        <f>(B47*4+C47+D47)/6</f>
        <v>408628.5</v>
      </c>
      <c r="F47" s="1">
        <v>529.74800000000005</v>
      </c>
      <c r="G47" s="1">
        <v>1664.1202060000001</v>
      </c>
      <c r="H47" s="1"/>
    </row>
    <row r="48" spans="1:8">
      <c r="A48" s="1" t="s">
        <v>5</v>
      </c>
      <c r="B48" s="4">
        <v>395099</v>
      </c>
      <c r="C48" s="4">
        <v>435393</v>
      </c>
      <c r="D48" s="4">
        <v>426183</v>
      </c>
      <c r="E48" s="4">
        <f t="shared" ref="E48:E54" si="8">(B48*4+C48+D48)/6</f>
        <v>406995.33333333331</v>
      </c>
      <c r="F48" s="1">
        <v>435.928</v>
      </c>
      <c r="G48" s="1">
        <v>7751.2431560000005</v>
      </c>
      <c r="H48" s="1"/>
    </row>
    <row r="49" spans="1:8">
      <c r="A49" s="1" t="s">
        <v>6</v>
      </c>
      <c r="B49" s="4">
        <v>396860</v>
      </c>
      <c r="C49" s="4">
        <v>437789</v>
      </c>
      <c r="D49" s="4">
        <v>428364</v>
      </c>
      <c r="E49" s="4">
        <f t="shared" si="8"/>
        <v>408932.16666666669</v>
      </c>
      <c r="F49" s="1">
        <v>508.18200000000002</v>
      </c>
      <c r="G49" s="1">
        <v>2145.0870289999998</v>
      </c>
      <c r="H49" s="1"/>
    </row>
    <row r="50" spans="1:8">
      <c r="A50" s="1" t="s">
        <v>10</v>
      </c>
      <c r="B50" s="4">
        <v>397981</v>
      </c>
      <c r="C50" s="4">
        <v>439430</v>
      </c>
      <c r="D50" s="4">
        <v>433426</v>
      </c>
      <c r="E50" s="4">
        <f t="shared" si="8"/>
        <v>410796.66666666669</v>
      </c>
      <c r="F50" s="1">
        <v>445.39400000000001</v>
      </c>
      <c r="G50" s="1">
        <v>8319.1053379999994</v>
      </c>
      <c r="H50" s="1"/>
    </row>
    <row r="51" spans="1:8">
      <c r="A51" s="1" t="s">
        <v>11</v>
      </c>
      <c r="B51" s="4">
        <v>393990</v>
      </c>
      <c r="C51" s="4">
        <v>436959</v>
      </c>
      <c r="D51" s="4">
        <v>427969</v>
      </c>
      <c r="E51" s="4">
        <f t="shared" si="8"/>
        <v>406814.66666666669</v>
      </c>
      <c r="F51" s="1">
        <v>584.19200000000001</v>
      </c>
      <c r="G51" s="1">
        <v>2581.2778739999999</v>
      </c>
      <c r="H51" s="1"/>
    </row>
    <row r="52" spans="1:8">
      <c r="A52" s="1" t="s">
        <v>12</v>
      </c>
      <c r="B52" s="4">
        <v>394130</v>
      </c>
      <c r="C52" s="4">
        <v>435618</v>
      </c>
      <c r="D52" s="4">
        <v>427810</v>
      </c>
      <c r="E52" s="4">
        <f t="shared" si="8"/>
        <v>406658</v>
      </c>
      <c r="F52" s="1">
        <v>545.17399999999998</v>
      </c>
      <c r="G52" s="1">
        <v>9056.6683109999994</v>
      </c>
      <c r="H52" s="1"/>
    </row>
    <row r="53" spans="1:8">
      <c r="A53" s="1" t="s">
        <v>13</v>
      </c>
      <c r="B53" s="4">
        <v>387228</v>
      </c>
      <c r="C53" s="4">
        <v>428005</v>
      </c>
      <c r="D53" s="4">
        <v>420994</v>
      </c>
      <c r="E53" s="4">
        <f t="shared" si="8"/>
        <v>399651.83333333331</v>
      </c>
      <c r="F53" s="1">
        <v>777.11800000000005</v>
      </c>
      <c r="G53" s="1">
        <v>3185.3812849999999</v>
      </c>
      <c r="H53" s="1"/>
    </row>
    <row r="54" spans="1:8">
      <c r="A54" s="1" t="s">
        <v>14</v>
      </c>
      <c r="B54" s="4">
        <v>391814</v>
      </c>
      <c r="C54" s="4">
        <v>435708</v>
      </c>
      <c r="D54" s="4">
        <v>426607</v>
      </c>
      <c r="E54" s="4">
        <f t="shared" si="8"/>
        <v>404928.5</v>
      </c>
      <c r="F54" s="1">
        <v>720.19799999999998</v>
      </c>
      <c r="G54" s="1">
        <v>3611.7616240000002</v>
      </c>
      <c r="H54" s="1"/>
    </row>
    <row r="55" spans="1:8">
      <c r="A55" s="1" t="s">
        <v>7</v>
      </c>
      <c r="B55" s="4">
        <f>AVERAGE(B47:B54)</f>
        <v>394272.375</v>
      </c>
      <c r="C55" s="4">
        <f t="shared" ref="C55:G55" si="9">AVERAGE(C47:C54)</f>
        <v>435583.375</v>
      </c>
      <c r="D55" s="4">
        <f t="shared" si="9"/>
        <v>427381.375</v>
      </c>
      <c r="E55" s="4">
        <f t="shared" si="9"/>
        <v>406675.70833333337</v>
      </c>
      <c r="F55" s="5">
        <f t="shared" si="9"/>
        <v>568.24175000000002</v>
      </c>
      <c r="G55" s="5">
        <f t="shared" si="9"/>
        <v>4789.3306028750003</v>
      </c>
      <c r="H55" s="1" t="s">
        <v>118</v>
      </c>
    </row>
    <row r="57" spans="1:8">
      <c r="A57" s="1" t="s">
        <v>50</v>
      </c>
      <c r="B57" s="1"/>
      <c r="C57" s="1"/>
      <c r="D57" s="1"/>
      <c r="E57" s="1"/>
      <c r="F57" s="1"/>
      <c r="G57" s="1"/>
      <c r="H57" s="1"/>
    </row>
    <row r="58" spans="1:8">
      <c r="A58" s="1" t="s">
        <v>4</v>
      </c>
      <c r="B58" s="4">
        <v>386220</v>
      </c>
      <c r="C58" s="4">
        <v>421226</v>
      </c>
      <c r="D58" s="4">
        <v>413908</v>
      </c>
      <c r="E58" s="4">
        <f>(B58*4+C58+D58)/6</f>
        <v>396669</v>
      </c>
      <c r="F58" s="1">
        <v>292.19799999999998</v>
      </c>
      <c r="G58" s="1">
        <v>1476.8479139999999</v>
      </c>
      <c r="H58" s="1"/>
    </row>
    <row r="59" spans="1:8">
      <c r="A59" s="1" t="s">
        <v>5</v>
      </c>
      <c r="B59" s="4">
        <v>384097</v>
      </c>
      <c r="C59" s="4">
        <v>423851</v>
      </c>
      <c r="D59" s="4">
        <v>414411</v>
      </c>
      <c r="E59" s="4">
        <f t="shared" ref="E59:E65" si="10">(B59*4+C59+D59)/6</f>
        <v>395775</v>
      </c>
      <c r="F59" s="1">
        <v>211.84800000000001</v>
      </c>
      <c r="G59" s="1">
        <v>7064.6967770000001</v>
      </c>
      <c r="H59" s="1"/>
    </row>
    <row r="60" spans="1:8">
      <c r="A60" s="1" t="s">
        <v>6</v>
      </c>
      <c r="B60" s="4">
        <v>385674</v>
      </c>
      <c r="C60" s="4">
        <v>425697</v>
      </c>
      <c r="D60" s="4">
        <v>415894</v>
      </c>
      <c r="E60" s="4">
        <f t="shared" si="10"/>
        <v>397381.16666666669</v>
      </c>
      <c r="F60" s="1">
        <v>262.56400000000002</v>
      </c>
      <c r="G60" s="1">
        <v>1891.657972</v>
      </c>
      <c r="H60" s="1"/>
    </row>
    <row r="61" spans="1:8">
      <c r="A61" s="1" t="s">
        <v>10</v>
      </c>
      <c r="B61" s="4">
        <v>385956</v>
      </c>
      <c r="C61" s="4">
        <v>427567</v>
      </c>
      <c r="D61" s="4">
        <v>422153</v>
      </c>
      <c r="E61" s="4">
        <f t="shared" si="10"/>
        <v>398924</v>
      </c>
      <c r="F61" s="1">
        <v>232.608</v>
      </c>
      <c r="G61" s="1">
        <v>7634.3818199999996</v>
      </c>
      <c r="H61" s="1"/>
    </row>
    <row r="62" spans="1:8">
      <c r="A62" s="1" t="s">
        <v>11</v>
      </c>
      <c r="B62" s="4">
        <v>381492</v>
      </c>
      <c r="C62" s="4">
        <v>425246</v>
      </c>
      <c r="D62" s="4">
        <v>415324</v>
      </c>
      <c r="E62" s="4">
        <f t="shared" si="10"/>
        <v>394423</v>
      </c>
      <c r="F62" s="1">
        <v>310.32</v>
      </c>
      <c r="G62" s="1">
        <v>2375.6831360000001</v>
      </c>
      <c r="H62" s="1"/>
    </row>
    <row r="63" spans="1:8">
      <c r="A63" s="1" t="s">
        <v>12</v>
      </c>
      <c r="B63" s="4">
        <v>381628</v>
      </c>
      <c r="C63" s="4">
        <v>423874</v>
      </c>
      <c r="D63" s="4">
        <v>417245</v>
      </c>
      <c r="E63" s="4">
        <f t="shared" si="10"/>
        <v>394605.16666666669</v>
      </c>
      <c r="F63" s="1">
        <v>278.40600000000001</v>
      </c>
      <c r="G63" s="1">
        <v>8391.640942</v>
      </c>
      <c r="H63" s="1"/>
    </row>
    <row r="64" spans="1:8">
      <c r="A64" s="1" t="s">
        <v>13</v>
      </c>
      <c r="B64" s="4">
        <v>374767</v>
      </c>
      <c r="C64" s="4">
        <v>417038</v>
      </c>
      <c r="D64" s="4">
        <v>409865</v>
      </c>
      <c r="E64" s="4">
        <f t="shared" si="10"/>
        <v>387661.83333333331</v>
      </c>
      <c r="F64" s="1">
        <v>407.452</v>
      </c>
      <c r="G64" s="1">
        <v>2924.4055739999999</v>
      </c>
      <c r="H64" s="1"/>
    </row>
    <row r="65" spans="1:8">
      <c r="A65" s="1" t="s">
        <v>14</v>
      </c>
      <c r="B65" s="4">
        <v>377696</v>
      </c>
      <c r="C65" s="4">
        <v>424399</v>
      </c>
      <c r="D65" s="4">
        <v>415810</v>
      </c>
      <c r="E65" s="4">
        <f t="shared" si="10"/>
        <v>391832.16666666669</v>
      </c>
      <c r="F65" s="1">
        <v>389.012</v>
      </c>
      <c r="G65" s="1">
        <v>3377.1901899999998</v>
      </c>
      <c r="H65" s="1"/>
    </row>
    <row r="66" spans="1:8">
      <c r="A66" s="1" t="s">
        <v>7</v>
      </c>
      <c r="B66" s="4">
        <f>AVERAGE(B58:B65)</f>
        <v>382191.25</v>
      </c>
      <c r="C66" s="4">
        <f t="shared" ref="C66:G66" si="11">AVERAGE(C58:C65)</f>
        <v>423612.25</v>
      </c>
      <c r="D66" s="4">
        <f t="shared" si="11"/>
        <v>415576.25</v>
      </c>
      <c r="E66" s="4">
        <f t="shared" si="11"/>
        <v>394658.91666666669</v>
      </c>
      <c r="F66" s="5">
        <f t="shared" si="11"/>
        <v>298.05099999999999</v>
      </c>
      <c r="G66" s="5">
        <f t="shared" si="11"/>
        <v>4392.0630406249993</v>
      </c>
      <c r="H66" s="1" t="s">
        <v>53</v>
      </c>
    </row>
    <row r="68" spans="1:8">
      <c r="A68" s="1" t="s">
        <v>51</v>
      </c>
      <c r="B68" s="1"/>
      <c r="C68" s="1"/>
      <c r="D68" s="1"/>
      <c r="E68" s="1"/>
      <c r="F68" s="1"/>
      <c r="G68" s="1"/>
      <c r="H68" s="1"/>
    </row>
    <row r="69" spans="1:8">
      <c r="A69" s="1" t="s">
        <v>4</v>
      </c>
      <c r="B69" s="4">
        <v>371902</v>
      </c>
      <c r="C69" s="4">
        <v>408008</v>
      </c>
      <c r="D69" s="4">
        <v>403025</v>
      </c>
      <c r="E69" s="4">
        <f>(B69*4+C69+D69)/6</f>
        <v>383106.83333333331</v>
      </c>
      <c r="F69" s="1">
        <v>179.73</v>
      </c>
      <c r="G69" s="1">
        <v>1366.111238</v>
      </c>
      <c r="H69" s="1"/>
    </row>
    <row r="70" spans="1:8">
      <c r="A70" s="1" t="s">
        <v>5</v>
      </c>
      <c r="B70" s="4">
        <v>369395</v>
      </c>
      <c r="C70" s="4">
        <v>412002</v>
      </c>
      <c r="D70" s="4">
        <v>404606</v>
      </c>
      <c r="E70" s="4">
        <f t="shared" ref="E70:E76" si="12">(B70*4+C70+D70)/6</f>
        <v>382364.66666666669</v>
      </c>
      <c r="F70" s="1">
        <v>122.10599999999999</v>
      </c>
      <c r="G70" s="1">
        <v>6497.6826879999999</v>
      </c>
      <c r="H70" s="1"/>
    </row>
    <row r="71" spans="1:8">
      <c r="A71" s="1" t="s">
        <v>6</v>
      </c>
      <c r="B71" s="4">
        <v>370860</v>
      </c>
      <c r="C71" s="4">
        <v>414432</v>
      </c>
      <c r="D71" s="4">
        <v>404958</v>
      </c>
      <c r="E71" s="4">
        <f t="shared" si="12"/>
        <v>383805</v>
      </c>
      <c r="F71" s="1">
        <v>153.77799999999999</v>
      </c>
      <c r="G71" s="1">
        <v>1742.2548280000001</v>
      </c>
      <c r="H71" s="1"/>
    </row>
    <row r="72" spans="1:8">
      <c r="A72" s="1" t="s">
        <v>10</v>
      </c>
      <c r="B72" s="4">
        <v>369888</v>
      </c>
      <c r="C72" s="4">
        <v>417491</v>
      </c>
      <c r="D72" s="4">
        <v>411785</v>
      </c>
      <c r="E72" s="4">
        <f t="shared" si="12"/>
        <v>384804.66666666669</v>
      </c>
      <c r="F72" s="1">
        <v>140.61000000000001</v>
      </c>
      <c r="G72" s="1">
        <v>7033.0508749999999</v>
      </c>
      <c r="H72" s="1"/>
    </row>
    <row r="73" spans="1:8">
      <c r="A73" s="1" t="s">
        <v>11</v>
      </c>
      <c r="B73" s="4">
        <v>365700</v>
      </c>
      <c r="C73" s="4">
        <v>414830</v>
      </c>
      <c r="D73" s="4">
        <v>403717</v>
      </c>
      <c r="E73" s="4">
        <f t="shared" si="12"/>
        <v>380224.5</v>
      </c>
      <c r="F73" s="1">
        <v>183.60599999999999</v>
      </c>
      <c r="G73" s="1">
        <v>2214.161153</v>
      </c>
      <c r="H73" s="1"/>
    </row>
    <row r="74" spans="1:8">
      <c r="A74" s="1" t="s">
        <v>12</v>
      </c>
      <c r="B74" s="4">
        <v>366488</v>
      </c>
      <c r="C74" s="4">
        <v>414284</v>
      </c>
      <c r="D74" s="4">
        <v>407623</v>
      </c>
      <c r="E74" s="4">
        <f t="shared" si="12"/>
        <v>381309.83333333331</v>
      </c>
      <c r="F74" s="1">
        <v>165.58799999999999</v>
      </c>
      <c r="G74" s="1">
        <v>7716.3433729999997</v>
      </c>
      <c r="H74" s="1"/>
    </row>
    <row r="75" spans="1:8">
      <c r="A75" s="1" t="s">
        <v>13</v>
      </c>
      <c r="B75" s="4">
        <v>359974</v>
      </c>
      <c r="C75" s="4">
        <v>406148</v>
      </c>
      <c r="D75" s="4">
        <v>399593</v>
      </c>
      <c r="E75" s="4">
        <f t="shared" si="12"/>
        <v>374272.83333333331</v>
      </c>
      <c r="F75" s="1">
        <v>241.22200000000001</v>
      </c>
      <c r="G75" s="1">
        <v>2725.2980499999999</v>
      </c>
      <c r="H75" s="1"/>
    </row>
    <row r="76" spans="1:8">
      <c r="A76" s="1" t="s">
        <v>14</v>
      </c>
      <c r="B76" s="4">
        <v>360586</v>
      </c>
      <c r="C76" s="4">
        <v>414934</v>
      </c>
      <c r="D76" s="4">
        <v>406803</v>
      </c>
      <c r="E76" s="4">
        <f t="shared" si="12"/>
        <v>377346.83333333331</v>
      </c>
      <c r="F76" s="1">
        <v>229.65600000000001</v>
      </c>
      <c r="G76" s="1">
        <v>3159.108428</v>
      </c>
      <c r="H76" s="1"/>
    </row>
    <row r="77" spans="1:8">
      <c r="A77" s="1" t="s">
        <v>7</v>
      </c>
      <c r="B77" s="4">
        <f>AVERAGE(B69:B76)</f>
        <v>366849.125</v>
      </c>
      <c r="C77" s="4">
        <f t="shared" ref="C77:G77" si="13">AVERAGE(C69:C76)</f>
        <v>412766.125</v>
      </c>
      <c r="D77" s="4">
        <f t="shared" si="13"/>
        <v>405263.75</v>
      </c>
      <c r="E77" s="4">
        <f t="shared" si="13"/>
        <v>380904.39583333337</v>
      </c>
      <c r="F77" s="5">
        <f t="shared" si="13"/>
        <v>177.03700000000001</v>
      </c>
      <c r="G77" s="5">
        <f t="shared" si="13"/>
        <v>4056.7513291250002</v>
      </c>
      <c r="H77" s="1" t="s">
        <v>54</v>
      </c>
    </row>
    <row r="79" spans="1:8">
      <c r="A79" s="1" t="s">
        <v>52</v>
      </c>
      <c r="B79" s="1"/>
      <c r="C79" s="1"/>
      <c r="D79" s="1"/>
      <c r="E79" s="1"/>
      <c r="F79" s="1"/>
      <c r="G79" s="1"/>
      <c r="H79" s="1"/>
    </row>
    <row r="80" spans="1:8">
      <c r="A80" s="1" t="s">
        <v>4</v>
      </c>
      <c r="B80" s="4">
        <v>355259</v>
      </c>
      <c r="C80" s="4">
        <v>393484</v>
      </c>
      <c r="D80" s="4">
        <v>391226</v>
      </c>
      <c r="E80" s="4">
        <f>(B80*4+C80+D80)/6</f>
        <v>367624.33333333331</v>
      </c>
      <c r="F80" s="1">
        <v>117.05800000000001</v>
      </c>
      <c r="G80" s="1">
        <v>1271.7561069999999</v>
      </c>
      <c r="H80" s="1"/>
    </row>
    <row r="81" spans="1:8">
      <c r="A81" s="1" t="s">
        <v>5</v>
      </c>
      <c r="B81" s="4">
        <v>351821</v>
      </c>
      <c r="C81" s="4">
        <v>399846</v>
      </c>
      <c r="D81" s="4">
        <v>392395</v>
      </c>
      <c r="E81" s="4">
        <f t="shared" ref="E81:E87" si="14">(B81*4+C81+D81)/6</f>
        <v>366587.5</v>
      </c>
      <c r="F81" s="1">
        <v>76.197999999999993</v>
      </c>
      <c r="G81" s="1">
        <v>5933.4641170000004</v>
      </c>
      <c r="H81" s="1"/>
    </row>
    <row r="82" spans="1:8">
      <c r="A82" s="1" t="s">
        <v>6</v>
      </c>
      <c r="B82" s="4">
        <v>352431</v>
      </c>
      <c r="C82" s="4">
        <v>402186</v>
      </c>
      <c r="D82" s="4">
        <v>392231</v>
      </c>
      <c r="E82" s="4">
        <f t="shared" si="14"/>
        <v>367356.83333333331</v>
      </c>
      <c r="F82" s="1">
        <v>95.463999999999999</v>
      </c>
      <c r="G82" s="1">
        <v>1620.3677600000001</v>
      </c>
      <c r="H82" s="1"/>
    </row>
    <row r="83" spans="1:8">
      <c r="A83" s="1" t="s">
        <v>10</v>
      </c>
      <c r="B83" s="4">
        <v>350957</v>
      </c>
      <c r="C83" s="4">
        <v>405042</v>
      </c>
      <c r="D83" s="4">
        <v>400265</v>
      </c>
      <c r="E83" s="4">
        <f t="shared" si="14"/>
        <v>368189.16666666669</v>
      </c>
      <c r="F83" s="1">
        <v>90.37</v>
      </c>
      <c r="G83" s="1">
        <v>6346.111191</v>
      </c>
      <c r="H83" s="1"/>
    </row>
    <row r="84" spans="1:8">
      <c r="A84" s="1" t="s">
        <v>11</v>
      </c>
      <c r="B84" s="4">
        <v>347015</v>
      </c>
      <c r="C84" s="4">
        <v>402079</v>
      </c>
      <c r="D84" s="4">
        <v>391372</v>
      </c>
      <c r="E84" s="4">
        <f t="shared" si="14"/>
        <v>363585.16666666669</v>
      </c>
      <c r="F84" s="1">
        <v>118.498</v>
      </c>
      <c r="G84" s="1">
        <v>2067.0684289999999</v>
      </c>
      <c r="H84" s="1"/>
    </row>
    <row r="85" spans="1:8">
      <c r="A85" s="1" t="s">
        <v>12</v>
      </c>
      <c r="B85" s="4">
        <v>348130</v>
      </c>
      <c r="C85" s="4">
        <v>402533</v>
      </c>
      <c r="D85" s="4">
        <v>397035</v>
      </c>
      <c r="E85" s="4">
        <f t="shared" si="14"/>
        <v>365348</v>
      </c>
      <c r="F85" s="1">
        <v>107.994</v>
      </c>
      <c r="G85" s="1">
        <v>6988.9892280000004</v>
      </c>
      <c r="H85" s="1"/>
    </row>
    <row r="86" spans="1:8">
      <c r="A86" s="1" t="s">
        <v>13</v>
      </c>
      <c r="B86" s="4">
        <v>341280</v>
      </c>
      <c r="C86" s="4">
        <v>393783</v>
      </c>
      <c r="D86" s="4">
        <v>386094</v>
      </c>
      <c r="E86" s="4">
        <f t="shared" si="14"/>
        <v>357499.5</v>
      </c>
      <c r="F86" s="1">
        <v>153.72200000000001</v>
      </c>
      <c r="G86" s="1">
        <v>2512.3526040000002</v>
      </c>
      <c r="H86" s="1"/>
    </row>
    <row r="87" spans="1:8">
      <c r="A87" s="1" t="s">
        <v>14</v>
      </c>
      <c r="B87" s="4">
        <v>340951</v>
      </c>
      <c r="C87" s="4">
        <v>404337</v>
      </c>
      <c r="D87" s="4">
        <v>396418</v>
      </c>
      <c r="E87" s="4">
        <f t="shared" si="14"/>
        <v>360759.83333333331</v>
      </c>
      <c r="F87" s="1">
        <v>143.41</v>
      </c>
      <c r="G87" s="1">
        <v>2909.1982090000001</v>
      </c>
      <c r="H87" s="1"/>
    </row>
    <row r="88" spans="1:8">
      <c r="A88" s="1" t="s">
        <v>7</v>
      </c>
      <c r="B88" s="4">
        <f>AVERAGE(B80:B87)</f>
        <v>348480.5</v>
      </c>
      <c r="C88" s="4">
        <f t="shared" ref="C88:G88" si="15">AVERAGE(C80:C87)</f>
        <v>400411.25</v>
      </c>
      <c r="D88" s="4">
        <f t="shared" si="15"/>
        <v>393379.5</v>
      </c>
      <c r="E88" s="4">
        <f t="shared" si="15"/>
        <v>364618.79166666669</v>
      </c>
      <c r="F88" s="5">
        <f t="shared" si="15"/>
        <v>112.83924999999999</v>
      </c>
      <c r="G88" s="5">
        <f t="shared" si="15"/>
        <v>3706.1634556250001</v>
      </c>
      <c r="H88" s="1" t="s">
        <v>55</v>
      </c>
    </row>
    <row r="90" spans="1:8">
      <c r="A90" s="1" t="s">
        <v>62</v>
      </c>
      <c r="B90" s="1"/>
      <c r="C90" s="1"/>
      <c r="D90" s="1"/>
      <c r="E90" s="1"/>
      <c r="F90" s="1"/>
      <c r="G90" s="1"/>
      <c r="H90" s="1"/>
    </row>
    <row r="91" spans="1:8">
      <c r="A91" s="1" t="s">
        <v>4</v>
      </c>
      <c r="B91" s="4">
        <v>378992</v>
      </c>
      <c r="C91" s="4">
        <v>418643</v>
      </c>
      <c r="D91" s="4">
        <v>413391</v>
      </c>
      <c r="E91" s="4">
        <f>(B91*4+C91+D91)/6</f>
        <v>391333.66666666669</v>
      </c>
      <c r="F91" s="1">
        <v>742.59400000000005</v>
      </c>
      <c r="G91" s="1">
        <v>956.85541599999999</v>
      </c>
      <c r="H91" s="1"/>
    </row>
    <row r="92" spans="1:8">
      <c r="A92" s="1" t="s">
        <v>5</v>
      </c>
      <c r="B92" s="4">
        <v>377755</v>
      </c>
      <c r="C92" s="4">
        <v>418872</v>
      </c>
      <c r="D92" s="4">
        <v>412239</v>
      </c>
      <c r="E92" s="4">
        <f t="shared" ref="E92:E98" si="16">(B92*4+C92+D92)/6</f>
        <v>390355.16666666669</v>
      </c>
      <c r="F92" s="1">
        <v>650.12</v>
      </c>
      <c r="G92" s="1">
        <v>6472.0708130000003</v>
      </c>
      <c r="H92" s="1"/>
    </row>
    <row r="93" spans="1:8">
      <c r="A93" s="1" t="s">
        <v>6</v>
      </c>
      <c r="B93" s="4">
        <v>381696</v>
      </c>
      <c r="C93" s="4">
        <v>424015</v>
      </c>
      <c r="D93" s="4">
        <v>415946</v>
      </c>
      <c r="E93" s="4">
        <f t="shared" si="16"/>
        <v>394457.5</v>
      </c>
      <c r="F93" s="1">
        <v>645.58399999999995</v>
      </c>
      <c r="G93" s="1">
        <v>1172.5354990000001</v>
      </c>
      <c r="H93" s="1"/>
    </row>
    <row r="94" spans="1:8">
      <c r="A94" s="1" t="s">
        <v>10</v>
      </c>
      <c r="B94" s="4">
        <v>381543</v>
      </c>
      <c r="C94" s="4">
        <v>421221</v>
      </c>
      <c r="D94" s="4">
        <v>419943</v>
      </c>
      <c r="E94" s="4">
        <f t="shared" si="16"/>
        <v>394556</v>
      </c>
      <c r="F94" s="1">
        <v>574.63800000000003</v>
      </c>
      <c r="G94" s="1">
        <v>6137.2782470000002</v>
      </c>
      <c r="H94" s="1"/>
    </row>
    <row r="95" spans="1:8">
      <c r="A95" s="1" t="s">
        <v>11</v>
      </c>
      <c r="B95" s="4">
        <v>381190</v>
      </c>
      <c r="C95" s="4">
        <v>419915</v>
      </c>
      <c r="D95" s="4">
        <v>416076</v>
      </c>
      <c r="E95" s="4">
        <f t="shared" si="16"/>
        <v>393458.5</v>
      </c>
      <c r="F95" s="1">
        <v>682.31600000000003</v>
      </c>
      <c r="G95" s="1">
        <v>1163.730714</v>
      </c>
      <c r="H95" s="1"/>
    </row>
    <row r="96" spans="1:8">
      <c r="A96" s="1" t="s">
        <v>12</v>
      </c>
      <c r="B96" s="4">
        <v>390377</v>
      </c>
      <c r="C96" s="4">
        <v>430805</v>
      </c>
      <c r="D96" s="4">
        <v>426329</v>
      </c>
      <c r="E96" s="4">
        <f t="shared" si="16"/>
        <v>403107</v>
      </c>
      <c r="F96" s="1">
        <v>490.21600000000001</v>
      </c>
      <c r="G96" s="1">
        <v>6982.9884650000004</v>
      </c>
      <c r="H96" s="1"/>
    </row>
    <row r="97" spans="1:8">
      <c r="A97" s="1" t="s">
        <v>13</v>
      </c>
      <c r="B97" s="4">
        <v>374135</v>
      </c>
      <c r="C97" s="4">
        <v>416777</v>
      </c>
      <c r="D97" s="4">
        <v>409275</v>
      </c>
      <c r="E97" s="4">
        <f t="shared" si="16"/>
        <v>387098.66666666669</v>
      </c>
      <c r="F97" s="1">
        <v>817.19799999999998</v>
      </c>
      <c r="G97" s="1">
        <v>1277.457179</v>
      </c>
      <c r="H97" s="1"/>
    </row>
    <row r="98" spans="1:8">
      <c r="A98" s="1" t="s">
        <v>14</v>
      </c>
      <c r="B98" s="4">
        <v>381585</v>
      </c>
      <c r="C98" s="4">
        <v>419192</v>
      </c>
      <c r="D98" s="4">
        <v>414452</v>
      </c>
      <c r="E98" s="4">
        <f t="shared" si="16"/>
        <v>393330.66666666669</v>
      </c>
      <c r="F98" s="1">
        <v>711.9</v>
      </c>
      <c r="G98" s="1">
        <v>1523.087403</v>
      </c>
      <c r="H98" s="1"/>
    </row>
    <row r="99" spans="1:8">
      <c r="A99" s="1" t="s">
        <v>7</v>
      </c>
      <c r="B99" s="4">
        <f>AVERAGE(B91:B98)</f>
        <v>380909.125</v>
      </c>
      <c r="C99" s="4">
        <f t="shared" ref="C99:G99" si="17">AVERAGE(C91:C98)</f>
        <v>421180</v>
      </c>
      <c r="D99" s="4">
        <f t="shared" si="17"/>
        <v>415956.375</v>
      </c>
      <c r="E99" s="4">
        <f t="shared" si="17"/>
        <v>393462.14583333331</v>
      </c>
      <c r="F99" s="5">
        <f t="shared" si="17"/>
        <v>664.32074999999986</v>
      </c>
      <c r="G99" s="5">
        <f t="shared" si="17"/>
        <v>3210.7504670000003</v>
      </c>
      <c r="H99" s="1" t="s">
        <v>66</v>
      </c>
    </row>
    <row r="101" spans="1:8">
      <c r="A101" s="1" t="s">
        <v>63</v>
      </c>
      <c r="B101" s="1"/>
      <c r="C101" s="1"/>
      <c r="D101" s="1"/>
      <c r="E101" s="1"/>
      <c r="F101" s="1"/>
      <c r="G101" s="1"/>
      <c r="H101" s="1"/>
    </row>
    <row r="102" spans="1:8">
      <c r="A102" s="1" t="s">
        <v>4</v>
      </c>
      <c r="B102" s="4">
        <v>365261</v>
      </c>
      <c r="C102" s="4">
        <v>407700</v>
      </c>
      <c r="D102" s="4">
        <v>401040</v>
      </c>
      <c r="E102" s="4">
        <f>(B102*4+C102+D102)/6</f>
        <v>378297.33333333331</v>
      </c>
      <c r="F102" s="1">
        <v>364.39600000000002</v>
      </c>
      <c r="G102" s="1">
        <v>908.65661999999998</v>
      </c>
      <c r="H102" s="1"/>
    </row>
    <row r="103" spans="1:8">
      <c r="A103" s="1" t="s">
        <v>5</v>
      </c>
      <c r="B103" s="4">
        <v>364469</v>
      </c>
      <c r="C103" s="4">
        <v>409762</v>
      </c>
      <c r="D103" s="4">
        <v>400688</v>
      </c>
      <c r="E103" s="4">
        <f t="shared" ref="E103:E109" si="18">(B103*4+C103+D103)/6</f>
        <v>378054.33333333331</v>
      </c>
      <c r="F103" s="1">
        <v>265.74799999999999</v>
      </c>
      <c r="G103" s="1">
        <v>5411.8364810000003</v>
      </c>
      <c r="H103" s="1"/>
    </row>
    <row r="104" spans="1:8">
      <c r="A104" s="1" t="s">
        <v>6</v>
      </c>
      <c r="B104" s="4">
        <v>368199</v>
      </c>
      <c r="C104" s="4">
        <v>415183</v>
      </c>
      <c r="D104" s="4">
        <v>403348</v>
      </c>
      <c r="E104" s="4">
        <f t="shared" si="18"/>
        <v>381887.83333333331</v>
      </c>
      <c r="F104" s="1">
        <v>280.262</v>
      </c>
      <c r="G104" s="1">
        <v>1062.918128</v>
      </c>
      <c r="H104" s="1"/>
    </row>
    <row r="105" spans="1:8">
      <c r="A105" s="1" t="s">
        <v>10</v>
      </c>
      <c r="B105" s="4">
        <v>367812</v>
      </c>
      <c r="C105" s="4">
        <v>411390</v>
      </c>
      <c r="D105" s="4">
        <v>409524</v>
      </c>
      <c r="E105" s="4">
        <f t="shared" si="18"/>
        <v>382027</v>
      </c>
      <c r="F105" s="1">
        <v>233.31</v>
      </c>
      <c r="G105" s="1">
        <v>5137.4320200000002</v>
      </c>
      <c r="H105" s="1"/>
    </row>
    <row r="106" spans="1:8">
      <c r="A106" s="1" t="s">
        <v>11</v>
      </c>
      <c r="B106" s="4">
        <v>366696</v>
      </c>
      <c r="C106" s="4">
        <v>409123</v>
      </c>
      <c r="D106" s="4">
        <v>402492</v>
      </c>
      <c r="E106" s="4">
        <f t="shared" si="18"/>
        <v>379733.16666666669</v>
      </c>
      <c r="F106" s="1">
        <v>312.04000000000002</v>
      </c>
      <c r="G106" s="1">
        <v>1076.3571589999999</v>
      </c>
      <c r="H106" s="1"/>
    </row>
    <row r="107" spans="1:8">
      <c r="A107" s="1" t="s">
        <v>12</v>
      </c>
      <c r="B107" s="4">
        <v>376749</v>
      </c>
      <c r="C107" s="4">
        <v>421823</v>
      </c>
      <c r="D107" s="4">
        <v>415929</v>
      </c>
      <c r="E107" s="4">
        <f t="shared" si="18"/>
        <v>390791.33333333331</v>
      </c>
      <c r="F107" s="1">
        <v>226.11199999999999</v>
      </c>
      <c r="G107" s="1">
        <v>5963.5750159999998</v>
      </c>
      <c r="H107" s="1"/>
    </row>
    <row r="108" spans="1:8">
      <c r="A108" s="1" t="s">
        <v>13</v>
      </c>
      <c r="B108" s="4">
        <v>361124</v>
      </c>
      <c r="C108" s="4">
        <v>408330</v>
      </c>
      <c r="D108" s="4">
        <v>398407</v>
      </c>
      <c r="E108" s="4">
        <f t="shared" si="18"/>
        <v>375205.5</v>
      </c>
      <c r="F108" s="1">
        <v>346.24400000000003</v>
      </c>
      <c r="G108" s="1">
        <v>1139.514036</v>
      </c>
      <c r="H108" s="1"/>
    </row>
    <row r="109" spans="1:8">
      <c r="A109" s="1" t="s">
        <v>14</v>
      </c>
      <c r="B109" s="4">
        <v>367251</v>
      </c>
      <c r="C109" s="4">
        <v>408597</v>
      </c>
      <c r="D109" s="4">
        <v>402717</v>
      </c>
      <c r="E109" s="4">
        <f t="shared" si="18"/>
        <v>380053</v>
      </c>
      <c r="F109" s="1">
        <v>345.93599999999998</v>
      </c>
      <c r="G109" s="1">
        <v>1404.0096169999999</v>
      </c>
      <c r="H109" s="1"/>
    </row>
    <row r="110" spans="1:8">
      <c r="A110" s="1" t="s">
        <v>7</v>
      </c>
      <c r="B110" s="4">
        <f>AVERAGE(B102:B109)</f>
        <v>367195.125</v>
      </c>
      <c r="C110" s="4">
        <f t="shared" ref="C110:G110" si="19">AVERAGE(C102:C109)</f>
        <v>411488.5</v>
      </c>
      <c r="D110" s="4">
        <f t="shared" si="19"/>
        <v>404268.125</v>
      </c>
      <c r="E110" s="4">
        <f t="shared" si="19"/>
        <v>380756.1875</v>
      </c>
      <c r="F110" s="5">
        <f t="shared" si="19"/>
        <v>296.75600000000003</v>
      </c>
      <c r="G110" s="5">
        <f t="shared" si="19"/>
        <v>2763.037384625</v>
      </c>
      <c r="H110" s="1" t="s">
        <v>67</v>
      </c>
    </row>
    <row r="112" spans="1:8">
      <c r="A112" s="1" t="s">
        <v>64</v>
      </c>
      <c r="B112" s="1"/>
      <c r="C112" s="1"/>
      <c r="D112" s="1"/>
      <c r="E112" s="1"/>
      <c r="F112" s="1"/>
      <c r="G112" s="1"/>
      <c r="H112" s="1"/>
    </row>
    <row r="113" spans="1:8">
      <c r="A113" s="1" t="s">
        <v>4</v>
      </c>
      <c r="B113" s="4">
        <v>350798</v>
      </c>
      <c r="C113" s="4">
        <v>399998</v>
      </c>
      <c r="D113" s="4">
        <v>392482</v>
      </c>
      <c r="E113" s="4">
        <f>(B113*4+C113+D113)/6</f>
        <v>365945.33333333331</v>
      </c>
      <c r="F113" s="1">
        <v>196.76400000000001</v>
      </c>
      <c r="G113" s="1">
        <v>884.99811699999998</v>
      </c>
      <c r="H113" s="1"/>
    </row>
    <row r="114" spans="1:8">
      <c r="A114" s="1" t="s">
        <v>5</v>
      </c>
      <c r="B114" s="4">
        <v>348689</v>
      </c>
      <c r="C114" s="4">
        <v>402633</v>
      </c>
      <c r="D114" s="4">
        <v>391652</v>
      </c>
      <c r="E114" s="4">
        <f t="shared" ref="E114:E120" si="20">(B114*4+C114+D114)/6</f>
        <v>364840.16666666669</v>
      </c>
      <c r="F114" s="1">
        <v>120.452</v>
      </c>
      <c r="G114" s="1">
        <v>4491.4006870000003</v>
      </c>
      <c r="H114" s="1"/>
    </row>
    <row r="115" spans="1:8">
      <c r="A115" s="1" t="s">
        <v>6</v>
      </c>
      <c r="B115" s="4">
        <v>352567</v>
      </c>
      <c r="C115" s="4">
        <v>408022</v>
      </c>
      <c r="D115" s="4">
        <v>393203</v>
      </c>
      <c r="E115" s="4">
        <f t="shared" si="20"/>
        <v>368582.16666666669</v>
      </c>
      <c r="F115" s="1">
        <v>135.892</v>
      </c>
      <c r="G115" s="1">
        <v>1002.275407</v>
      </c>
      <c r="H115" s="1"/>
    </row>
    <row r="116" spans="1:8">
      <c r="A116" s="1" t="s">
        <v>10</v>
      </c>
      <c r="B116" s="4">
        <v>352412</v>
      </c>
      <c r="C116" s="4">
        <v>404851</v>
      </c>
      <c r="D116" s="4">
        <v>402510</v>
      </c>
      <c r="E116" s="4">
        <f t="shared" si="20"/>
        <v>369501.5</v>
      </c>
      <c r="F116" s="1">
        <v>108.26600000000001</v>
      </c>
      <c r="G116" s="1">
        <v>4304.458611</v>
      </c>
      <c r="H116" s="1"/>
    </row>
    <row r="117" spans="1:8">
      <c r="A117" s="1" t="s">
        <v>11</v>
      </c>
      <c r="B117" s="4">
        <v>350088</v>
      </c>
      <c r="C117" s="4">
        <v>401476</v>
      </c>
      <c r="D117" s="4">
        <v>391342</v>
      </c>
      <c r="E117" s="4">
        <f t="shared" si="20"/>
        <v>365528.33333333331</v>
      </c>
      <c r="F117" s="1">
        <v>152.45599999999999</v>
      </c>
      <c r="G117" s="1">
        <v>1018.74547</v>
      </c>
      <c r="H117" s="1"/>
    </row>
    <row r="118" spans="1:8">
      <c r="A118" s="1" t="s">
        <v>12</v>
      </c>
      <c r="B118" s="4">
        <v>360205</v>
      </c>
      <c r="C118" s="4">
        <v>414429</v>
      </c>
      <c r="D118" s="4">
        <v>408262</v>
      </c>
      <c r="E118" s="4">
        <f t="shared" si="20"/>
        <v>377251.83333333331</v>
      </c>
      <c r="F118" s="1">
        <v>114.91</v>
      </c>
      <c r="G118" s="1">
        <v>5057.7036850000004</v>
      </c>
      <c r="H118" s="1"/>
    </row>
    <row r="119" spans="1:8">
      <c r="A119" s="1" t="s">
        <v>13</v>
      </c>
      <c r="B119" s="4">
        <v>346813</v>
      </c>
      <c r="C119" s="4">
        <v>402048</v>
      </c>
      <c r="D119" s="4">
        <v>389974</v>
      </c>
      <c r="E119" s="4">
        <f t="shared" si="20"/>
        <v>363212.33333333331</v>
      </c>
      <c r="F119" s="1">
        <v>170.048</v>
      </c>
      <c r="G119" s="1">
        <v>1061.6805059999999</v>
      </c>
      <c r="H119" s="1"/>
    </row>
    <row r="120" spans="1:8">
      <c r="A120" s="1" t="s">
        <v>14</v>
      </c>
      <c r="B120" s="4">
        <v>350227</v>
      </c>
      <c r="C120" s="4">
        <v>401637</v>
      </c>
      <c r="D120" s="4">
        <v>395215</v>
      </c>
      <c r="E120" s="4">
        <f t="shared" si="20"/>
        <v>366293.33333333331</v>
      </c>
      <c r="F120" s="1">
        <v>177.172</v>
      </c>
      <c r="G120" s="1">
        <v>1311.4676850000001</v>
      </c>
      <c r="H120" s="1"/>
    </row>
    <row r="121" spans="1:8">
      <c r="A121" s="1" t="s">
        <v>7</v>
      </c>
      <c r="B121" s="4">
        <f>AVERAGE(B113:B120)</f>
        <v>351474.875</v>
      </c>
      <c r="C121" s="4">
        <f t="shared" ref="C121:G121" si="21">AVERAGE(C113:C120)</f>
        <v>404386.75</v>
      </c>
      <c r="D121" s="4">
        <f t="shared" si="21"/>
        <v>395580</v>
      </c>
      <c r="E121" s="4">
        <f t="shared" si="21"/>
        <v>367644.37500000006</v>
      </c>
      <c r="F121" s="5">
        <f t="shared" si="21"/>
        <v>146.995</v>
      </c>
      <c r="G121" s="5">
        <f t="shared" si="21"/>
        <v>2391.5912710000002</v>
      </c>
      <c r="H121" s="1" t="s">
        <v>68</v>
      </c>
    </row>
    <row r="123" spans="1:8">
      <c r="A123" s="1" t="s">
        <v>65</v>
      </c>
      <c r="B123" s="1"/>
      <c r="C123" s="1"/>
      <c r="D123" s="1"/>
      <c r="E123" s="1"/>
      <c r="F123" s="1"/>
      <c r="G123" s="1"/>
      <c r="H123" s="1"/>
    </row>
    <row r="124" spans="1:8">
      <c r="A124" s="1" t="s">
        <v>4</v>
      </c>
      <c r="B124" s="4">
        <v>336059</v>
      </c>
      <c r="C124" s="4">
        <v>391604</v>
      </c>
      <c r="D124" s="4">
        <v>383100</v>
      </c>
      <c r="E124" s="4">
        <f>(B124*4+C124+D124)/6</f>
        <v>353156.66666666669</v>
      </c>
      <c r="F124" s="1">
        <v>115.026</v>
      </c>
      <c r="G124" s="1">
        <v>859.88111000000004</v>
      </c>
      <c r="H124" s="1"/>
    </row>
    <row r="125" spans="1:8">
      <c r="A125" s="1" t="s">
        <v>5</v>
      </c>
      <c r="B125" s="4">
        <v>330997</v>
      </c>
      <c r="C125" s="4">
        <v>395144</v>
      </c>
      <c r="D125" s="4">
        <v>382031</v>
      </c>
      <c r="E125" s="4">
        <f t="shared" ref="E125:E131" si="22">(B125*4+C125+D125)/6</f>
        <v>350193.83333333331</v>
      </c>
      <c r="F125" s="1">
        <v>59.304000000000002</v>
      </c>
      <c r="G125" s="1">
        <v>3761.1073310000002</v>
      </c>
      <c r="H125" s="1"/>
    </row>
    <row r="126" spans="1:8">
      <c r="A126" s="1" t="s">
        <v>6</v>
      </c>
      <c r="B126" s="4">
        <v>335449</v>
      </c>
      <c r="C126" s="4">
        <v>399621</v>
      </c>
      <c r="D126" s="4">
        <v>382547</v>
      </c>
      <c r="E126" s="4">
        <f t="shared" si="22"/>
        <v>353994</v>
      </c>
      <c r="F126" s="1">
        <v>70.006</v>
      </c>
      <c r="G126" s="1">
        <v>952.88612799999999</v>
      </c>
      <c r="H126" s="1"/>
    </row>
    <row r="127" spans="1:8">
      <c r="A127" s="1" t="s">
        <v>10</v>
      </c>
      <c r="B127" s="4">
        <v>335107</v>
      </c>
      <c r="C127" s="4">
        <v>397671</v>
      </c>
      <c r="D127" s="4">
        <v>393975</v>
      </c>
      <c r="E127" s="4">
        <f t="shared" si="22"/>
        <v>355345.66666666669</v>
      </c>
      <c r="F127" s="1">
        <v>53.988</v>
      </c>
      <c r="G127" s="1">
        <v>3622.9572469999998</v>
      </c>
      <c r="H127" s="1"/>
    </row>
    <row r="128" spans="1:8">
      <c r="A128" s="1" t="s">
        <v>11</v>
      </c>
      <c r="B128" s="4">
        <v>332482</v>
      </c>
      <c r="C128" s="4">
        <v>393822</v>
      </c>
      <c r="D128" s="4">
        <v>378337</v>
      </c>
      <c r="E128" s="4">
        <f t="shared" si="22"/>
        <v>350347.83333333331</v>
      </c>
      <c r="F128" s="1">
        <v>78.441999999999993</v>
      </c>
      <c r="G128" s="1">
        <v>960.81437800000003</v>
      </c>
      <c r="H128" s="1"/>
    </row>
    <row r="129" spans="1:8">
      <c r="A129" s="1" t="s">
        <v>12</v>
      </c>
      <c r="B129" s="4">
        <v>340603</v>
      </c>
      <c r="C129" s="4">
        <v>407049</v>
      </c>
      <c r="D129" s="4">
        <v>397836</v>
      </c>
      <c r="E129" s="4">
        <f t="shared" si="22"/>
        <v>361216.16666666669</v>
      </c>
      <c r="F129" s="1">
        <v>61.886000000000003</v>
      </c>
      <c r="G129" s="1">
        <v>4222.8098840000002</v>
      </c>
      <c r="H129" s="1"/>
    </row>
    <row r="130" spans="1:8">
      <c r="A130" s="1" t="s">
        <v>13</v>
      </c>
      <c r="B130" s="4">
        <v>330262</v>
      </c>
      <c r="C130" s="4">
        <v>394764</v>
      </c>
      <c r="D130" s="4">
        <v>379915</v>
      </c>
      <c r="E130" s="4">
        <f t="shared" si="22"/>
        <v>349287.83333333331</v>
      </c>
      <c r="F130" s="1">
        <v>89.641999999999996</v>
      </c>
      <c r="G130" s="1">
        <v>998.45520199999999</v>
      </c>
      <c r="H130" s="1"/>
    </row>
    <row r="131" spans="1:8">
      <c r="A131" s="1" t="s">
        <v>14</v>
      </c>
      <c r="B131" s="4">
        <v>331662</v>
      </c>
      <c r="C131" s="4">
        <v>394301</v>
      </c>
      <c r="D131" s="4">
        <v>386941</v>
      </c>
      <c r="E131" s="4">
        <f t="shared" si="22"/>
        <v>351315</v>
      </c>
      <c r="F131" s="1">
        <v>92.162000000000006</v>
      </c>
      <c r="G131" s="1">
        <v>1219.3126769999999</v>
      </c>
      <c r="H131" s="1"/>
    </row>
    <row r="132" spans="1:8">
      <c r="A132" s="1" t="s">
        <v>7</v>
      </c>
      <c r="B132" s="4">
        <f>AVERAGE(B124:B131)</f>
        <v>334077.625</v>
      </c>
      <c r="C132" s="4">
        <f t="shared" ref="C132:G132" si="23">AVERAGE(C124:C131)</f>
        <v>396747</v>
      </c>
      <c r="D132" s="4">
        <f t="shared" si="23"/>
        <v>385585.25</v>
      </c>
      <c r="E132" s="4">
        <f t="shared" si="23"/>
        <v>353107.125</v>
      </c>
      <c r="F132" s="5">
        <f t="shared" si="23"/>
        <v>77.557000000000002</v>
      </c>
      <c r="G132" s="5">
        <f t="shared" si="23"/>
        <v>2074.7779946250002</v>
      </c>
      <c r="H132" s="1" t="s">
        <v>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33"/>
  <sheetViews>
    <sheetView workbookViewId="0">
      <selection activeCell="K12" sqref="K12"/>
    </sheetView>
  </sheetViews>
  <sheetFormatPr defaultRowHeight="13.5"/>
  <cols>
    <col min="2" max="13" width="9" style="1"/>
    <col min="14" max="14" width="9.625" style="1" customWidth="1"/>
    <col min="15" max="15" width="9" style="1"/>
  </cols>
  <sheetData>
    <row r="1" spans="1:16" ht="14.25">
      <c r="B1" s="2" t="s">
        <v>0</v>
      </c>
      <c r="C1" s="2" t="s">
        <v>1</v>
      </c>
      <c r="D1" s="2" t="s">
        <v>2</v>
      </c>
      <c r="E1" s="2" t="s">
        <v>17</v>
      </c>
      <c r="F1" s="2" t="s">
        <v>3</v>
      </c>
      <c r="G1" s="2" t="s">
        <v>38</v>
      </c>
      <c r="H1" s="3" t="s">
        <v>8</v>
      </c>
      <c r="I1" s="3"/>
      <c r="K1" s="2"/>
      <c r="L1" s="2" t="s">
        <v>3</v>
      </c>
      <c r="M1" s="2" t="s">
        <v>38</v>
      </c>
      <c r="N1" s="3" t="s">
        <v>199</v>
      </c>
    </row>
    <row r="2" spans="1:16">
      <c r="A2" s="1" t="s">
        <v>37</v>
      </c>
    </row>
    <row r="3" spans="1:16">
      <c r="A3" s="1" t="s">
        <v>4</v>
      </c>
      <c r="B3" s="4">
        <v>385029</v>
      </c>
      <c r="C3" s="4">
        <v>414784</v>
      </c>
      <c r="D3" s="4">
        <v>413524</v>
      </c>
      <c r="E3" s="4">
        <f>(B3*4+C3+D3)/6</f>
        <v>394737.33333333331</v>
      </c>
      <c r="F3" s="1">
        <v>1277.4259999999999</v>
      </c>
      <c r="G3" s="1">
        <v>361.30092300000001</v>
      </c>
      <c r="K3" s="4"/>
      <c r="L3" s="1">
        <v>1277.2539999999999</v>
      </c>
      <c r="M3" s="1">
        <v>325.446911</v>
      </c>
    </row>
    <row r="4" spans="1:16">
      <c r="A4" s="1" t="s">
        <v>5</v>
      </c>
      <c r="B4" s="4">
        <v>383255</v>
      </c>
      <c r="C4" s="4">
        <v>415618</v>
      </c>
      <c r="D4" s="4">
        <v>412312</v>
      </c>
      <c r="E4" s="4">
        <f t="shared" ref="E4:E10" si="0">(B4*4+C4+D4)/6</f>
        <v>393491.66666666669</v>
      </c>
      <c r="F4" s="1">
        <v>1003.592</v>
      </c>
      <c r="G4" s="1">
        <v>1036.685725</v>
      </c>
      <c r="K4" s="4"/>
      <c r="L4" s="1">
        <v>1002.788</v>
      </c>
      <c r="M4" s="1">
        <v>1007.613572</v>
      </c>
    </row>
    <row r="5" spans="1:16">
      <c r="A5" s="1" t="s">
        <v>6</v>
      </c>
      <c r="B5" s="4">
        <v>386418</v>
      </c>
      <c r="C5" s="4">
        <v>417849</v>
      </c>
      <c r="D5" s="4">
        <v>415249</v>
      </c>
      <c r="E5" s="4">
        <f t="shared" si="0"/>
        <v>396461.66666666669</v>
      </c>
      <c r="F5" s="1">
        <v>1156</v>
      </c>
      <c r="G5" s="1">
        <v>395.94972000000001</v>
      </c>
      <c r="K5" s="4"/>
      <c r="L5" s="1">
        <v>1156.232</v>
      </c>
      <c r="M5" s="1">
        <v>362.92805499999997</v>
      </c>
    </row>
    <row r="6" spans="1:16">
      <c r="A6" s="1" t="s">
        <v>10</v>
      </c>
      <c r="B6" s="4">
        <v>385061</v>
      </c>
      <c r="C6" s="4">
        <v>414276</v>
      </c>
      <c r="D6" s="4">
        <v>413653</v>
      </c>
      <c r="E6" s="4">
        <f t="shared" si="0"/>
        <v>394695.5</v>
      </c>
      <c r="F6" s="1">
        <v>972.73</v>
      </c>
      <c r="G6" s="1">
        <v>993.12125800000001</v>
      </c>
      <c r="K6" s="4"/>
      <c r="L6" s="1">
        <v>971.86599999999999</v>
      </c>
      <c r="M6" s="1">
        <v>962.43044199999997</v>
      </c>
    </row>
    <row r="7" spans="1:16">
      <c r="A7" s="1" t="s">
        <v>11</v>
      </c>
      <c r="B7" s="4">
        <v>383798</v>
      </c>
      <c r="C7" s="4">
        <v>413091</v>
      </c>
      <c r="D7" s="4">
        <v>410360</v>
      </c>
      <c r="E7" s="4">
        <f t="shared" si="0"/>
        <v>393107.16666666669</v>
      </c>
      <c r="F7" s="1">
        <v>1272.836</v>
      </c>
      <c r="G7" s="1">
        <v>401.65628099999998</v>
      </c>
      <c r="K7" s="4"/>
      <c r="L7" s="1">
        <v>1273.3320000000001</v>
      </c>
      <c r="M7" s="1">
        <v>369.03191299999997</v>
      </c>
    </row>
    <row r="8" spans="1:16">
      <c r="A8" s="1" t="s">
        <v>12</v>
      </c>
      <c r="B8" s="4">
        <v>390765</v>
      </c>
      <c r="C8" s="4">
        <v>418512</v>
      </c>
      <c r="D8" s="4">
        <v>417437</v>
      </c>
      <c r="E8" s="4">
        <f t="shared" si="0"/>
        <v>399834.83333333331</v>
      </c>
      <c r="F8" s="1">
        <v>934.21</v>
      </c>
      <c r="G8" s="1">
        <v>1025.0996279999999</v>
      </c>
      <c r="K8" s="4"/>
      <c r="L8" s="1">
        <v>933.60599999999999</v>
      </c>
      <c r="M8" s="1">
        <v>993.10080500000004</v>
      </c>
    </row>
    <row r="9" spans="1:16">
      <c r="A9" s="1" t="s">
        <v>13</v>
      </c>
      <c r="B9" s="4">
        <v>379910</v>
      </c>
      <c r="C9" s="4">
        <v>412531</v>
      </c>
      <c r="D9" s="4">
        <v>410575</v>
      </c>
      <c r="E9" s="4">
        <f t="shared" si="0"/>
        <v>390457.66666666669</v>
      </c>
      <c r="F9" s="1">
        <v>1274.0260000000001</v>
      </c>
      <c r="G9" s="1">
        <v>409.86297300000001</v>
      </c>
      <c r="K9" s="4"/>
      <c r="L9" s="1">
        <v>1270.5740000000001</v>
      </c>
      <c r="M9" s="1">
        <v>378.93347</v>
      </c>
    </row>
    <row r="10" spans="1:16">
      <c r="A10" s="1" t="s">
        <v>14</v>
      </c>
      <c r="B10" s="4">
        <v>382911</v>
      </c>
      <c r="C10" s="4">
        <v>411272</v>
      </c>
      <c r="D10" s="4">
        <v>408147</v>
      </c>
      <c r="E10" s="4">
        <f t="shared" si="0"/>
        <v>391843.83333333331</v>
      </c>
      <c r="F10" s="1">
        <v>1341.63</v>
      </c>
      <c r="G10" s="1">
        <v>440.75850600000001</v>
      </c>
      <c r="K10" s="4"/>
      <c r="L10" s="1">
        <v>1340.6959999999999</v>
      </c>
      <c r="M10" s="1">
        <v>409.48428100000001</v>
      </c>
    </row>
    <row r="11" spans="1:16">
      <c r="A11" s="1" t="s">
        <v>7</v>
      </c>
      <c r="B11" s="4">
        <f>AVERAGE(B3:B10)</f>
        <v>384643.375</v>
      </c>
      <c r="C11" s="4">
        <f t="shared" ref="C11:G11" si="1">AVERAGE(C3:C10)</f>
        <v>414741.625</v>
      </c>
      <c r="D11" s="4">
        <f t="shared" si="1"/>
        <v>412657.125</v>
      </c>
      <c r="E11" s="4">
        <f t="shared" si="1"/>
        <v>394328.70833333337</v>
      </c>
      <c r="F11" s="5">
        <f t="shared" si="1"/>
        <v>1154.0562500000001</v>
      </c>
      <c r="G11" s="5">
        <f t="shared" si="1"/>
        <v>633.05437675000007</v>
      </c>
      <c r="H11" s="1" t="s">
        <v>184</v>
      </c>
      <c r="I11" s="1">
        <f>6*3600+49*60+43</f>
        <v>24583</v>
      </c>
      <c r="K11" s="4">
        <v>394311</v>
      </c>
      <c r="L11" s="5">
        <f t="shared" ref="L11:M11" si="2">AVERAGE(L3:L10)</f>
        <v>1153.2935</v>
      </c>
      <c r="M11" s="5">
        <f t="shared" si="2"/>
        <v>601.12118112500002</v>
      </c>
      <c r="N11" s="1" t="s">
        <v>93</v>
      </c>
      <c r="O11" s="1">
        <f>6*3600+45*60+30</f>
        <v>24330</v>
      </c>
    </row>
    <row r="12" spans="1:16">
      <c r="K12" s="6">
        <f>K11-E11</f>
        <v>-17.708333333372138</v>
      </c>
      <c r="L12" s="18">
        <f>L11-F11</f>
        <v>-0.76275000000009641</v>
      </c>
      <c r="M12" s="18">
        <f>M11-G11</f>
        <v>-31.933195625000053</v>
      </c>
      <c r="N12" s="4"/>
      <c r="O12" s="19">
        <f>O11-I11</f>
        <v>-253</v>
      </c>
      <c r="P12" s="19">
        <f>(I11-O11)/I11</f>
        <v>1.0291664971728431E-2</v>
      </c>
    </row>
    <row r="13" spans="1:16">
      <c r="A13" s="1" t="s">
        <v>39</v>
      </c>
    </row>
    <row r="14" spans="1:16">
      <c r="A14" s="1" t="s">
        <v>4</v>
      </c>
      <c r="B14" s="4">
        <v>366557</v>
      </c>
      <c r="C14" s="4">
        <v>399475</v>
      </c>
      <c r="D14" s="4">
        <v>397667</v>
      </c>
      <c r="E14" s="4">
        <f>(B14*4+C14+D14)/6</f>
        <v>377228.33333333331</v>
      </c>
      <c r="F14" s="1">
        <v>788.53800000000001</v>
      </c>
      <c r="G14" s="1">
        <v>333.35592200000002</v>
      </c>
      <c r="K14" s="4"/>
      <c r="L14" s="1">
        <v>788.44799999999998</v>
      </c>
      <c r="M14" s="1">
        <v>296.57344399999999</v>
      </c>
    </row>
    <row r="15" spans="1:16">
      <c r="A15" s="1" t="s">
        <v>5</v>
      </c>
      <c r="B15" s="4">
        <v>366375</v>
      </c>
      <c r="C15" s="4">
        <v>402247</v>
      </c>
      <c r="D15" s="4">
        <v>397487</v>
      </c>
      <c r="E15" s="4">
        <f t="shared" ref="E15:E21" si="3">(B15*4+C15+D15)/6</f>
        <v>377539</v>
      </c>
      <c r="F15" s="1">
        <v>565.10599999999999</v>
      </c>
      <c r="G15" s="1">
        <v>927.85873900000001</v>
      </c>
      <c r="K15" s="4"/>
      <c r="L15" s="1">
        <v>563.86800000000005</v>
      </c>
      <c r="M15" s="1">
        <v>885.792327</v>
      </c>
    </row>
    <row r="16" spans="1:16">
      <c r="A16" s="1" t="s">
        <v>6</v>
      </c>
      <c r="B16" s="4">
        <v>368955</v>
      </c>
      <c r="C16" s="4">
        <v>403343</v>
      </c>
      <c r="D16" s="4">
        <v>400380</v>
      </c>
      <c r="E16" s="4">
        <f t="shared" si="3"/>
        <v>379923.83333333331</v>
      </c>
      <c r="F16" s="1">
        <v>683.02599999999995</v>
      </c>
      <c r="G16" s="1">
        <v>364.757927</v>
      </c>
      <c r="K16" s="4"/>
      <c r="L16" s="1">
        <v>682.09199999999998</v>
      </c>
      <c r="M16" s="1">
        <v>330.40236399999998</v>
      </c>
    </row>
    <row r="17" spans="1:16">
      <c r="A17" s="1" t="s">
        <v>10</v>
      </c>
      <c r="B17" s="4">
        <v>365730</v>
      </c>
      <c r="C17" s="4">
        <v>399653</v>
      </c>
      <c r="D17" s="4">
        <v>398486</v>
      </c>
      <c r="E17" s="4">
        <f t="shared" si="3"/>
        <v>376843.16666666669</v>
      </c>
      <c r="F17" s="1">
        <v>541.76</v>
      </c>
      <c r="G17" s="1">
        <v>898.86156200000005</v>
      </c>
      <c r="K17" s="4"/>
      <c r="L17" s="1">
        <v>541.48199999999997</v>
      </c>
      <c r="M17" s="1">
        <v>854.13869799999998</v>
      </c>
    </row>
    <row r="18" spans="1:16">
      <c r="A18" s="1" t="s">
        <v>11</v>
      </c>
      <c r="B18" s="4">
        <v>364473</v>
      </c>
      <c r="C18" s="4">
        <v>397351</v>
      </c>
      <c r="D18" s="4">
        <v>394560</v>
      </c>
      <c r="E18" s="4">
        <f t="shared" si="3"/>
        <v>374967.16666666669</v>
      </c>
      <c r="F18" s="1">
        <v>749.54600000000005</v>
      </c>
      <c r="G18" s="1">
        <v>371.51430399999998</v>
      </c>
      <c r="K18" s="4"/>
      <c r="L18" s="1">
        <v>749.34400000000005</v>
      </c>
      <c r="M18" s="1">
        <v>337.39163000000002</v>
      </c>
    </row>
    <row r="19" spans="1:16">
      <c r="A19" s="1" t="s">
        <v>12</v>
      </c>
      <c r="B19" s="4">
        <v>371744</v>
      </c>
      <c r="C19" s="4">
        <v>402310</v>
      </c>
      <c r="D19" s="4">
        <v>402125</v>
      </c>
      <c r="E19" s="4">
        <f t="shared" si="3"/>
        <v>381901.83333333331</v>
      </c>
      <c r="F19" s="1">
        <v>533.97</v>
      </c>
      <c r="G19" s="1">
        <v>927.006124</v>
      </c>
      <c r="K19" s="4"/>
      <c r="L19" s="1">
        <v>533.572</v>
      </c>
      <c r="M19" s="1">
        <v>879.64693799999998</v>
      </c>
    </row>
    <row r="20" spans="1:16">
      <c r="A20" s="1" t="s">
        <v>13</v>
      </c>
      <c r="B20" s="4">
        <v>363936</v>
      </c>
      <c r="C20" s="4">
        <v>398910</v>
      </c>
      <c r="D20" s="4">
        <v>396389</v>
      </c>
      <c r="E20" s="4">
        <f t="shared" si="3"/>
        <v>375173.83333333331</v>
      </c>
      <c r="F20" s="1">
        <v>729.81600000000003</v>
      </c>
      <c r="G20" s="1">
        <v>378.84241200000002</v>
      </c>
      <c r="K20" s="4"/>
      <c r="L20" s="1">
        <v>726.42600000000004</v>
      </c>
      <c r="M20" s="1">
        <v>345.28568899999999</v>
      </c>
    </row>
    <row r="21" spans="1:16">
      <c r="A21" s="1" t="s">
        <v>14</v>
      </c>
      <c r="B21" s="4">
        <v>363321</v>
      </c>
      <c r="C21" s="4">
        <v>395524</v>
      </c>
      <c r="D21" s="4">
        <v>392147</v>
      </c>
      <c r="E21" s="4">
        <f t="shared" si="3"/>
        <v>373492.5</v>
      </c>
      <c r="F21" s="1">
        <v>784.41800000000001</v>
      </c>
      <c r="G21" s="1">
        <v>408.621399</v>
      </c>
      <c r="K21" s="4"/>
      <c r="L21" s="1">
        <v>783.99599999999998</v>
      </c>
      <c r="M21" s="1">
        <v>375.782579</v>
      </c>
    </row>
    <row r="22" spans="1:16">
      <c r="A22" s="1" t="s">
        <v>7</v>
      </c>
      <c r="B22" s="4">
        <f>AVERAGE(B14:B21)</f>
        <v>366386.375</v>
      </c>
      <c r="C22" s="4">
        <f t="shared" ref="C22:G22" si="4">AVERAGE(C14:C21)</f>
        <v>399851.625</v>
      </c>
      <c r="D22" s="4">
        <f t="shared" si="4"/>
        <v>397405.125</v>
      </c>
      <c r="E22" s="4">
        <f t="shared" si="4"/>
        <v>377133.70833333337</v>
      </c>
      <c r="F22" s="5">
        <f t="shared" si="4"/>
        <v>672.02250000000004</v>
      </c>
      <c r="G22" s="5">
        <f t="shared" si="4"/>
        <v>576.352298625</v>
      </c>
      <c r="H22" s="1" t="s">
        <v>183</v>
      </c>
      <c r="I22" s="1">
        <f>6*3600+31*60+22</f>
        <v>23482</v>
      </c>
      <c r="K22" s="4">
        <v>377135</v>
      </c>
      <c r="L22" s="5">
        <f t="shared" ref="L22:M22" si="5">AVERAGE(L14:L21)</f>
        <v>671.15350000000001</v>
      </c>
      <c r="M22" s="5">
        <f t="shared" si="5"/>
        <v>538.12670862499999</v>
      </c>
      <c r="N22" s="1" t="s">
        <v>94</v>
      </c>
      <c r="O22" s="1">
        <f>6*3600+26*60+11</f>
        <v>23171</v>
      </c>
    </row>
    <row r="23" spans="1:16">
      <c r="K23" s="18">
        <f>K22-E22</f>
        <v>1.2916666666278616</v>
      </c>
      <c r="L23" s="18">
        <f t="shared" ref="L23" si="6">L22-F22</f>
        <v>-0.86900000000002819</v>
      </c>
      <c r="M23" s="18">
        <f t="shared" ref="M23" si="7">M22-G22</f>
        <v>-38.225590000000011</v>
      </c>
      <c r="O23" s="19">
        <f>O22-I22</f>
        <v>-311</v>
      </c>
      <c r="P23" s="19">
        <f>(I22-O22)/I22</f>
        <v>1.3244187036879311E-2</v>
      </c>
    </row>
    <row r="24" spans="1:16">
      <c r="A24" s="1" t="s">
        <v>40</v>
      </c>
    </row>
    <row r="25" spans="1:16">
      <c r="A25" s="1" t="s">
        <v>4</v>
      </c>
      <c r="B25" s="4">
        <v>346055</v>
      </c>
      <c r="C25" s="4">
        <v>386535</v>
      </c>
      <c r="D25" s="4">
        <v>385316</v>
      </c>
      <c r="E25" s="4">
        <f>(B25*4+C25+D25)/6</f>
        <v>359345.16666666669</v>
      </c>
      <c r="F25" s="1">
        <v>491.57600000000002</v>
      </c>
      <c r="G25" s="1">
        <v>306.00809800000002</v>
      </c>
      <c r="K25" s="4"/>
      <c r="L25" s="1">
        <v>491.84399999999999</v>
      </c>
      <c r="M25" s="1">
        <v>265.24088499999999</v>
      </c>
    </row>
    <row r="26" spans="1:16">
      <c r="A26" s="1" t="s">
        <v>5</v>
      </c>
      <c r="B26" s="4">
        <v>345598</v>
      </c>
      <c r="C26" s="4">
        <v>390552</v>
      </c>
      <c r="D26" s="4">
        <v>385752</v>
      </c>
      <c r="E26" s="4">
        <f t="shared" ref="E26:E32" si="8">(B26*4+C26+D26)/6</f>
        <v>359782.66666666669</v>
      </c>
      <c r="F26" s="1">
        <v>328.654</v>
      </c>
      <c r="G26" s="1">
        <v>807.84607500000004</v>
      </c>
      <c r="K26" s="4"/>
      <c r="L26" s="1">
        <v>329.2</v>
      </c>
      <c r="M26" s="1">
        <v>751.92476499999998</v>
      </c>
    </row>
    <row r="27" spans="1:16">
      <c r="A27" s="1" t="s">
        <v>6</v>
      </c>
      <c r="B27" s="4">
        <v>348013</v>
      </c>
      <c r="C27" s="4">
        <v>391161</v>
      </c>
      <c r="D27" s="4">
        <v>388020</v>
      </c>
      <c r="E27" s="4">
        <f t="shared" si="8"/>
        <v>361872.16666666669</v>
      </c>
      <c r="F27" s="1">
        <v>412.72199999999998</v>
      </c>
      <c r="G27" s="1">
        <v>332.13806599999998</v>
      </c>
      <c r="K27" s="4"/>
      <c r="L27" s="1">
        <v>412.74400000000003</v>
      </c>
      <c r="M27" s="1">
        <v>294.63288299999999</v>
      </c>
    </row>
    <row r="28" spans="1:16">
      <c r="A28" s="1" t="s">
        <v>10</v>
      </c>
      <c r="B28" s="4">
        <v>343507</v>
      </c>
      <c r="C28" s="4">
        <v>387929</v>
      </c>
      <c r="D28" s="4">
        <v>386766</v>
      </c>
      <c r="E28" s="4">
        <f t="shared" si="8"/>
        <v>358120.5</v>
      </c>
      <c r="F28" s="1">
        <v>313.60199999999998</v>
      </c>
      <c r="G28" s="1">
        <v>792.98510799999997</v>
      </c>
      <c r="K28" s="4"/>
      <c r="L28" s="1">
        <v>312.87599999999998</v>
      </c>
      <c r="M28" s="1">
        <v>728.72747300000003</v>
      </c>
    </row>
    <row r="29" spans="1:16">
      <c r="A29" s="1" t="s">
        <v>11</v>
      </c>
      <c r="B29" s="4">
        <v>342258</v>
      </c>
      <c r="C29" s="4">
        <v>384452</v>
      </c>
      <c r="D29" s="4">
        <v>381955</v>
      </c>
      <c r="E29" s="4">
        <f t="shared" si="8"/>
        <v>355906.5</v>
      </c>
      <c r="F29" s="1">
        <v>450.49200000000002</v>
      </c>
      <c r="G29" s="1">
        <v>338.83221700000001</v>
      </c>
      <c r="K29" s="4"/>
      <c r="L29" s="1">
        <v>451.024</v>
      </c>
      <c r="M29" s="1">
        <v>302.78022499999997</v>
      </c>
    </row>
    <row r="30" spans="1:16">
      <c r="A30" s="1" t="s">
        <v>12</v>
      </c>
      <c r="B30" s="4">
        <v>349878</v>
      </c>
      <c r="C30" s="4">
        <v>388942</v>
      </c>
      <c r="D30" s="4">
        <v>389572</v>
      </c>
      <c r="E30" s="4">
        <f t="shared" si="8"/>
        <v>363004.33333333331</v>
      </c>
      <c r="F30" s="1">
        <v>325.964</v>
      </c>
      <c r="G30" s="1">
        <v>814.27640299999996</v>
      </c>
      <c r="K30" s="4"/>
      <c r="L30" s="1">
        <v>324.61</v>
      </c>
      <c r="M30" s="1">
        <v>752.07834800000001</v>
      </c>
    </row>
    <row r="31" spans="1:16">
      <c r="A31" s="1" t="s">
        <v>13</v>
      </c>
      <c r="B31" s="4">
        <v>344303</v>
      </c>
      <c r="C31" s="4">
        <v>386132</v>
      </c>
      <c r="D31" s="4">
        <v>383571</v>
      </c>
      <c r="E31" s="4">
        <f t="shared" si="8"/>
        <v>357819.16666666669</v>
      </c>
      <c r="F31" s="1">
        <v>437.18799999999999</v>
      </c>
      <c r="G31" s="1">
        <v>345.205668</v>
      </c>
      <c r="K31" s="4"/>
      <c r="L31" s="1">
        <v>439.37599999999998</v>
      </c>
      <c r="M31" s="1">
        <v>309.51013899999998</v>
      </c>
    </row>
    <row r="32" spans="1:16">
      <c r="A32" s="1" t="s">
        <v>14</v>
      </c>
      <c r="B32" s="4">
        <v>340486</v>
      </c>
      <c r="C32" s="4">
        <v>382834</v>
      </c>
      <c r="D32" s="4">
        <v>379435</v>
      </c>
      <c r="E32" s="4">
        <f t="shared" si="8"/>
        <v>354035.5</v>
      </c>
      <c r="F32" s="1">
        <v>468.714</v>
      </c>
      <c r="G32" s="1">
        <v>373.56068900000002</v>
      </c>
      <c r="K32" s="4"/>
      <c r="L32" s="1">
        <v>468.38400000000001</v>
      </c>
      <c r="M32" s="1">
        <v>336.81751300000002</v>
      </c>
    </row>
    <row r="33" spans="1:16">
      <c r="A33" s="1" t="s">
        <v>7</v>
      </c>
      <c r="B33" s="4">
        <f>AVERAGE(B25:B32)</f>
        <v>345012.25</v>
      </c>
      <c r="C33" s="4">
        <f t="shared" ref="C33:G33" si="9">AVERAGE(C25:C32)</f>
        <v>387317.125</v>
      </c>
      <c r="D33" s="4">
        <f t="shared" si="9"/>
        <v>385048.375</v>
      </c>
      <c r="E33" s="4">
        <f t="shared" si="9"/>
        <v>358735.75</v>
      </c>
      <c r="F33" s="5">
        <f t="shared" si="9"/>
        <v>403.61400000000003</v>
      </c>
      <c r="G33" s="5">
        <f t="shared" si="9"/>
        <v>513.85654050000005</v>
      </c>
      <c r="H33" s="1" t="s">
        <v>185</v>
      </c>
      <c r="I33" s="1">
        <f>6*3600+14*60+1</f>
        <v>22441</v>
      </c>
      <c r="K33" s="4">
        <v>358738</v>
      </c>
      <c r="L33" s="5">
        <f t="shared" ref="L33:M33" si="10">AVERAGE(L25:L32)</f>
        <v>403.75725</v>
      </c>
      <c r="M33" s="5">
        <f t="shared" si="10"/>
        <v>467.714028875</v>
      </c>
      <c r="N33" s="1" t="s">
        <v>95</v>
      </c>
      <c r="O33" s="1">
        <f>6*3600+7*60+48</f>
        <v>22068</v>
      </c>
    </row>
    <row r="34" spans="1:16">
      <c r="K34" s="18">
        <f>K33-E33</f>
        <v>2.25</v>
      </c>
      <c r="L34" s="6">
        <f t="shared" ref="L34" si="11">L33-F33</f>
        <v>0.14324999999996635</v>
      </c>
      <c r="M34" s="18">
        <f t="shared" ref="M34" si="12">M33-G33</f>
        <v>-46.142511625000054</v>
      </c>
      <c r="O34" s="19">
        <f>O33-I33</f>
        <v>-373</v>
      </c>
      <c r="P34" s="19">
        <f>(I33-O33)/I33</f>
        <v>1.6621362684372355E-2</v>
      </c>
    </row>
    <row r="35" spans="1:16">
      <c r="A35" s="1" t="s">
        <v>41</v>
      </c>
    </row>
    <row r="36" spans="1:16">
      <c r="A36" s="1" t="s">
        <v>4</v>
      </c>
      <c r="B36" s="4">
        <v>325264</v>
      </c>
      <c r="C36" s="4">
        <v>374871</v>
      </c>
      <c r="D36" s="4">
        <v>373934</v>
      </c>
      <c r="E36" s="4">
        <f>(B36*4+C36+D36)/6</f>
        <v>341643.5</v>
      </c>
      <c r="F36" s="1">
        <v>312.56599999999997</v>
      </c>
      <c r="G36" s="1">
        <v>273.487889</v>
      </c>
      <c r="K36" s="4"/>
      <c r="L36" s="1">
        <v>312.30200000000002</v>
      </c>
      <c r="M36" s="1">
        <v>229.69851800000001</v>
      </c>
    </row>
    <row r="37" spans="1:16">
      <c r="A37" s="1" t="s">
        <v>5</v>
      </c>
      <c r="B37" s="4">
        <v>323480</v>
      </c>
      <c r="C37" s="4">
        <v>378909</v>
      </c>
      <c r="D37" s="4">
        <v>374241</v>
      </c>
      <c r="E37" s="4">
        <f t="shared" ref="E37:E43" si="13">(B37*4+C37+D37)/6</f>
        <v>341178.33333333331</v>
      </c>
      <c r="F37" s="1">
        <v>202.06200000000001</v>
      </c>
      <c r="G37" s="1">
        <v>675.68754100000001</v>
      </c>
      <c r="K37" s="4"/>
      <c r="L37" s="1">
        <v>201.536</v>
      </c>
      <c r="M37" s="1">
        <v>605.03166299999998</v>
      </c>
    </row>
    <row r="38" spans="1:16">
      <c r="A38" s="1" t="s">
        <v>6</v>
      </c>
      <c r="B38" s="4">
        <v>325866</v>
      </c>
      <c r="C38" s="4">
        <v>379339</v>
      </c>
      <c r="D38" s="4">
        <v>375923</v>
      </c>
      <c r="E38" s="4">
        <f t="shared" si="13"/>
        <v>343121</v>
      </c>
      <c r="F38" s="1">
        <v>255.72399999999999</v>
      </c>
      <c r="G38" s="1">
        <v>295.98501099999999</v>
      </c>
      <c r="K38" s="4"/>
      <c r="L38" s="1">
        <v>256.82400000000001</v>
      </c>
      <c r="M38" s="1">
        <v>254.529505</v>
      </c>
    </row>
    <row r="39" spans="1:16">
      <c r="A39" s="1" t="s">
        <v>10</v>
      </c>
      <c r="B39" s="4">
        <v>321423</v>
      </c>
      <c r="C39" s="4">
        <v>377057</v>
      </c>
      <c r="D39" s="4">
        <v>375525</v>
      </c>
      <c r="E39" s="4">
        <f t="shared" si="13"/>
        <v>339712.33333333331</v>
      </c>
      <c r="F39" s="1">
        <v>192.202</v>
      </c>
      <c r="G39" s="1">
        <v>670.55194300000005</v>
      </c>
      <c r="K39" s="4"/>
      <c r="L39" s="1">
        <v>192.93600000000001</v>
      </c>
      <c r="M39" s="1">
        <v>592.53142400000002</v>
      </c>
    </row>
    <row r="40" spans="1:16">
      <c r="A40" s="1" t="s">
        <v>11</v>
      </c>
      <c r="B40" s="4">
        <v>319500</v>
      </c>
      <c r="C40" s="4">
        <v>372782</v>
      </c>
      <c r="D40" s="4">
        <v>370028</v>
      </c>
      <c r="E40" s="4">
        <f t="shared" si="13"/>
        <v>336801.66666666669</v>
      </c>
      <c r="F40" s="1">
        <v>280.214</v>
      </c>
      <c r="G40" s="1">
        <v>303.09136899999999</v>
      </c>
      <c r="K40" s="4"/>
      <c r="L40" s="1">
        <v>279.12799999999999</v>
      </c>
      <c r="M40" s="1">
        <v>262.69602800000001</v>
      </c>
    </row>
    <row r="41" spans="1:16">
      <c r="A41" s="1" t="s">
        <v>12</v>
      </c>
      <c r="B41" s="4">
        <v>326872</v>
      </c>
      <c r="C41" s="4">
        <v>375981</v>
      </c>
      <c r="D41" s="4">
        <v>377553</v>
      </c>
      <c r="E41" s="4">
        <f t="shared" si="13"/>
        <v>343503.66666666669</v>
      </c>
      <c r="F41" s="1">
        <v>209.12799999999999</v>
      </c>
      <c r="G41" s="1">
        <v>693.28750300000002</v>
      </c>
      <c r="K41" s="4"/>
      <c r="L41" s="1">
        <v>207.928</v>
      </c>
      <c r="M41" s="1">
        <v>615.22846500000003</v>
      </c>
    </row>
    <row r="42" spans="1:16">
      <c r="A42" s="1" t="s">
        <v>13</v>
      </c>
      <c r="B42" s="4">
        <v>322900</v>
      </c>
      <c r="C42" s="4">
        <v>372938</v>
      </c>
      <c r="D42" s="4">
        <v>371330</v>
      </c>
      <c r="E42" s="4">
        <f t="shared" si="13"/>
        <v>339311.33333333331</v>
      </c>
      <c r="F42" s="1">
        <v>273.73200000000003</v>
      </c>
      <c r="G42" s="1">
        <v>311.155415</v>
      </c>
      <c r="K42" s="4"/>
      <c r="L42" s="1">
        <v>273.78800000000001</v>
      </c>
      <c r="M42" s="1">
        <v>267.72781700000002</v>
      </c>
    </row>
    <row r="43" spans="1:16">
      <c r="A43" s="1" t="s">
        <v>14</v>
      </c>
      <c r="B43" s="4">
        <v>317119</v>
      </c>
      <c r="C43" s="4">
        <v>370834</v>
      </c>
      <c r="D43" s="4">
        <v>368644</v>
      </c>
      <c r="E43" s="4">
        <f t="shared" si="13"/>
        <v>334659</v>
      </c>
      <c r="F43" s="1">
        <v>287.56599999999997</v>
      </c>
      <c r="G43" s="1">
        <v>332.27316999999999</v>
      </c>
      <c r="K43" s="4"/>
      <c r="L43" s="1">
        <v>289.09199999999998</v>
      </c>
      <c r="M43" s="1">
        <v>291.42169000000001</v>
      </c>
    </row>
    <row r="44" spans="1:16">
      <c r="A44" s="1" t="s">
        <v>7</v>
      </c>
      <c r="B44" s="4">
        <f>AVERAGE(B36:B43)</f>
        <v>322803</v>
      </c>
      <c r="C44" s="4">
        <f t="shared" ref="C44:G44" si="14">AVERAGE(C36:C43)</f>
        <v>375338.875</v>
      </c>
      <c r="D44" s="4">
        <f t="shared" si="14"/>
        <v>373397.25</v>
      </c>
      <c r="E44" s="4">
        <f t="shared" si="14"/>
        <v>339991.35416666669</v>
      </c>
      <c r="F44" s="5">
        <f t="shared" si="14"/>
        <v>251.64924999999997</v>
      </c>
      <c r="G44" s="5">
        <f t="shared" si="14"/>
        <v>444.43998012500003</v>
      </c>
      <c r="H44" s="1" t="s">
        <v>186</v>
      </c>
      <c r="I44" s="1">
        <f>5*3600+56*60+46</f>
        <v>21406</v>
      </c>
      <c r="K44" s="4">
        <v>339978</v>
      </c>
      <c r="L44" s="5">
        <f t="shared" ref="L44:M44" si="15">AVERAGE(L36:L43)</f>
        <v>251.69175000000001</v>
      </c>
      <c r="M44" s="5">
        <f t="shared" si="15"/>
        <v>389.85813875000002</v>
      </c>
      <c r="N44" s="1" t="s">
        <v>96</v>
      </c>
      <c r="O44" s="1">
        <f>5*3600+48*60+14</f>
        <v>20894</v>
      </c>
    </row>
    <row r="45" spans="1:16">
      <c r="K45" s="6">
        <f>K44-E44</f>
        <v>-13.354166666686069</v>
      </c>
      <c r="L45" s="6">
        <f t="shared" ref="L45" si="16">L44-F44</f>
        <v>4.2500000000046612E-2</v>
      </c>
      <c r="M45" s="18">
        <f t="shared" ref="M45" si="17">M44-G44</f>
        <v>-54.58184137500001</v>
      </c>
      <c r="O45" s="19">
        <f>O44-I44</f>
        <v>-512</v>
      </c>
      <c r="P45" s="19">
        <f>(I44-O44)/I44</f>
        <v>2.3918527515649816E-2</v>
      </c>
    </row>
    <row r="46" spans="1:16">
      <c r="A46" s="1" t="s">
        <v>49</v>
      </c>
    </row>
    <row r="47" spans="1:16">
      <c r="A47" s="1" t="s">
        <v>4</v>
      </c>
      <c r="B47" s="4">
        <v>396976</v>
      </c>
      <c r="C47" s="4">
        <v>435659</v>
      </c>
      <c r="D47" s="4">
        <v>427523</v>
      </c>
      <c r="E47" s="4">
        <f>(B47*4+C47+D47)/6</f>
        <v>408514.33333333331</v>
      </c>
      <c r="F47" s="1">
        <v>530.01599999999996</v>
      </c>
      <c r="G47" s="1">
        <v>230.24340900000001</v>
      </c>
      <c r="K47" s="4"/>
      <c r="L47" s="1">
        <v>528.90800000000002</v>
      </c>
      <c r="M47" s="1">
        <v>185.16734500000001</v>
      </c>
    </row>
    <row r="48" spans="1:16">
      <c r="A48" s="1" t="s">
        <v>5</v>
      </c>
      <c r="B48" s="4">
        <v>394877</v>
      </c>
      <c r="C48" s="4">
        <v>435154</v>
      </c>
      <c r="D48" s="4">
        <v>425854</v>
      </c>
      <c r="E48" s="4">
        <f t="shared" ref="E48:E54" si="18">(B48*4+C48+D48)/6</f>
        <v>406752.66666666669</v>
      </c>
      <c r="F48" s="1">
        <v>440.61200000000002</v>
      </c>
      <c r="G48" s="1">
        <v>803.93283599999995</v>
      </c>
      <c r="K48" s="4"/>
      <c r="L48" s="1">
        <v>441.142</v>
      </c>
      <c r="M48" s="1">
        <v>731.81619599999999</v>
      </c>
    </row>
    <row r="49" spans="1:16">
      <c r="A49" s="1" t="s">
        <v>6</v>
      </c>
      <c r="B49" s="4">
        <v>396717</v>
      </c>
      <c r="C49" s="4">
        <v>437502</v>
      </c>
      <c r="D49" s="4">
        <v>428334</v>
      </c>
      <c r="E49" s="4">
        <f t="shared" si="18"/>
        <v>408784</v>
      </c>
      <c r="F49" s="1">
        <v>511.15600000000001</v>
      </c>
      <c r="G49" s="1">
        <v>279.68781100000001</v>
      </c>
      <c r="K49" s="4"/>
      <c r="L49" s="1">
        <v>510.5</v>
      </c>
      <c r="M49" s="1">
        <v>239.57962599999999</v>
      </c>
    </row>
    <row r="50" spans="1:16">
      <c r="A50" s="1" t="s">
        <v>10</v>
      </c>
      <c r="B50" s="4">
        <v>397856</v>
      </c>
      <c r="C50" s="4">
        <v>439335</v>
      </c>
      <c r="D50" s="4">
        <v>433266</v>
      </c>
      <c r="E50" s="4">
        <f t="shared" si="18"/>
        <v>410670.83333333331</v>
      </c>
      <c r="F50" s="1">
        <v>451.64600000000002</v>
      </c>
      <c r="G50" s="1">
        <v>864.30288099999996</v>
      </c>
      <c r="K50" s="4"/>
      <c r="L50" s="1">
        <v>450.89</v>
      </c>
      <c r="M50" s="1">
        <v>800.37347199999999</v>
      </c>
    </row>
    <row r="51" spans="1:16">
      <c r="A51" s="1" t="s">
        <v>11</v>
      </c>
      <c r="B51" s="4">
        <v>393933</v>
      </c>
      <c r="C51" s="4">
        <v>436559</v>
      </c>
      <c r="D51" s="4">
        <v>427830</v>
      </c>
      <c r="E51" s="4">
        <f t="shared" si="18"/>
        <v>406686.83333333331</v>
      </c>
      <c r="F51" s="1">
        <v>591.39200000000005</v>
      </c>
      <c r="G51" s="1">
        <v>330.70912499999997</v>
      </c>
      <c r="K51" s="4"/>
      <c r="L51" s="1">
        <v>592.80600000000004</v>
      </c>
      <c r="M51" s="1">
        <v>297.96040799999997</v>
      </c>
    </row>
    <row r="52" spans="1:16">
      <c r="A52" s="1" t="s">
        <v>12</v>
      </c>
      <c r="B52" s="4">
        <v>393994</v>
      </c>
      <c r="C52" s="4">
        <v>435403</v>
      </c>
      <c r="D52" s="4">
        <v>427745</v>
      </c>
      <c r="E52" s="4">
        <f t="shared" si="18"/>
        <v>406520.66666666669</v>
      </c>
      <c r="F52" s="1">
        <v>555.62400000000002</v>
      </c>
      <c r="G52" s="1">
        <v>947.09697000000006</v>
      </c>
      <c r="K52" s="4"/>
      <c r="L52" s="1">
        <v>554.43799999999999</v>
      </c>
      <c r="M52" s="1">
        <v>900.60243400000002</v>
      </c>
    </row>
    <row r="53" spans="1:16">
      <c r="A53" s="1" t="s">
        <v>13</v>
      </c>
      <c r="B53" s="4">
        <v>387087</v>
      </c>
      <c r="C53" s="4">
        <v>427854</v>
      </c>
      <c r="D53" s="4">
        <v>420703</v>
      </c>
      <c r="E53" s="4">
        <f t="shared" si="18"/>
        <v>399484.16666666669</v>
      </c>
      <c r="F53" s="1">
        <v>784.49599999999998</v>
      </c>
      <c r="G53" s="1">
        <v>385.23860300000001</v>
      </c>
      <c r="K53" s="4"/>
      <c r="L53" s="1">
        <v>781.99599999999998</v>
      </c>
      <c r="M53" s="1">
        <v>361.350416</v>
      </c>
    </row>
    <row r="54" spans="1:16">
      <c r="A54" s="1" t="s">
        <v>14</v>
      </c>
      <c r="B54" s="4">
        <v>391697</v>
      </c>
      <c r="C54" s="4">
        <v>435485</v>
      </c>
      <c r="D54" s="4">
        <v>426321</v>
      </c>
      <c r="E54" s="4">
        <f t="shared" si="18"/>
        <v>404765.66666666669</v>
      </c>
      <c r="F54" s="1">
        <v>727.54399999999998</v>
      </c>
      <c r="G54" s="1">
        <v>433.03078399999998</v>
      </c>
      <c r="K54" s="4"/>
      <c r="L54" s="1">
        <v>726.87599999999998</v>
      </c>
      <c r="M54" s="1">
        <v>412.21402699999999</v>
      </c>
    </row>
    <row r="55" spans="1:16">
      <c r="A55" s="1" t="s">
        <v>7</v>
      </c>
      <c r="B55" s="4">
        <f>AVERAGE(B47:B54)</f>
        <v>394142.125</v>
      </c>
      <c r="C55" s="4">
        <f t="shared" ref="C55:G55" si="19">AVERAGE(C47:C54)</f>
        <v>435368.875</v>
      </c>
      <c r="D55" s="4">
        <f t="shared" si="19"/>
        <v>427197</v>
      </c>
      <c r="E55" s="4">
        <f t="shared" si="19"/>
        <v>406522.39583333326</v>
      </c>
      <c r="F55" s="5">
        <f t="shared" si="19"/>
        <v>574.06074999999998</v>
      </c>
      <c r="G55" s="5">
        <f t="shared" si="19"/>
        <v>534.28030237499991</v>
      </c>
      <c r="H55" s="1" t="s">
        <v>187</v>
      </c>
      <c r="I55" s="1">
        <f>6*3600+23*60+39</f>
        <v>23019</v>
      </c>
      <c r="K55" s="4">
        <v>406512</v>
      </c>
      <c r="L55" s="5">
        <f t="shared" ref="L55:M55" si="20">AVERAGE(L47:L54)</f>
        <v>573.44450000000006</v>
      </c>
      <c r="M55" s="5">
        <f t="shared" si="20"/>
        <v>491.13299050000001</v>
      </c>
      <c r="N55" s="1" t="s">
        <v>97</v>
      </c>
      <c r="O55" s="1">
        <f>6*3600+18*60+34</f>
        <v>22714</v>
      </c>
    </row>
    <row r="56" spans="1:16">
      <c r="K56" s="6">
        <f>K55-E55</f>
        <v>-10.395833333255723</v>
      </c>
      <c r="L56" s="18">
        <f t="shared" ref="L56" si="21">L55-F55</f>
        <v>-0.61624999999992269</v>
      </c>
      <c r="M56" s="18">
        <f t="shared" ref="M56" si="22">M55-G55</f>
        <v>-43.1473118749999</v>
      </c>
      <c r="O56" s="19">
        <f>O55-I55</f>
        <v>-305</v>
      </c>
      <c r="P56" s="19">
        <f>(I55-O55)/I55</f>
        <v>1.324992397584604E-2</v>
      </c>
    </row>
    <row r="57" spans="1:16">
      <c r="A57" s="1" t="s">
        <v>50</v>
      </c>
    </row>
    <row r="58" spans="1:16">
      <c r="A58" s="1" t="s">
        <v>4</v>
      </c>
      <c r="B58" s="4">
        <v>386164</v>
      </c>
      <c r="C58" s="4">
        <v>421070</v>
      </c>
      <c r="D58" s="4">
        <v>413842</v>
      </c>
      <c r="E58" s="4">
        <f>(B58*4+C58+D58)/6</f>
        <v>396594.66666666669</v>
      </c>
      <c r="F58" s="1">
        <v>292.89800000000002</v>
      </c>
      <c r="G58" s="1">
        <v>214.591431</v>
      </c>
      <c r="K58" s="4"/>
      <c r="L58" s="1">
        <v>293.20999999999998</v>
      </c>
      <c r="M58" s="1">
        <v>167.88296199999999</v>
      </c>
    </row>
    <row r="59" spans="1:16">
      <c r="A59" s="1" t="s">
        <v>5</v>
      </c>
      <c r="B59" s="4">
        <v>383781</v>
      </c>
      <c r="C59" s="4">
        <v>423199</v>
      </c>
      <c r="D59" s="4">
        <v>414260</v>
      </c>
      <c r="E59" s="4">
        <f t="shared" ref="E59:E65" si="23">(B59*4+C59+D59)/6</f>
        <v>395430.5</v>
      </c>
      <c r="F59" s="1">
        <v>216.33799999999999</v>
      </c>
      <c r="G59" s="1">
        <v>710.39784499999996</v>
      </c>
      <c r="K59" s="4"/>
      <c r="L59" s="1">
        <v>216.05</v>
      </c>
      <c r="M59" s="1">
        <v>635.69485699999996</v>
      </c>
    </row>
    <row r="60" spans="1:16">
      <c r="A60" s="1" t="s">
        <v>6</v>
      </c>
      <c r="B60" s="4">
        <v>385519</v>
      </c>
      <c r="C60" s="4">
        <v>425324</v>
      </c>
      <c r="D60" s="4">
        <v>415898</v>
      </c>
      <c r="E60" s="4">
        <f t="shared" si="23"/>
        <v>397216.33333333331</v>
      </c>
      <c r="F60" s="1">
        <v>265.84199999999998</v>
      </c>
      <c r="G60" s="1">
        <v>255.72523200000001</v>
      </c>
      <c r="K60" s="4"/>
      <c r="L60" s="1">
        <v>266.98599999999999</v>
      </c>
      <c r="M60" s="1">
        <v>211.91694699999999</v>
      </c>
    </row>
    <row r="61" spans="1:16">
      <c r="A61" s="1" t="s">
        <v>10</v>
      </c>
      <c r="B61" s="4">
        <v>385749</v>
      </c>
      <c r="C61" s="4">
        <v>427223</v>
      </c>
      <c r="D61" s="4">
        <v>421570</v>
      </c>
      <c r="E61" s="4">
        <f t="shared" si="23"/>
        <v>398631.5</v>
      </c>
      <c r="F61" s="1">
        <v>237.06200000000001</v>
      </c>
      <c r="G61" s="1">
        <v>761.218794</v>
      </c>
      <c r="K61" s="4"/>
      <c r="L61" s="1">
        <v>237.14599999999999</v>
      </c>
      <c r="M61" s="1">
        <v>689.35972300000003</v>
      </c>
    </row>
    <row r="62" spans="1:16">
      <c r="A62" s="1" t="s">
        <v>11</v>
      </c>
      <c r="B62" s="4">
        <v>381307</v>
      </c>
      <c r="C62" s="4">
        <v>424741</v>
      </c>
      <c r="D62" s="4">
        <v>415497</v>
      </c>
      <c r="E62" s="4">
        <f t="shared" si="23"/>
        <v>394244.33333333331</v>
      </c>
      <c r="F62" s="1">
        <v>315.11</v>
      </c>
      <c r="G62" s="1">
        <v>303.08175999999997</v>
      </c>
      <c r="K62" s="4"/>
      <c r="L62" s="1">
        <v>315.08800000000002</v>
      </c>
      <c r="M62" s="1">
        <v>265.39679699999999</v>
      </c>
    </row>
    <row r="63" spans="1:16">
      <c r="A63" s="1" t="s">
        <v>12</v>
      </c>
      <c r="B63" s="4">
        <v>381435</v>
      </c>
      <c r="C63" s="4">
        <v>423457</v>
      </c>
      <c r="D63" s="4">
        <v>416858</v>
      </c>
      <c r="E63" s="4">
        <f t="shared" si="23"/>
        <v>394342.5</v>
      </c>
      <c r="F63" s="1">
        <v>284.28800000000001</v>
      </c>
      <c r="G63" s="1">
        <v>838.83716400000003</v>
      </c>
      <c r="K63" s="4"/>
      <c r="L63" s="1">
        <v>282.68599999999998</v>
      </c>
      <c r="M63" s="1">
        <v>779.87381700000003</v>
      </c>
    </row>
    <row r="64" spans="1:16">
      <c r="A64" s="1" t="s">
        <v>13</v>
      </c>
      <c r="B64" s="4">
        <v>374715</v>
      </c>
      <c r="C64" s="4">
        <v>416701</v>
      </c>
      <c r="D64" s="4">
        <v>409576</v>
      </c>
      <c r="E64" s="4">
        <f t="shared" si="23"/>
        <v>387522.83333333331</v>
      </c>
      <c r="F64" s="1">
        <v>411.26799999999997</v>
      </c>
      <c r="G64" s="1">
        <v>351.99805700000002</v>
      </c>
      <c r="K64" s="4"/>
      <c r="L64" s="1">
        <v>411.29399999999998</v>
      </c>
      <c r="M64" s="1">
        <v>322.24786799999998</v>
      </c>
    </row>
    <row r="65" spans="1:16">
      <c r="A65" s="1" t="s">
        <v>14</v>
      </c>
      <c r="B65" s="4">
        <v>377495</v>
      </c>
      <c r="C65" s="4">
        <v>424106</v>
      </c>
      <c r="D65" s="4">
        <v>415547</v>
      </c>
      <c r="E65" s="4">
        <f t="shared" si="23"/>
        <v>391605.5</v>
      </c>
      <c r="F65" s="1">
        <v>396.22800000000001</v>
      </c>
      <c r="G65" s="1">
        <v>394.79607199999998</v>
      </c>
      <c r="K65" s="4"/>
      <c r="L65" s="1">
        <v>396.334</v>
      </c>
      <c r="M65" s="1">
        <v>367.73804000000001</v>
      </c>
    </row>
    <row r="66" spans="1:16">
      <c r="A66" s="1" t="s">
        <v>7</v>
      </c>
      <c r="B66" s="4">
        <f>AVERAGE(B58:B65)</f>
        <v>382020.625</v>
      </c>
      <c r="C66" s="4">
        <f t="shared" ref="C66:G66" si="24">AVERAGE(C58:C65)</f>
        <v>423227.625</v>
      </c>
      <c r="D66" s="4">
        <f t="shared" si="24"/>
        <v>415381</v>
      </c>
      <c r="E66" s="4">
        <f t="shared" si="24"/>
        <v>394448.52083333331</v>
      </c>
      <c r="F66" s="5">
        <f t="shared" si="24"/>
        <v>302.37925000000001</v>
      </c>
      <c r="G66" s="5">
        <f t="shared" si="24"/>
        <v>478.83079437499998</v>
      </c>
      <c r="H66" s="1" t="s">
        <v>188</v>
      </c>
      <c r="I66" s="1">
        <f>6*3600+4*60+20</f>
        <v>21860</v>
      </c>
      <c r="K66" s="4">
        <v>394471</v>
      </c>
      <c r="L66" s="5">
        <f t="shared" ref="L66:M66" si="25">AVERAGE(L58:L65)</f>
        <v>302.34924999999998</v>
      </c>
      <c r="M66" s="5">
        <f t="shared" si="25"/>
        <v>430.01387637500005</v>
      </c>
      <c r="N66" s="1" t="s">
        <v>98</v>
      </c>
      <c r="O66" s="1">
        <f>5*3600+59*60+15</f>
        <v>21555</v>
      </c>
    </row>
    <row r="67" spans="1:16">
      <c r="K67" s="18">
        <f>K66-E66</f>
        <v>22.479166666686069</v>
      </c>
      <c r="L67" s="18">
        <f t="shared" ref="L67" si="26">L66-F66</f>
        <v>-3.0000000000029559E-2</v>
      </c>
      <c r="M67" s="18">
        <f t="shared" ref="M67" si="27">M66-G66</f>
        <v>-48.81691799999993</v>
      </c>
      <c r="O67" s="19">
        <f>O66-I66</f>
        <v>-305</v>
      </c>
      <c r="P67" s="19">
        <f>(I66-O66)/I66</f>
        <v>1.3952424519670631E-2</v>
      </c>
    </row>
    <row r="68" spans="1:16">
      <c r="A68" s="1" t="s">
        <v>51</v>
      </c>
    </row>
    <row r="69" spans="1:16">
      <c r="A69" s="1" t="s">
        <v>4</v>
      </c>
      <c r="B69" s="4">
        <v>371769</v>
      </c>
      <c r="C69" s="4">
        <v>407852</v>
      </c>
      <c r="D69" s="4">
        <v>402900</v>
      </c>
      <c r="E69" s="4">
        <f>(B69*4+C69+D69)/6</f>
        <v>382971.33333333331</v>
      </c>
      <c r="F69" s="1">
        <v>180.61</v>
      </c>
      <c r="G69" s="1">
        <v>200.97879699999999</v>
      </c>
      <c r="K69" s="4"/>
      <c r="L69" s="1">
        <v>180.24199999999999</v>
      </c>
      <c r="M69" s="1">
        <v>151.52614800000001</v>
      </c>
    </row>
    <row r="70" spans="1:16">
      <c r="A70" s="1" t="s">
        <v>5</v>
      </c>
      <c r="B70" s="4">
        <v>369107</v>
      </c>
      <c r="C70" s="4">
        <v>411753</v>
      </c>
      <c r="D70" s="4">
        <v>404566</v>
      </c>
      <c r="E70" s="4">
        <f t="shared" ref="E70:E76" si="28">(B70*4+C70+D70)/6</f>
        <v>382124.5</v>
      </c>
      <c r="F70" s="1">
        <v>124.254</v>
      </c>
      <c r="G70" s="1">
        <v>619.92316400000004</v>
      </c>
      <c r="K70" s="4"/>
      <c r="L70" s="1">
        <v>124.14400000000001</v>
      </c>
      <c r="M70" s="1">
        <v>529.39162799999997</v>
      </c>
    </row>
    <row r="71" spans="1:16">
      <c r="A71" s="1" t="s">
        <v>6</v>
      </c>
      <c r="B71" s="4">
        <v>370793</v>
      </c>
      <c r="C71" s="4">
        <v>414064</v>
      </c>
      <c r="D71" s="4">
        <v>404520</v>
      </c>
      <c r="E71" s="4">
        <f t="shared" si="28"/>
        <v>383626</v>
      </c>
      <c r="F71" s="1">
        <v>157.78</v>
      </c>
      <c r="G71" s="1">
        <v>233.454803</v>
      </c>
      <c r="K71" s="4"/>
      <c r="L71" s="1">
        <v>158.096</v>
      </c>
      <c r="M71" s="1">
        <v>186.704196</v>
      </c>
    </row>
    <row r="72" spans="1:16">
      <c r="A72" s="1" t="s">
        <v>10</v>
      </c>
      <c r="B72" s="4">
        <v>369459</v>
      </c>
      <c r="C72" s="4">
        <v>416619</v>
      </c>
      <c r="D72" s="4">
        <v>411381</v>
      </c>
      <c r="E72" s="4">
        <f t="shared" si="28"/>
        <v>384306</v>
      </c>
      <c r="F72" s="1">
        <v>142.25200000000001</v>
      </c>
      <c r="G72" s="1">
        <v>659.86574800000005</v>
      </c>
      <c r="K72" s="4"/>
      <c r="L72" s="1">
        <v>143.142</v>
      </c>
      <c r="M72" s="1">
        <v>577.07162300000005</v>
      </c>
    </row>
    <row r="73" spans="1:16">
      <c r="A73" s="1" t="s">
        <v>11</v>
      </c>
      <c r="B73" s="4">
        <v>365529</v>
      </c>
      <c r="C73" s="4">
        <v>414329</v>
      </c>
      <c r="D73" s="4">
        <v>403869</v>
      </c>
      <c r="E73" s="4">
        <f t="shared" si="28"/>
        <v>380052.33333333331</v>
      </c>
      <c r="F73" s="1">
        <v>188.18199999999999</v>
      </c>
      <c r="G73" s="1">
        <v>275.06176299999998</v>
      </c>
      <c r="K73" s="4"/>
      <c r="L73" s="1">
        <v>188.53399999999999</v>
      </c>
      <c r="M73" s="1">
        <v>232.04780500000001</v>
      </c>
    </row>
    <row r="74" spans="1:16">
      <c r="A74" s="1" t="s">
        <v>12</v>
      </c>
      <c r="B74" s="4">
        <v>365975</v>
      </c>
      <c r="C74" s="4">
        <v>413641</v>
      </c>
      <c r="D74" s="4">
        <v>407111</v>
      </c>
      <c r="E74" s="4">
        <f t="shared" si="28"/>
        <v>380775.33333333331</v>
      </c>
      <c r="F74" s="1">
        <v>168.63800000000001</v>
      </c>
      <c r="G74" s="1">
        <v>728.38012300000003</v>
      </c>
      <c r="K74" s="4"/>
      <c r="L74" s="1">
        <v>169.792</v>
      </c>
      <c r="M74" s="1">
        <v>652.71579599999995</v>
      </c>
    </row>
    <row r="75" spans="1:16">
      <c r="A75" s="1" t="s">
        <v>13</v>
      </c>
      <c r="B75" s="4">
        <v>359610</v>
      </c>
      <c r="C75" s="4">
        <v>405240</v>
      </c>
      <c r="D75" s="4">
        <v>398737</v>
      </c>
      <c r="E75" s="4">
        <f t="shared" si="28"/>
        <v>373736.16666666669</v>
      </c>
      <c r="F75" s="1">
        <v>243.096</v>
      </c>
      <c r="G75" s="1">
        <v>317.24192799999997</v>
      </c>
      <c r="K75" s="4"/>
      <c r="L75" s="1">
        <v>245.75800000000001</v>
      </c>
      <c r="M75" s="1">
        <v>281.82930900000002</v>
      </c>
    </row>
    <row r="76" spans="1:16">
      <c r="A76" s="1" t="s">
        <v>14</v>
      </c>
      <c r="B76" s="4">
        <v>360351</v>
      </c>
      <c r="C76" s="4">
        <v>414310</v>
      </c>
      <c r="D76" s="4">
        <v>406442</v>
      </c>
      <c r="E76" s="4">
        <f t="shared" si="28"/>
        <v>377026</v>
      </c>
      <c r="F76" s="1">
        <v>234.93</v>
      </c>
      <c r="G76" s="1">
        <v>354.22195699999997</v>
      </c>
      <c r="K76" s="4"/>
      <c r="L76" s="1">
        <v>234.97399999999999</v>
      </c>
      <c r="M76" s="1">
        <v>318.31315699999999</v>
      </c>
    </row>
    <row r="77" spans="1:16">
      <c r="A77" s="1" t="s">
        <v>7</v>
      </c>
      <c r="B77" s="4">
        <f>AVERAGE(B69:B76)</f>
        <v>366574.125</v>
      </c>
      <c r="C77" s="4">
        <f t="shared" ref="C77:G77" si="29">AVERAGE(C69:C76)</f>
        <v>412226</v>
      </c>
      <c r="D77" s="4">
        <f t="shared" si="29"/>
        <v>404940.75</v>
      </c>
      <c r="E77" s="4">
        <f t="shared" si="29"/>
        <v>380577.20833333331</v>
      </c>
      <c r="F77" s="5">
        <f t="shared" si="29"/>
        <v>179.96775</v>
      </c>
      <c r="G77" s="5">
        <f t="shared" si="29"/>
        <v>423.641035375</v>
      </c>
      <c r="H77" s="1" t="s">
        <v>189</v>
      </c>
      <c r="I77" s="1">
        <f>5*3600+48*60+47</f>
        <v>20927</v>
      </c>
      <c r="K77" s="4">
        <v>380577</v>
      </c>
      <c r="L77" s="5">
        <f t="shared" ref="L77:M77" si="30">AVERAGE(L69:L76)</f>
        <v>180.58525</v>
      </c>
      <c r="M77" s="5">
        <f t="shared" si="30"/>
        <v>366.19995775000007</v>
      </c>
      <c r="N77" s="1" t="s">
        <v>99</v>
      </c>
      <c r="O77" s="1">
        <f>5*3600+40*60+54</f>
        <v>20454</v>
      </c>
    </row>
    <row r="78" spans="1:16">
      <c r="K78" s="6">
        <f>K77-E77</f>
        <v>-0.20833333331393078</v>
      </c>
      <c r="L78" s="6">
        <f t="shared" ref="L78" si="31">L77-F77</f>
        <v>0.61750000000000682</v>
      </c>
      <c r="M78" s="18">
        <f t="shared" ref="M78" si="32">M77-G77</f>
        <v>-57.441077624999934</v>
      </c>
      <c r="O78" s="19">
        <f>O77-I77</f>
        <v>-473</v>
      </c>
      <c r="P78" s="19">
        <f>(I77-O77)/I77</f>
        <v>2.260237970086491E-2</v>
      </c>
    </row>
    <row r="79" spans="1:16">
      <c r="A79" s="1" t="s">
        <v>52</v>
      </c>
    </row>
    <row r="80" spans="1:16">
      <c r="A80" s="1" t="s">
        <v>4</v>
      </c>
      <c r="B80" s="4">
        <v>355015</v>
      </c>
      <c r="C80" s="4">
        <v>393435</v>
      </c>
      <c r="D80" s="4">
        <v>391164</v>
      </c>
      <c r="E80" s="4">
        <f>(B80*4+C80+D80)/6</f>
        <v>367443.16666666669</v>
      </c>
      <c r="F80" s="1">
        <v>117.544</v>
      </c>
      <c r="G80" s="1">
        <v>186.72606300000001</v>
      </c>
      <c r="K80" s="4"/>
      <c r="L80" s="1">
        <v>117.578</v>
      </c>
      <c r="M80" s="1">
        <v>134.16440900000001</v>
      </c>
    </row>
    <row r="81" spans="1:16">
      <c r="A81" s="1" t="s">
        <v>5</v>
      </c>
      <c r="B81" s="4">
        <v>351349</v>
      </c>
      <c r="C81" s="4">
        <v>399086</v>
      </c>
      <c r="D81" s="4">
        <v>392158</v>
      </c>
      <c r="E81" s="4">
        <f t="shared" ref="E81:E87" si="33">(B81*4+C81+D81)/6</f>
        <v>366106.66666666669</v>
      </c>
      <c r="F81" s="1">
        <v>79.078000000000003</v>
      </c>
      <c r="G81" s="1">
        <v>524.87739399999998</v>
      </c>
      <c r="K81" s="4"/>
      <c r="L81" s="1">
        <v>78.34</v>
      </c>
      <c r="M81" s="1">
        <v>424.29038500000001</v>
      </c>
    </row>
    <row r="82" spans="1:16">
      <c r="A82" s="1" t="s">
        <v>6</v>
      </c>
      <c r="B82" s="4">
        <v>352072</v>
      </c>
      <c r="C82" s="4">
        <v>401704</v>
      </c>
      <c r="D82" s="4">
        <v>392088</v>
      </c>
      <c r="E82" s="4">
        <f t="shared" si="33"/>
        <v>367013.33333333331</v>
      </c>
      <c r="F82" s="1">
        <v>98.873999999999995</v>
      </c>
      <c r="G82" s="1">
        <v>211.68003200000001</v>
      </c>
      <c r="K82" s="4"/>
      <c r="L82" s="1">
        <v>98.397999999999996</v>
      </c>
      <c r="M82" s="1">
        <v>160.45324199999999</v>
      </c>
    </row>
    <row r="83" spans="1:16">
      <c r="A83" s="1" t="s">
        <v>10</v>
      </c>
      <c r="B83" s="4">
        <v>350110</v>
      </c>
      <c r="C83" s="4">
        <v>404014</v>
      </c>
      <c r="D83" s="4">
        <v>399704</v>
      </c>
      <c r="E83" s="4">
        <f t="shared" si="33"/>
        <v>367359.66666666669</v>
      </c>
      <c r="F83" s="1">
        <v>92.36</v>
      </c>
      <c r="G83" s="1">
        <v>551.94744100000003</v>
      </c>
      <c r="K83" s="4"/>
      <c r="L83" s="1">
        <v>91.847999999999999</v>
      </c>
      <c r="M83" s="1">
        <v>454.72914500000002</v>
      </c>
    </row>
    <row r="84" spans="1:16">
      <c r="A84" s="1" t="s">
        <v>11</v>
      </c>
      <c r="B84" s="4">
        <v>346529</v>
      </c>
      <c r="C84" s="4">
        <v>401364</v>
      </c>
      <c r="D84" s="4">
        <v>391203</v>
      </c>
      <c r="E84" s="4">
        <f t="shared" si="33"/>
        <v>363113.83333333331</v>
      </c>
      <c r="F84" s="1">
        <v>120.402</v>
      </c>
      <c r="G84" s="1">
        <v>243.97312199999999</v>
      </c>
      <c r="K84" s="4"/>
      <c r="L84" s="1">
        <v>121.176</v>
      </c>
      <c r="M84" s="1">
        <v>195.38237599999999</v>
      </c>
    </row>
    <row r="85" spans="1:16">
      <c r="A85" s="1" t="s">
        <v>12</v>
      </c>
      <c r="B85" s="4">
        <v>348110</v>
      </c>
      <c r="C85" s="4">
        <v>402041</v>
      </c>
      <c r="D85" s="4">
        <v>397000</v>
      </c>
      <c r="E85" s="4">
        <f t="shared" si="33"/>
        <v>365246.83333333331</v>
      </c>
      <c r="F85" s="1">
        <v>111.688</v>
      </c>
      <c r="G85" s="1">
        <v>606.36379399999998</v>
      </c>
      <c r="K85" s="4"/>
      <c r="L85" s="1">
        <v>111.702</v>
      </c>
      <c r="M85" s="1">
        <v>517.84194200000002</v>
      </c>
    </row>
    <row r="86" spans="1:16">
      <c r="A86" s="1" t="s">
        <v>13</v>
      </c>
      <c r="B86" s="4">
        <v>342036</v>
      </c>
      <c r="C86" s="4">
        <v>392929</v>
      </c>
      <c r="D86" s="4">
        <v>385785</v>
      </c>
      <c r="E86" s="4">
        <f t="shared" si="33"/>
        <v>357809.66666666669</v>
      </c>
      <c r="F86" s="1">
        <v>158.95599999999999</v>
      </c>
      <c r="G86" s="1">
        <v>280.58368899999999</v>
      </c>
      <c r="K86" s="4"/>
      <c r="L86" s="1">
        <v>158.01</v>
      </c>
      <c r="M86" s="1">
        <v>234.124202</v>
      </c>
    </row>
    <row r="87" spans="1:16">
      <c r="A87" s="1" t="s">
        <v>14</v>
      </c>
      <c r="B87" s="4">
        <v>340824</v>
      </c>
      <c r="C87" s="4">
        <v>403385</v>
      </c>
      <c r="D87" s="4">
        <v>395295</v>
      </c>
      <c r="E87" s="4">
        <f t="shared" si="33"/>
        <v>360329.33333333331</v>
      </c>
      <c r="F87" s="1">
        <v>146.76</v>
      </c>
      <c r="G87" s="1">
        <v>309.37165299999998</v>
      </c>
      <c r="K87" s="4"/>
      <c r="L87" s="1">
        <v>147.97</v>
      </c>
      <c r="M87" s="1">
        <v>263.891099</v>
      </c>
    </row>
    <row r="88" spans="1:16">
      <c r="A88" s="1" t="s">
        <v>7</v>
      </c>
      <c r="B88" s="4">
        <f>AVERAGE(B80:B87)</f>
        <v>348255.625</v>
      </c>
      <c r="C88" s="4">
        <f t="shared" ref="C88:G88" si="34">AVERAGE(C80:C87)</f>
        <v>399744.75</v>
      </c>
      <c r="D88" s="4">
        <f t="shared" si="34"/>
        <v>393049.625</v>
      </c>
      <c r="E88" s="4">
        <f t="shared" si="34"/>
        <v>364302.8125</v>
      </c>
      <c r="F88" s="5">
        <f t="shared" si="34"/>
        <v>115.70775</v>
      </c>
      <c r="G88" s="5">
        <f t="shared" si="34"/>
        <v>364.44039850000001</v>
      </c>
      <c r="H88" s="1" t="s">
        <v>191</v>
      </c>
      <c r="I88" s="1">
        <f>5*3600+33*60+42</f>
        <v>20022</v>
      </c>
      <c r="K88" s="4">
        <v>364239</v>
      </c>
      <c r="L88" s="5">
        <f t="shared" ref="L88:M88" si="35">AVERAGE(L80:L87)</f>
        <v>115.62775000000001</v>
      </c>
      <c r="M88" s="5">
        <f t="shared" si="35"/>
        <v>298.1096</v>
      </c>
      <c r="N88" s="1" t="s">
        <v>100</v>
      </c>
      <c r="O88" s="1">
        <f>5*3600+24*60+19</f>
        <v>19459</v>
      </c>
    </row>
    <row r="89" spans="1:16">
      <c r="K89" s="6">
        <f>K88-E88</f>
        <v>-63.8125</v>
      </c>
      <c r="L89" s="18">
        <f t="shared" ref="L89" si="36">L88-F88</f>
        <v>-7.9999999999998295E-2</v>
      </c>
      <c r="M89" s="18">
        <f t="shared" ref="M89" si="37">M88-G88</f>
        <v>-66.330798500000014</v>
      </c>
      <c r="O89" s="19">
        <f>O88-I88</f>
        <v>-563</v>
      </c>
      <c r="P89" s="19">
        <f>(I88-O88)/I88</f>
        <v>2.8119069024073517E-2</v>
      </c>
    </row>
    <row r="90" spans="1:16">
      <c r="A90" s="1" t="s">
        <v>62</v>
      </c>
    </row>
    <row r="91" spans="1:16">
      <c r="A91" s="1" t="s">
        <v>4</v>
      </c>
      <c r="B91" s="4">
        <v>378963</v>
      </c>
      <c r="C91" s="4">
        <v>418608</v>
      </c>
      <c r="D91" s="4">
        <v>413363</v>
      </c>
      <c r="E91" s="4">
        <f>(B91*4+C91+D91)/6</f>
        <v>391303.83333333331</v>
      </c>
      <c r="F91" s="1">
        <v>744.21199999999999</v>
      </c>
      <c r="G91" s="1">
        <v>179.13316800000001</v>
      </c>
      <c r="K91" s="4"/>
      <c r="L91" s="1">
        <v>743.58399999999995</v>
      </c>
      <c r="M91" s="1">
        <v>120.87696800000001</v>
      </c>
    </row>
    <row r="92" spans="1:16">
      <c r="A92" s="1" t="s">
        <v>5</v>
      </c>
      <c r="B92" s="4">
        <v>377700</v>
      </c>
      <c r="C92" s="4">
        <v>418754</v>
      </c>
      <c r="D92" s="4">
        <v>412117</v>
      </c>
      <c r="E92" s="4">
        <f t="shared" ref="E92:E98" si="38">(B92*4+C92+D92)/6</f>
        <v>390278.5</v>
      </c>
      <c r="F92" s="1">
        <v>652.29600000000005</v>
      </c>
      <c r="G92" s="1">
        <v>633.31066599999997</v>
      </c>
      <c r="K92" s="4"/>
      <c r="L92" s="1">
        <v>652.16600000000005</v>
      </c>
      <c r="M92" s="1">
        <v>577.972984</v>
      </c>
    </row>
    <row r="93" spans="1:16">
      <c r="A93" s="1" t="s">
        <v>6</v>
      </c>
      <c r="B93" s="4">
        <v>381633</v>
      </c>
      <c r="C93" s="4">
        <v>423973</v>
      </c>
      <c r="D93" s="4">
        <v>415935</v>
      </c>
      <c r="E93" s="4">
        <f t="shared" si="38"/>
        <v>394406.66666666669</v>
      </c>
      <c r="F93" s="1">
        <v>650.404</v>
      </c>
      <c r="G93" s="1">
        <v>198.813299</v>
      </c>
      <c r="K93" s="4"/>
      <c r="L93" s="1">
        <v>649.39599999999996</v>
      </c>
      <c r="M93" s="1">
        <v>142.48355100000001</v>
      </c>
    </row>
    <row r="94" spans="1:16">
      <c r="A94" s="1" t="s">
        <v>10</v>
      </c>
      <c r="B94" s="4">
        <v>381558</v>
      </c>
      <c r="C94" s="4">
        <v>421020</v>
      </c>
      <c r="D94" s="4">
        <v>419938</v>
      </c>
      <c r="E94" s="4">
        <f t="shared" si="38"/>
        <v>394531.66666666669</v>
      </c>
      <c r="F94" s="1">
        <v>577.48599999999999</v>
      </c>
      <c r="G94" s="1">
        <v>610.51682100000005</v>
      </c>
      <c r="K94" s="4"/>
      <c r="L94" s="1">
        <v>574.64800000000002</v>
      </c>
      <c r="M94" s="1">
        <v>555.24844599999994</v>
      </c>
    </row>
    <row r="95" spans="1:16">
      <c r="A95" s="1" t="s">
        <v>11</v>
      </c>
      <c r="B95" s="4">
        <v>381130</v>
      </c>
      <c r="C95" s="4">
        <v>419801</v>
      </c>
      <c r="D95" s="4">
        <v>415885</v>
      </c>
      <c r="E95" s="4">
        <f t="shared" si="38"/>
        <v>393367.66666666669</v>
      </c>
      <c r="F95" s="1">
        <v>685.82399999999996</v>
      </c>
      <c r="G95" s="1">
        <v>199.48648299999999</v>
      </c>
      <c r="K95" s="4"/>
      <c r="L95" s="1">
        <v>686.33</v>
      </c>
      <c r="M95" s="1">
        <v>142.88389699999999</v>
      </c>
    </row>
    <row r="96" spans="1:16">
      <c r="A96" s="1" t="s">
        <v>12</v>
      </c>
      <c r="B96" s="4">
        <v>390326</v>
      </c>
      <c r="C96" s="4">
        <v>430664</v>
      </c>
      <c r="D96" s="4">
        <v>426251</v>
      </c>
      <c r="E96" s="4">
        <f t="shared" si="38"/>
        <v>403036.5</v>
      </c>
      <c r="F96" s="1">
        <v>494.07799999999997</v>
      </c>
      <c r="G96" s="1">
        <v>659.96905100000004</v>
      </c>
      <c r="K96" s="4"/>
      <c r="L96" s="1">
        <v>492.74200000000002</v>
      </c>
      <c r="M96" s="1">
        <v>597.08783600000004</v>
      </c>
    </row>
    <row r="97" spans="1:16">
      <c r="A97" s="1" t="s">
        <v>13</v>
      </c>
      <c r="B97" s="4">
        <v>374092</v>
      </c>
      <c r="C97" s="4">
        <v>416755</v>
      </c>
      <c r="D97" s="4">
        <v>409232</v>
      </c>
      <c r="E97" s="4">
        <f t="shared" si="38"/>
        <v>387059.16666666669</v>
      </c>
      <c r="F97" s="1">
        <v>822.39400000000001</v>
      </c>
      <c r="G97" s="1">
        <v>206.29422</v>
      </c>
      <c r="K97" s="4"/>
      <c r="L97" s="1">
        <v>821.98400000000004</v>
      </c>
      <c r="M97" s="1">
        <v>150.174543</v>
      </c>
    </row>
    <row r="98" spans="1:16">
      <c r="A98" s="1" t="s">
        <v>14</v>
      </c>
      <c r="B98" s="4">
        <v>381507</v>
      </c>
      <c r="C98" s="4">
        <v>419065</v>
      </c>
      <c r="D98" s="4">
        <v>414513</v>
      </c>
      <c r="E98" s="4">
        <f t="shared" si="38"/>
        <v>393267.66666666669</v>
      </c>
      <c r="F98" s="1">
        <v>717.53</v>
      </c>
      <c r="G98" s="1">
        <v>233.321642</v>
      </c>
      <c r="K98" s="4"/>
      <c r="L98" s="1">
        <v>717.72799999999995</v>
      </c>
      <c r="M98" s="1">
        <v>177.771871</v>
      </c>
    </row>
    <row r="99" spans="1:16">
      <c r="A99" s="1" t="s">
        <v>7</v>
      </c>
      <c r="B99" s="4">
        <f>AVERAGE(B91:B98)</f>
        <v>380863.625</v>
      </c>
      <c r="C99" s="4">
        <f t="shared" ref="C99:G99" si="39">AVERAGE(C91:C98)</f>
        <v>421080</v>
      </c>
      <c r="D99" s="4">
        <f t="shared" si="39"/>
        <v>415904.25</v>
      </c>
      <c r="E99" s="4">
        <f t="shared" si="39"/>
        <v>393406.45833333331</v>
      </c>
      <c r="F99" s="5">
        <f t="shared" si="39"/>
        <v>668.02800000000002</v>
      </c>
      <c r="G99" s="5">
        <f t="shared" si="39"/>
        <v>365.10566874999995</v>
      </c>
      <c r="H99" s="1" t="s">
        <v>190</v>
      </c>
      <c r="I99" s="1">
        <f>6*3600+4*60+2</f>
        <v>21842</v>
      </c>
      <c r="K99" s="4">
        <v>393408</v>
      </c>
      <c r="L99" s="5">
        <f t="shared" ref="L99:M99" si="40">AVERAGE(L91:L98)</f>
        <v>667.32225000000005</v>
      </c>
      <c r="M99" s="5">
        <f t="shared" si="40"/>
        <v>308.06251199999997</v>
      </c>
      <c r="N99" s="1" t="s">
        <v>101</v>
      </c>
      <c r="O99" s="1">
        <f>5*3600+56*60+17</f>
        <v>21377</v>
      </c>
    </row>
    <row r="100" spans="1:16">
      <c r="K100" s="18">
        <f>K99-E99</f>
        <v>1.5416666666860692</v>
      </c>
      <c r="L100" s="18">
        <f t="shared" ref="L100" si="41">L99-F99</f>
        <v>-0.70574999999996635</v>
      </c>
      <c r="M100" s="18">
        <f t="shared" ref="M100" si="42">M99-G99</f>
        <v>-57.04315674999998</v>
      </c>
      <c r="O100" s="19">
        <f>O99-I99</f>
        <v>-465</v>
      </c>
      <c r="P100" s="19">
        <f>(I99-O99)/I99</f>
        <v>2.1289259225345664E-2</v>
      </c>
    </row>
    <row r="101" spans="1:16">
      <c r="A101" s="1" t="s">
        <v>63</v>
      </c>
    </row>
    <row r="102" spans="1:16">
      <c r="A102" s="1" t="s">
        <v>4</v>
      </c>
      <c r="B102" s="4">
        <v>365244</v>
      </c>
      <c r="C102" s="4">
        <v>407677</v>
      </c>
      <c r="D102" s="4">
        <v>401010</v>
      </c>
      <c r="E102" s="4">
        <f>(B102*4+C102+D102)/6</f>
        <v>378277.16666666669</v>
      </c>
      <c r="F102" s="1">
        <v>366.30399999999997</v>
      </c>
      <c r="G102" s="1">
        <v>172.305218</v>
      </c>
      <c r="K102" s="4"/>
      <c r="L102" s="1">
        <v>366.15</v>
      </c>
      <c r="M102" s="1">
        <v>116.20215899999999</v>
      </c>
    </row>
    <row r="103" spans="1:16">
      <c r="A103" s="1" t="s">
        <v>5</v>
      </c>
      <c r="B103" s="4">
        <v>364503</v>
      </c>
      <c r="C103" s="4">
        <v>409508</v>
      </c>
      <c r="D103" s="4">
        <v>400589</v>
      </c>
      <c r="E103" s="4">
        <f t="shared" ref="E103:E109" si="43">(B103*4+C103+D103)/6</f>
        <v>378018.16666666669</v>
      </c>
      <c r="F103" s="1">
        <v>268.71199999999999</v>
      </c>
      <c r="G103" s="1">
        <v>536.52356899999995</v>
      </c>
      <c r="K103" s="4"/>
      <c r="L103" s="1">
        <v>267.92200000000003</v>
      </c>
      <c r="M103" s="1">
        <v>471.89007900000001</v>
      </c>
    </row>
    <row r="104" spans="1:16">
      <c r="A104" s="1" t="s">
        <v>6</v>
      </c>
      <c r="B104" s="4">
        <v>368231</v>
      </c>
      <c r="C104" s="4">
        <v>414998</v>
      </c>
      <c r="D104" s="4">
        <v>403327</v>
      </c>
      <c r="E104" s="4">
        <f t="shared" si="43"/>
        <v>381874.83333333331</v>
      </c>
      <c r="F104" s="1">
        <v>286.24799999999999</v>
      </c>
      <c r="G104" s="1">
        <v>186.368312</v>
      </c>
      <c r="K104" s="4"/>
      <c r="L104" s="1">
        <v>284.964</v>
      </c>
      <c r="M104" s="1">
        <v>131.39696000000001</v>
      </c>
    </row>
    <row r="105" spans="1:16">
      <c r="A105" s="1" t="s">
        <v>10</v>
      </c>
      <c r="B105" s="4">
        <v>367970</v>
      </c>
      <c r="C105" s="4">
        <v>411257</v>
      </c>
      <c r="D105" s="4">
        <v>409465</v>
      </c>
      <c r="E105" s="4">
        <f t="shared" si="43"/>
        <v>382100.33333333331</v>
      </c>
      <c r="F105" s="1">
        <v>234.66800000000001</v>
      </c>
      <c r="G105" s="1">
        <v>525.45052099999998</v>
      </c>
      <c r="K105" s="4"/>
      <c r="L105" s="1">
        <v>235.88200000000001</v>
      </c>
      <c r="M105" s="1">
        <v>457.54897799999998</v>
      </c>
    </row>
    <row r="106" spans="1:16">
      <c r="A106" s="1" t="s">
        <v>11</v>
      </c>
      <c r="B106" s="4">
        <v>366656</v>
      </c>
      <c r="C106" s="4">
        <v>408822</v>
      </c>
      <c r="D106" s="4">
        <v>402566</v>
      </c>
      <c r="E106" s="4">
        <f t="shared" si="43"/>
        <v>379668.66666666669</v>
      </c>
      <c r="F106" s="1">
        <v>318.476</v>
      </c>
      <c r="G106" s="1">
        <v>187.98007999999999</v>
      </c>
      <c r="K106" s="4"/>
      <c r="L106" s="1">
        <v>317.39999999999998</v>
      </c>
      <c r="M106" s="1">
        <v>132.96176500000001</v>
      </c>
    </row>
    <row r="107" spans="1:16">
      <c r="A107" s="1" t="s">
        <v>12</v>
      </c>
      <c r="B107" s="4">
        <v>376792</v>
      </c>
      <c r="C107" s="4">
        <v>421481</v>
      </c>
      <c r="D107" s="4">
        <v>415913</v>
      </c>
      <c r="E107" s="4">
        <f t="shared" si="43"/>
        <v>390760.33333333331</v>
      </c>
      <c r="F107" s="1">
        <v>225.566</v>
      </c>
      <c r="G107" s="1">
        <v>561.57560599999999</v>
      </c>
      <c r="K107" s="4"/>
      <c r="L107" s="1">
        <v>226.34399999999999</v>
      </c>
      <c r="M107" s="1">
        <v>489.73701499999999</v>
      </c>
    </row>
    <row r="108" spans="1:16">
      <c r="A108" s="1" t="s">
        <v>13</v>
      </c>
      <c r="B108" s="4">
        <v>361166</v>
      </c>
      <c r="C108" s="4">
        <v>408162</v>
      </c>
      <c r="D108" s="4">
        <v>398446</v>
      </c>
      <c r="E108" s="4">
        <f t="shared" si="43"/>
        <v>375212</v>
      </c>
      <c r="F108" s="1">
        <v>352.85</v>
      </c>
      <c r="G108" s="1">
        <v>192.143271</v>
      </c>
      <c r="K108" s="4"/>
      <c r="L108" s="1">
        <v>352.30799999999999</v>
      </c>
      <c r="M108" s="1">
        <v>137.28080499999999</v>
      </c>
    </row>
    <row r="109" spans="1:16">
      <c r="A109" s="1" t="s">
        <v>14</v>
      </c>
      <c r="B109" s="4">
        <v>367313</v>
      </c>
      <c r="C109" s="4">
        <v>408286</v>
      </c>
      <c r="D109" s="4">
        <v>402607</v>
      </c>
      <c r="E109" s="4">
        <f t="shared" si="43"/>
        <v>380024.16666666669</v>
      </c>
      <c r="F109" s="1">
        <v>352.476</v>
      </c>
      <c r="G109" s="1">
        <v>215.121813</v>
      </c>
      <c r="K109" s="4"/>
      <c r="L109" s="1">
        <v>351.03399999999999</v>
      </c>
      <c r="M109" s="1">
        <v>160.85226499999999</v>
      </c>
    </row>
    <row r="110" spans="1:16">
      <c r="A110" s="1" t="s">
        <v>7</v>
      </c>
      <c r="B110" s="4">
        <f>AVERAGE(B102:B109)</f>
        <v>367234.375</v>
      </c>
      <c r="C110" s="4">
        <f t="shared" ref="C110:G110" si="44">AVERAGE(C102:C109)</f>
        <v>411273.875</v>
      </c>
      <c r="D110" s="4">
        <f t="shared" si="44"/>
        <v>404240.375</v>
      </c>
      <c r="E110" s="4">
        <f t="shared" si="44"/>
        <v>380741.95833333331</v>
      </c>
      <c r="F110" s="5">
        <f t="shared" si="44"/>
        <v>300.66250000000002</v>
      </c>
      <c r="G110" s="5">
        <f t="shared" si="44"/>
        <v>322.18354875</v>
      </c>
      <c r="H110" s="1" t="s">
        <v>192</v>
      </c>
      <c r="I110" s="1">
        <f>5*3600+42*60+37</f>
        <v>20557</v>
      </c>
      <c r="K110" s="4">
        <v>380725</v>
      </c>
      <c r="L110" s="5">
        <f t="shared" ref="L110:M110" si="45">AVERAGE(L102:L109)</f>
        <v>300.25050000000005</v>
      </c>
      <c r="M110" s="5">
        <f t="shared" si="45"/>
        <v>262.23375325000001</v>
      </c>
      <c r="N110" s="1" t="s">
        <v>102</v>
      </c>
      <c r="O110" s="1">
        <f>5*3600+34*60+43</f>
        <v>20083</v>
      </c>
    </row>
    <row r="111" spans="1:16">
      <c r="K111" s="6">
        <f>K110-E110</f>
        <v>-16.958333333313931</v>
      </c>
      <c r="L111" s="18">
        <f t="shared" ref="L111" si="46">L110-F110</f>
        <v>-0.41199999999997772</v>
      </c>
      <c r="M111" s="18">
        <f t="shared" ref="M111" si="47">M110-G110</f>
        <v>-59.949795499999993</v>
      </c>
      <c r="O111" s="19">
        <f>O110-I110</f>
        <v>-474</v>
      </c>
      <c r="P111" s="19">
        <f>(I110-O110)/I110</f>
        <v>2.305783917886851E-2</v>
      </c>
    </row>
    <row r="112" spans="1:16">
      <c r="A112" s="1" t="s">
        <v>64</v>
      </c>
    </row>
    <row r="113" spans="1:16">
      <c r="A113" s="1" t="s">
        <v>4</v>
      </c>
      <c r="B113" s="4">
        <v>350764</v>
      </c>
      <c r="C113" s="4">
        <v>399960</v>
      </c>
      <c r="D113" s="4">
        <v>392464</v>
      </c>
      <c r="E113" s="4">
        <f>(B113*4+C113+D113)/6</f>
        <v>365913.33333333331</v>
      </c>
      <c r="F113" s="1">
        <v>198.08799999999999</v>
      </c>
      <c r="G113" s="1">
        <v>166.96145300000001</v>
      </c>
      <c r="K113" s="4"/>
      <c r="L113" s="1">
        <v>198.05799999999999</v>
      </c>
      <c r="M113" s="1">
        <v>112.61873300000001</v>
      </c>
    </row>
    <row r="114" spans="1:16">
      <c r="A114" s="1" t="s">
        <v>5</v>
      </c>
      <c r="B114" s="4">
        <v>348388</v>
      </c>
      <c r="C114" s="4">
        <v>402599</v>
      </c>
      <c r="D114" s="4">
        <v>391653</v>
      </c>
      <c r="E114" s="4">
        <f t="shared" ref="E114:E120" si="48">(B114*4+C114+D114)/6</f>
        <v>364634</v>
      </c>
      <c r="F114" s="1">
        <v>121.214</v>
      </c>
      <c r="G114" s="1">
        <v>463.290841</v>
      </c>
      <c r="K114" s="4"/>
      <c r="L114" s="1">
        <v>121.456</v>
      </c>
      <c r="M114" s="1">
        <v>389.42741699999999</v>
      </c>
    </row>
    <row r="115" spans="1:16">
      <c r="A115" s="1" t="s">
        <v>6</v>
      </c>
      <c r="B115" s="4">
        <v>352342</v>
      </c>
      <c r="C115" s="4">
        <v>407766</v>
      </c>
      <c r="D115" s="4">
        <v>393131</v>
      </c>
      <c r="E115" s="4">
        <f t="shared" si="48"/>
        <v>368377.5</v>
      </c>
      <c r="F115" s="1">
        <v>139.97999999999999</v>
      </c>
      <c r="G115" s="1">
        <v>177.010595</v>
      </c>
      <c r="K115" s="4"/>
      <c r="L115" s="1">
        <v>139.66200000000001</v>
      </c>
      <c r="M115" s="1">
        <v>123.246673</v>
      </c>
    </row>
    <row r="116" spans="1:16">
      <c r="A116" s="1" t="s">
        <v>10</v>
      </c>
      <c r="B116" s="4">
        <v>352108</v>
      </c>
      <c r="C116" s="4">
        <v>404592</v>
      </c>
      <c r="D116" s="4">
        <v>402412</v>
      </c>
      <c r="E116" s="4">
        <f t="shared" si="48"/>
        <v>369239.33333333331</v>
      </c>
      <c r="F116" s="1">
        <v>108.664</v>
      </c>
      <c r="G116" s="1">
        <v>459.84102899999999</v>
      </c>
      <c r="K116" s="4"/>
      <c r="L116" s="1">
        <v>108.97199999999999</v>
      </c>
      <c r="M116" s="1">
        <v>380.25927200000001</v>
      </c>
    </row>
    <row r="117" spans="1:16">
      <c r="A117" s="1" t="s">
        <v>11</v>
      </c>
      <c r="B117" s="4">
        <v>350010</v>
      </c>
      <c r="C117" s="4">
        <v>401307</v>
      </c>
      <c r="D117" s="4">
        <v>391105</v>
      </c>
      <c r="E117" s="4">
        <f t="shared" si="48"/>
        <v>365408.66666666669</v>
      </c>
      <c r="F117" s="1">
        <v>157.124</v>
      </c>
      <c r="G117" s="1">
        <v>178.606764</v>
      </c>
      <c r="K117" s="4"/>
      <c r="L117" s="1">
        <v>156.56</v>
      </c>
      <c r="M117" s="1">
        <v>125.106167</v>
      </c>
    </row>
    <row r="118" spans="1:16">
      <c r="A118" s="1" t="s">
        <v>12</v>
      </c>
      <c r="B118" s="4">
        <v>359943</v>
      </c>
      <c r="C118" s="4">
        <v>414211</v>
      </c>
      <c r="D118" s="4">
        <v>408164</v>
      </c>
      <c r="E118" s="4">
        <f t="shared" si="48"/>
        <v>377024.5</v>
      </c>
      <c r="F118" s="1">
        <v>114.07</v>
      </c>
      <c r="G118" s="1">
        <v>484.09955200000002</v>
      </c>
      <c r="K118" s="4"/>
      <c r="L118" s="1">
        <v>114.31399999999999</v>
      </c>
      <c r="M118" s="1">
        <v>400.48057899999998</v>
      </c>
    </row>
    <row r="119" spans="1:16">
      <c r="A119" s="1" t="s">
        <v>13</v>
      </c>
      <c r="B119" s="4">
        <v>346776</v>
      </c>
      <c r="C119" s="4">
        <v>401870</v>
      </c>
      <c r="D119" s="4">
        <v>389877</v>
      </c>
      <c r="E119" s="4">
        <f t="shared" si="48"/>
        <v>363141.83333333331</v>
      </c>
      <c r="F119" s="1">
        <v>174.09800000000001</v>
      </c>
      <c r="G119" s="1">
        <v>181.989992</v>
      </c>
      <c r="K119" s="4"/>
      <c r="L119" s="1">
        <v>174.55600000000001</v>
      </c>
      <c r="M119" s="1">
        <v>128.20239100000001</v>
      </c>
    </row>
    <row r="120" spans="1:16">
      <c r="A120" s="1" t="s">
        <v>14</v>
      </c>
      <c r="B120" s="4">
        <v>350428</v>
      </c>
      <c r="C120" s="4">
        <v>401112</v>
      </c>
      <c r="D120" s="4">
        <v>394774</v>
      </c>
      <c r="E120" s="4">
        <f t="shared" si="48"/>
        <v>366266.33333333331</v>
      </c>
      <c r="F120" s="1">
        <v>181.87200000000001</v>
      </c>
      <c r="G120" s="1">
        <v>200.117605</v>
      </c>
      <c r="K120" s="4"/>
      <c r="L120" s="1">
        <v>181.15799999999999</v>
      </c>
      <c r="M120" s="1">
        <v>146.66866899999999</v>
      </c>
    </row>
    <row r="121" spans="1:16">
      <c r="A121" s="1" t="s">
        <v>7</v>
      </c>
      <c r="B121" s="4">
        <f>AVERAGE(B113:B120)</f>
        <v>351344.875</v>
      </c>
      <c r="C121" s="4">
        <f t="shared" ref="C121:G121" si="49">AVERAGE(C113:C120)</f>
        <v>404177.125</v>
      </c>
      <c r="D121" s="4">
        <f t="shared" si="49"/>
        <v>395447.5</v>
      </c>
      <c r="E121" s="4">
        <f t="shared" si="49"/>
        <v>367500.6875</v>
      </c>
      <c r="F121" s="5">
        <f t="shared" si="49"/>
        <v>149.38875000000002</v>
      </c>
      <c r="G121" s="5">
        <f t="shared" si="49"/>
        <v>288.98972887499997</v>
      </c>
      <c r="H121" s="1" t="s">
        <v>193</v>
      </c>
      <c r="I121" s="1">
        <f>5*3600+29*60+39</f>
        <v>19779</v>
      </c>
      <c r="K121" s="4">
        <v>367529</v>
      </c>
      <c r="L121" s="5">
        <f t="shared" ref="L121:M121" si="50">AVERAGE(L113:L120)</f>
        <v>149.34200000000001</v>
      </c>
      <c r="M121" s="5">
        <f t="shared" si="50"/>
        <v>225.75123762499999</v>
      </c>
      <c r="N121" s="1" t="s">
        <v>103</v>
      </c>
      <c r="O121" s="1">
        <f>5*3600+21*60+13</f>
        <v>19273</v>
      </c>
    </row>
    <row r="122" spans="1:16">
      <c r="K122" s="18">
        <f>K121-E121</f>
        <v>28.3125</v>
      </c>
      <c r="L122" s="18">
        <f t="shared" ref="L122" si="51">L121-F121</f>
        <v>-4.6750000000002956E-2</v>
      </c>
      <c r="M122" s="18">
        <f t="shared" ref="M122" si="52">M121-G121</f>
        <v>-63.238491249999981</v>
      </c>
      <c r="O122" s="19">
        <f>O121-I121</f>
        <v>-506</v>
      </c>
      <c r="P122" s="19">
        <f>(I121-O121)/I121</f>
        <v>2.5582688710248241E-2</v>
      </c>
    </row>
    <row r="123" spans="1:16">
      <c r="A123" s="1" t="s">
        <v>65</v>
      </c>
    </row>
    <row r="124" spans="1:16">
      <c r="A124" s="1" t="s">
        <v>4</v>
      </c>
      <c r="B124" s="4">
        <v>336001</v>
      </c>
      <c r="C124" s="4">
        <v>391584</v>
      </c>
      <c r="D124" s="4">
        <v>383072</v>
      </c>
      <c r="E124" s="4">
        <f>(B124*4+C124+D124)/6</f>
        <v>353110</v>
      </c>
      <c r="F124" s="1">
        <v>116.288</v>
      </c>
      <c r="G124" s="1">
        <v>161.527424</v>
      </c>
      <c r="K124" s="4"/>
      <c r="L124" s="1">
        <v>116.252</v>
      </c>
      <c r="M124" s="1">
        <v>108.04987</v>
      </c>
    </row>
    <row r="125" spans="1:16">
      <c r="A125" s="1" t="s">
        <v>5</v>
      </c>
      <c r="B125" s="4">
        <v>330600</v>
      </c>
      <c r="C125" s="4">
        <v>395092</v>
      </c>
      <c r="D125" s="4">
        <v>382095</v>
      </c>
      <c r="E125" s="4">
        <f t="shared" ref="E125:E131" si="53">(B125*4+C125+D125)/6</f>
        <v>349931.16666666669</v>
      </c>
      <c r="F125" s="1">
        <v>59.33</v>
      </c>
      <c r="G125" s="1">
        <v>398.64022699999998</v>
      </c>
      <c r="K125" s="4"/>
      <c r="L125" s="1">
        <v>59.524000000000001</v>
      </c>
      <c r="M125" s="1">
        <v>316.92977000000002</v>
      </c>
    </row>
    <row r="126" spans="1:16">
      <c r="A126" s="1" t="s">
        <v>6</v>
      </c>
      <c r="B126" s="4">
        <v>334972</v>
      </c>
      <c r="C126" s="4">
        <v>399399</v>
      </c>
      <c r="D126" s="4">
        <v>382452</v>
      </c>
      <c r="E126" s="4">
        <f t="shared" si="53"/>
        <v>353623.16666666669</v>
      </c>
      <c r="F126" s="1">
        <v>71.811999999999998</v>
      </c>
      <c r="G126" s="1">
        <v>168.182424</v>
      </c>
      <c r="K126" s="4"/>
      <c r="L126" s="1">
        <v>72.040000000000006</v>
      </c>
      <c r="M126" s="1">
        <v>116.18426599999999</v>
      </c>
    </row>
    <row r="127" spans="1:16">
      <c r="A127" s="1" t="s">
        <v>10</v>
      </c>
      <c r="B127" s="4">
        <v>334819</v>
      </c>
      <c r="C127" s="4">
        <v>397618</v>
      </c>
      <c r="D127" s="4">
        <v>393819</v>
      </c>
      <c r="E127" s="4">
        <f t="shared" si="53"/>
        <v>355118.83333333331</v>
      </c>
      <c r="F127" s="1">
        <v>54.527999999999999</v>
      </c>
      <c r="G127" s="1">
        <v>396.52791200000001</v>
      </c>
      <c r="K127" s="4"/>
      <c r="L127" s="1">
        <v>54.536000000000001</v>
      </c>
      <c r="M127" s="1">
        <v>309.43692499999997</v>
      </c>
    </row>
    <row r="128" spans="1:16">
      <c r="A128" s="1" t="s">
        <v>11</v>
      </c>
      <c r="B128" s="4">
        <v>332155</v>
      </c>
      <c r="C128" s="4">
        <v>393709</v>
      </c>
      <c r="D128" s="4">
        <v>378583</v>
      </c>
      <c r="E128" s="4">
        <f t="shared" si="53"/>
        <v>350152</v>
      </c>
      <c r="F128" s="1">
        <v>81.12</v>
      </c>
      <c r="G128" s="1">
        <v>169.44534200000001</v>
      </c>
      <c r="K128" s="4"/>
      <c r="L128" s="1">
        <v>80.968000000000004</v>
      </c>
      <c r="M128" s="1">
        <v>117.156989</v>
      </c>
    </row>
    <row r="129" spans="1:16">
      <c r="A129" s="1" t="s">
        <v>12</v>
      </c>
      <c r="B129" s="4">
        <v>340258</v>
      </c>
      <c r="C129" s="4">
        <v>406712</v>
      </c>
      <c r="D129" s="4">
        <v>397781</v>
      </c>
      <c r="E129" s="4">
        <f t="shared" si="53"/>
        <v>360920.83333333331</v>
      </c>
      <c r="F129" s="1">
        <v>62.496000000000002</v>
      </c>
      <c r="G129" s="1">
        <v>411.28818699999999</v>
      </c>
      <c r="K129" s="4"/>
      <c r="L129" s="1">
        <v>62.206000000000003</v>
      </c>
      <c r="M129" s="1">
        <v>319.93338899999998</v>
      </c>
    </row>
    <row r="130" spans="1:16">
      <c r="A130" s="1" t="s">
        <v>13</v>
      </c>
      <c r="B130" s="4">
        <v>330051</v>
      </c>
      <c r="C130" s="4">
        <v>394687</v>
      </c>
      <c r="D130" s="4">
        <v>379740</v>
      </c>
      <c r="E130" s="4">
        <f t="shared" si="53"/>
        <v>349105.16666666669</v>
      </c>
      <c r="F130" s="1">
        <v>93.067999999999998</v>
      </c>
      <c r="G130" s="1">
        <v>172.617414</v>
      </c>
      <c r="K130" s="4"/>
      <c r="L130" s="1">
        <v>92.138000000000005</v>
      </c>
      <c r="M130" s="1">
        <v>120.088976</v>
      </c>
    </row>
    <row r="131" spans="1:16">
      <c r="A131" s="1" t="s">
        <v>14</v>
      </c>
      <c r="B131" s="4">
        <v>331328</v>
      </c>
      <c r="C131" s="4">
        <v>393854</v>
      </c>
      <c r="D131" s="4">
        <v>386567</v>
      </c>
      <c r="E131" s="4">
        <f t="shared" si="53"/>
        <v>350955.5</v>
      </c>
      <c r="F131" s="1">
        <v>94.09</v>
      </c>
      <c r="G131" s="1">
        <v>186.635267</v>
      </c>
      <c r="K131" s="4"/>
      <c r="L131" s="1">
        <v>94.816000000000003</v>
      </c>
      <c r="M131" s="1">
        <v>134.020747</v>
      </c>
    </row>
    <row r="132" spans="1:16">
      <c r="A132" s="1" t="s">
        <v>7</v>
      </c>
      <c r="B132" s="4">
        <f>AVERAGE(B124:B131)</f>
        <v>333773</v>
      </c>
      <c r="C132" s="4">
        <f t="shared" ref="C132:G132" si="54">AVERAGE(C124:C131)</f>
        <v>396581.875</v>
      </c>
      <c r="D132" s="4">
        <f t="shared" si="54"/>
        <v>385513.625</v>
      </c>
      <c r="E132" s="4">
        <f t="shared" si="54"/>
        <v>352864.58333333331</v>
      </c>
      <c r="F132" s="5">
        <f t="shared" si="54"/>
        <v>79.091500000000011</v>
      </c>
      <c r="G132" s="5">
        <f t="shared" si="54"/>
        <v>258.10802462499998</v>
      </c>
      <c r="H132" s="1" t="s">
        <v>194</v>
      </c>
      <c r="I132" s="1">
        <f>5*3600+19*60+0</f>
        <v>19140</v>
      </c>
      <c r="K132" s="4">
        <v>352895</v>
      </c>
      <c r="L132" s="5">
        <f t="shared" ref="L132:M132" si="55">AVERAGE(L124:L131)</f>
        <v>79.060000000000016</v>
      </c>
      <c r="M132" s="5">
        <f t="shared" si="55"/>
        <v>192.72511649999998</v>
      </c>
      <c r="N132" s="1" t="s">
        <v>104</v>
      </c>
      <c r="O132" s="1">
        <f>5*3600+10*60+17</f>
        <v>18617</v>
      </c>
    </row>
    <row r="133" spans="1:16">
      <c r="K133" s="18">
        <f>K132-E132</f>
        <v>30.416666666686069</v>
      </c>
      <c r="L133" s="18">
        <f t="shared" ref="L133" si="56">L132-F132</f>
        <v>-3.1499999999994088E-2</v>
      </c>
      <c r="M133" s="18">
        <f t="shared" ref="M133" si="57">M132-G132</f>
        <v>-65.382908125</v>
      </c>
      <c r="O133" s="19">
        <f>O132-I132</f>
        <v>-523</v>
      </c>
      <c r="P133" s="19">
        <f>(I132-O132)/I132</f>
        <v>2.7324973876698015E-2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32"/>
  <sheetViews>
    <sheetView workbookViewId="0">
      <selection activeCell="E11" sqref="E11"/>
    </sheetView>
  </sheetViews>
  <sheetFormatPr defaultRowHeight="13.5"/>
  <cols>
    <col min="8" max="8" width="9.625" customWidth="1"/>
    <col min="11" max="11" width="10.25" customWidth="1"/>
  </cols>
  <sheetData>
    <row r="1" spans="1:13" ht="14.25">
      <c r="B1" s="2" t="s">
        <v>0</v>
      </c>
      <c r="C1" s="2" t="s">
        <v>1</v>
      </c>
      <c r="D1" s="2" t="s">
        <v>2</v>
      </c>
      <c r="E1" s="2" t="s">
        <v>17</v>
      </c>
      <c r="F1" s="2" t="s">
        <v>3</v>
      </c>
      <c r="G1" s="2" t="s">
        <v>38</v>
      </c>
      <c r="H1" s="3" t="s">
        <v>8</v>
      </c>
      <c r="J1" s="2" t="s">
        <v>38</v>
      </c>
      <c r="K1" s="3" t="s">
        <v>8</v>
      </c>
    </row>
    <row r="2" spans="1:13">
      <c r="A2" s="1" t="s">
        <v>37</v>
      </c>
      <c r="B2" s="1"/>
      <c r="C2" s="1"/>
      <c r="D2" s="1"/>
      <c r="E2" s="1"/>
      <c r="F2" s="1"/>
      <c r="G2" s="1"/>
      <c r="H2" s="1"/>
    </row>
    <row r="3" spans="1:13">
      <c r="A3" s="1" t="s">
        <v>4</v>
      </c>
      <c r="B3" s="4">
        <v>385035</v>
      </c>
      <c r="C3" s="4">
        <v>414787</v>
      </c>
      <c r="D3" s="4">
        <v>413464</v>
      </c>
      <c r="E3" s="4">
        <f>(B3*4+C3+D3)/6</f>
        <v>394731.83333333331</v>
      </c>
      <c r="F3" s="1">
        <v>1277.2539999999999</v>
      </c>
      <c r="G3" s="1">
        <v>325.446911</v>
      </c>
      <c r="H3" s="1"/>
      <c r="J3">
        <v>325.29056300000002</v>
      </c>
    </row>
    <row r="4" spans="1:13">
      <c r="A4" s="1" t="s">
        <v>5</v>
      </c>
      <c r="B4" s="4">
        <v>383206</v>
      </c>
      <c r="C4" s="4">
        <v>415590</v>
      </c>
      <c r="D4" s="4">
        <v>412240</v>
      </c>
      <c r="E4" s="4">
        <f t="shared" ref="E4:E10" si="0">(B4*4+C4+D4)/6</f>
        <v>393442.33333333331</v>
      </c>
      <c r="F4" s="1">
        <v>1002.788</v>
      </c>
      <c r="G4" s="1">
        <v>1007.613572</v>
      </c>
      <c r="H4" s="1"/>
      <c r="J4">
        <v>1008.137612</v>
      </c>
    </row>
    <row r="5" spans="1:13">
      <c r="A5" s="1" t="s">
        <v>6</v>
      </c>
      <c r="B5" s="4">
        <v>386385</v>
      </c>
      <c r="C5" s="4">
        <v>417867</v>
      </c>
      <c r="D5" s="4">
        <v>415249</v>
      </c>
      <c r="E5" s="4">
        <f t="shared" si="0"/>
        <v>396442.66666666669</v>
      </c>
      <c r="F5" s="1">
        <v>1156.232</v>
      </c>
      <c r="G5" s="1">
        <v>362.92805499999997</v>
      </c>
      <c r="H5" s="1"/>
      <c r="J5">
        <v>363.06666200000001</v>
      </c>
    </row>
    <row r="6" spans="1:13">
      <c r="A6" s="1" t="s">
        <v>10</v>
      </c>
      <c r="B6" s="4">
        <v>384989</v>
      </c>
      <c r="C6" s="4">
        <v>414304</v>
      </c>
      <c r="D6" s="4">
        <v>413667</v>
      </c>
      <c r="E6" s="4">
        <f t="shared" si="0"/>
        <v>394654.5</v>
      </c>
      <c r="F6" s="1">
        <v>971.86599999999999</v>
      </c>
      <c r="G6" s="1">
        <v>962.43044199999997</v>
      </c>
      <c r="H6" s="1"/>
      <c r="J6">
        <v>962.53665799999999</v>
      </c>
    </row>
    <row r="7" spans="1:13">
      <c r="A7" s="1" t="s">
        <v>11</v>
      </c>
      <c r="B7" s="4">
        <v>383769</v>
      </c>
      <c r="C7" s="4">
        <v>413176</v>
      </c>
      <c r="D7" s="4">
        <v>410273</v>
      </c>
      <c r="E7" s="4">
        <f t="shared" si="0"/>
        <v>393087.5</v>
      </c>
      <c r="F7" s="1">
        <v>1273.3320000000001</v>
      </c>
      <c r="G7" s="1">
        <v>369.03191299999997</v>
      </c>
      <c r="H7" s="1"/>
      <c r="J7">
        <v>369.05145499999998</v>
      </c>
    </row>
    <row r="8" spans="1:13">
      <c r="A8" s="1" t="s">
        <v>12</v>
      </c>
      <c r="B8" s="4">
        <v>390780</v>
      </c>
      <c r="C8" s="4">
        <v>418447</v>
      </c>
      <c r="D8" s="4">
        <v>417277</v>
      </c>
      <c r="E8" s="4">
        <f t="shared" si="0"/>
        <v>399807.33333333331</v>
      </c>
      <c r="F8" s="1">
        <v>933.60599999999999</v>
      </c>
      <c r="G8" s="1">
        <v>993.10080500000004</v>
      </c>
      <c r="H8" s="1"/>
      <c r="J8">
        <v>993.31568400000003</v>
      </c>
    </row>
    <row r="9" spans="1:13">
      <c r="A9" s="1" t="s">
        <v>13</v>
      </c>
      <c r="B9" s="4">
        <v>379917</v>
      </c>
      <c r="C9" s="4">
        <v>412505</v>
      </c>
      <c r="D9" s="4">
        <v>410634</v>
      </c>
      <c r="E9" s="4">
        <f t="shared" si="0"/>
        <v>390467.83333333331</v>
      </c>
      <c r="F9" s="1">
        <v>1270.5740000000001</v>
      </c>
      <c r="G9" s="1">
        <v>378.93347</v>
      </c>
      <c r="H9" s="1"/>
      <c r="J9">
        <v>378.96439600000002</v>
      </c>
    </row>
    <row r="10" spans="1:13">
      <c r="A10" s="1" t="s">
        <v>14</v>
      </c>
      <c r="B10" s="4">
        <v>382891</v>
      </c>
      <c r="C10" s="4">
        <v>411338</v>
      </c>
      <c r="D10" s="4">
        <v>408201</v>
      </c>
      <c r="E10" s="4">
        <f t="shared" si="0"/>
        <v>391850.5</v>
      </c>
      <c r="F10" s="1">
        <v>1340.6959999999999</v>
      </c>
      <c r="G10" s="1">
        <v>409.48428100000001</v>
      </c>
      <c r="H10" s="1"/>
      <c r="J10">
        <v>409.54287799999997</v>
      </c>
    </row>
    <row r="11" spans="1:13">
      <c r="A11" s="1" t="s">
        <v>7</v>
      </c>
      <c r="B11" s="4">
        <f>AVERAGE(B3:B10)</f>
        <v>384621.5</v>
      </c>
      <c r="C11" s="4">
        <f t="shared" ref="C11:G11" si="1">AVERAGE(C3:C10)</f>
        <v>414751.75</v>
      </c>
      <c r="D11" s="4">
        <f t="shared" si="1"/>
        <v>412625.625</v>
      </c>
      <c r="E11" s="4">
        <f t="shared" si="1"/>
        <v>394310.5625</v>
      </c>
      <c r="F11" s="5">
        <f t="shared" si="1"/>
        <v>1153.2935</v>
      </c>
      <c r="G11" s="5">
        <f t="shared" si="1"/>
        <v>601.12118112500002</v>
      </c>
      <c r="H11" s="1" t="s">
        <v>93</v>
      </c>
      <c r="J11">
        <f>AVERAGE(J3:J10)</f>
        <v>601.23823850000008</v>
      </c>
      <c r="K11" t="s">
        <v>119</v>
      </c>
      <c r="M11" s="15">
        <f>G11-J11</f>
        <v>-0.11705737500005853</v>
      </c>
    </row>
    <row r="13" spans="1:13">
      <c r="A13" s="1" t="s">
        <v>39</v>
      </c>
      <c r="B13" s="1"/>
      <c r="C13" s="1"/>
      <c r="D13" s="1"/>
      <c r="E13" s="1"/>
      <c r="F13" s="1"/>
      <c r="G13" s="1"/>
      <c r="H13" s="1"/>
    </row>
    <row r="14" spans="1:13">
      <c r="A14" s="1" t="s">
        <v>4</v>
      </c>
      <c r="B14" s="4">
        <v>366568</v>
      </c>
      <c r="C14" s="4">
        <v>399445</v>
      </c>
      <c r="D14" s="4">
        <v>397697</v>
      </c>
      <c r="E14" s="4">
        <f>(B14*4+C14+D14)/6</f>
        <v>377235.66666666669</v>
      </c>
      <c r="F14" s="1">
        <v>788.44799999999998</v>
      </c>
      <c r="G14" s="1">
        <v>296.57344399999999</v>
      </c>
      <c r="H14" s="1"/>
      <c r="J14">
        <v>296.419647</v>
      </c>
    </row>
    <row r="15" spans="1:13">
      <c r="A15" s="1" t="s">
        <v>5</v>
      </c>
      <c r="B15" s="4">
        <v>366415</v>
      </c>
      <c r="C15" s="4">
        <v>402133</v>
      </c>
      <c r="D15" s="4">
        <v>397533</v>
      </c>
      <c r="E15" s="4">
        <f t="shared" ref="E15:E21" si="2">(B15*4+C15+D15)/6</f>
        <v>377554.33333333331</v>
      </c>
      <c r="F15" s="1">
        <v>563.86800000000005</v>
      </c>
      <c r="G15" s="1">
        <v>885.792327</v>
      </c>
      <c r="H15" s="1"/>
      <c r="J15">
        <v>885.85372800000005</v>
      </c>
    </row>
    <row r="16" spans="1:13">
      <c r="A16" s="1" t="s">
        <v>6</v>
      </c>
      <c r="B16" s="4">
        <v>368934</v>
      </c>
      <c r="C16" s="4">
        <v>403407</v>
      </c>
      <c r="D16" s="4">
        <v>400372</v>
      </c>
      <c r="E16" s="4">
        <f t="shared" si="2"/>
        <v>379919.16666666669</v>
      </c>
      <c r="F16" s="1">
        <v>682.09199999999998</v>
      </c>
      <c r="G16" s="1">
        <v>330.40236399999998</v>
      </c>
      <c r="H16" s="1"/>
      <c r="J16">
        <v>330.38415600000002</v>
      </c>
    </row>
    <row r="17" spans="1:13">
      <c r="A17" s="1" t="s">
        <v>10</v>
      </c>
      <c r="B17" s="4">
        <v>365683</v>
      </c>
      <c r="C17" s="4">
        <v>399744</v>
      </c>
      <c r="D17" s="4">
        <v>398502</v>
      </c>
      <c r="E17" s="4">
        <f t="shared" si="2"/>
        <v>376829.66666666669</v>
      </c>
      <c r="F17" s="1">
        <v>541.48199999999997</v>
      </c>
      <c r="G17" s="1">
        <v>854.13869799999998</v>
      </c>
      <c r="H17" s="1"/>
      <c r="J17">
        <v>854.24627299999997</v>
      </c>
    </row>
    <row r="18" spans="1:13">
      <c r="A18" s="1" t="s">
        <v>11</v>
      </c>
      <c r="B18" s="4">
        <v>364446</v>
      </c>
      <c r="C18" s="4">
        <v>397476</v>
      </c>
      <c r="D18" s="4">
        <v>394564</v>
      </c>
      <c r="E18" s="4">
        <f t="shared" si="2"/>
        <v>374970.66666666669</v>
      </c>
      <c r="F18" s="1">
        <v>749.34400000000005</v>
      </c>
      <c r="G18" s="1">
        <v>337.39163000000002</v>
      </c>
      <c r="H18" s="1"/>
      <c r="J18">
        <v>337.41601100000003</v>
      </c>
    </row>
    <row r="19" spans="1:13">
      <c r="A19" s="1" t="s">
        <v>12</v>
      </c>
      <c r="B19" s="4">
        <v>371749</v>
      </c>
      <c r="C19" s="4">
        <v>402347</v>
      </c>
      <c r="D19" s="4">
        <v>402128</v>
      </c>
      <c r="E19" s="4">
        <f t="shared" si="2"/>
        <v>381911.83333333331</v>
      </c>
      <c r="F19" s="1">
        <v>533.572</v>
      </c>
      <c r="G19" s="1">
        <v>879.64693799999998</v>
      </c>
      <c r="H19" s="1"/>
      <c r="J19">
        <v>879.72544700000003</v>
      </c>
    </row>
    <row r="20" spans="1:13">
      <c r="A20" s="1" t="s">
        <v>13</v>
      </c>
      <c r="B20" s="4">
        <v>363848</v>
      </c>
      <c r="C20" s="4">
        <v>399124</v>
      </c>
      <c r="D20" s="4">
        <v>396489</v>
      </c>
      <c r="E20" s="4">
        <f t="shared" si="2"/>
        <v>375167.5</v>
      </c>
      <c r="F20" s="1">
        <v>726.42600000000004</v>
      </c>
      <c r="G20" s="1">
        <v>345.28568899999999</v>
      </c>
      <c r="H20" s="1"/>
      <c r="J20">
        <v>345.31813599999998</v>
      </c>
    </row>
    <row r="21" spans="1:13">
      <c r="A21" s="1" t="s">
        <v>14</v>
      </c>
      <c r="B21" s="4">
        <v>363302</v>
      </c>
      <c r="C21" s="4">
        <v>395570</v>
      </c>
      <c r="D21" s="4">
        <v>392189</v>
      </c>
      <c r="E21" s="4">
        <f t="shared" si="2"/>
        <v>373494.5</v>
      </c>
      <c r="F21" s="1">
        <v>783.99599999999998</v>
      </c>
      <c r="G21" s="1">
        <v>375.782579</v>
      </c>
      <c r="H21" s="1"/>
      <c r="J21">
        <v>375.74949099999998</v>
      </c>
    </row>
    <row r="22" spans="1:13">
      <c r="A22" s="1" t="s">
        <v>7</v>
      </c>
      <c r="B22" s="4">
        <f>AVERAGE(B14:B21)</f>
        <v>366368.125</v>
      </c>
      <c r="C22" s="4">
        <f t="shared" ref="C22:G22" si="3">AVERAGE(C14:C21)</f>
        <v>399905.75</v>
      </c>
      <c r="D22" s="4">
        <f t="shared" si="3"/>
        <v>397434.25</v>
      </c>
      <c r="E22" s="4">
        <f t="shared" si="3"/>
        <v>377135.41666666669</v>
      </c>
      <c r="F22" s="5">
        <f t="shared" si="3"/>
        <v>671.15350000000001</v>
      </c>
      <c r="G22" s="5">
        <f t="shared" si="3"/>
        <v>538.12670862499999</v>
      </c>
      <c r="H22" s="1" t="s">
        <v>94</v>
      </c>
      <c r="J22">
        <f>AVERAGE(J14:J21)</f>
        <v>538.13911112499989</v>
      </c>
      <c r="K22" t="s">
        <v>120</v>
      </c>
      <c r="M22" s="15">
        <f>G22-J22</f>
        <v>-1.2402499999893735E-2</v>
      </c>
    </row>
    <row r="24" spans="1:13">
      <c r="A24" s="1" t="s">
        <v>40</v>
      </c>
      <c r="B24" s="1"/>
      <c r="C24" s="1"/>
      <c r="D24" s="1"/>
      <c r="E24" s="1"/>
      <c r="F24" s="1"/>
      <c r="G24" s="1"/>
      <c r="H24" s="1"/>
    </row>
    <row r="25" spans="1:13">
      <c r="A25" s="1" t="s">
        <v>4</v>
      </c>
      <c r="B25" s="4">
        <v>346045</v>
      </c>
      <c r="C25" s="4">
        <v>386532</v>
      </c>
      <c r="D25" s="4">
        <v>385401</v>
      </c>
      <c r="E25" s="4">
        <f>(B25*4+C25+D25)/6</f>
        <v>359352.16666666669</v>
      </c>
      <c r="F25" s="1">
        <v>491.84399999999999</v>
      </c>
      <c r="G25" s="1">
        <v>265.24088499999999</v>
      </c>
      <c r="H25" s="1"/>
      <c r="J25">
        <v>265.062252</v>
      </c>
    </row>
    <row r="26" spans="1:13">
      <c r="A26" s="1" t="s">
        <v>5</v>
      </c>
      <c r="B26" s="4">
        <v>345551</v>
      </c>
      <c r="C26" s="4">
        <v>390633</v>
      </c>
      <c r="D26" s="4">
        <v>385776</v>
      </c>
      <c r="E26" s="4">
        <f t="shared" ref="E26:E32" si="4">(B26*4+C26+D26)/6</f>
        <v>359768.83333333331</v>
      </c>
      <c r="F26" s="1">
        <v>329.2</v>
      </c>
      <c r="G26" s="1">
        <v>751.92476499999998</v>
      </c>
      <c r="H26" s="1"/>
      <c r="J26">
        <v>751.85314500000004</v>
      </c>
    </row>
    <row r="27" spans="1:13">
      <c r="A27" s="1" t="s">
        <v>6</v>
      </c>
      <c r="B27" s="4">
        <v>347999</v>
      </c>
      <c r="C27" s="4">
        <v>391098</v>
      </c>
      <c r="D27" s="4">
        <v>388054</v>
      </c>
      <c r="E27" s="4">
        <f t="shared" si="4"/>
        <v>361858</v>
      </c>
      <c r="F27" s="1">
        <v>412.74400000000003</v>
      </c>
      <c r="G27" s="1">
        <v>294.63288299999999</v>
      </c>
      <c r="H27" s="1"/>
      <c r="J27">
        <v>294.59212400000001</v>
      </c>
    </row>
    <row r="28" spans="1:13">
      <c r="A28" s="1" t="s">
        <v>10</v>
      </c>
      <c r="B28" s="4">
        <v>343474</v>
      </c>
      <c r="C28" s="4">
        <v>388033</v>
      </c>
      <c r="D28" s="4">
        <v>386634</v>
      </c>
      <c r="E28" s="4">
        <f t="shared" si="4"/>
        <v>358093.83333333331</v>
      </c>
      <c r="F28" s="1">
        <v>312.87599999999998</v>
      </c>
      <c r="G28" s="1">
        <v>728.72747300000003</v>
      </c>
      <c r="H28" s="1"/>
      <c r="J28">
        <v>728.81116899999995</v>
      </c>
    </row>
    <row r="29" spans="1:13">
      <c r="A29" s="1" t="s">
        <v>11</v>
      </c>
      <c r="B29" s="4">
        <v>342264</v>
      </c>
      <c r="C29" s="4">
        <v>384438</v>
      </c>
      <c r="D29" s="4">
        <v>382032</v>
      </c>
      <c r="E29" s="4">
        <f t="shared" si="4"/>
        <v>355921</v>
      </c>
      <c r="F29" s="1">
        <v>451.024</v>
      </c>
      <c r="G29" s="1">
        <v>302.78022499999997</v>
      </c>
      <c r="H29" s="1"/>
      <c r="J29">
        <v>302.75114000000002</v>
      </c>
    </row>
    <row r="30" spans="1:13">
      <c r="A30" s="1" t="s">
        <v>12</v>
      </c>
      <c r="B30" s="4">
        <v>349743</v>
      </c>
      <c r="C30" s="4">
        <v>388930</v>
      </c>
      <c r="D30" s="4">
        <v>389489</v>
      </c>
      <c r="E30" s="4">
        <f t="shared" si="4"/>
        <v>362898.5</v>
      </c>
      <c r="F30" s="1">
        <v>324.61</v>
      </c>
      <c r="G30" s="1">
        <v>752.07834800000001</v>
      </c>
      <c r="H30" s="1"/>
      <c r="J30">
        <v>752.15891399999998</v>
      </c>
    </row>
    <row r="31" spans="1:13">
      <c r="A31" s="1" t="s">
        <v>13</v>
      </c>
      <c r="B31" s="4">
        <v>344360</v>
      </c>
      <c r="C31" s="4">
        <v>386282</v>
      </c>
      <c r="D31" s="4">
        <v>383844</v>
      </c>
      <c r="E31" s="4">
        <f t="shared" si="4"/>
        <v>357927.66666666669</v>
      </c>
      <c r="F31" s="1">
        <v>439.37599999999998</v>
      </c>
      <c r="G31" s="1">
        <v>309.51013899999998</v>
      </c>
      <c r="H31" s="1"/>
      <c r="J31">
        <v>309.52711599999998</v>
      </c>
    </row>
    <row r="32" spans="1:13">
      <c r="A32" s="1" t="s">
        <v>14</v>
      </c>
      <c r="B32" s="4">
        <v>340483</v>
      </c>
      <c r="C32" s="4">
        <v>383190</v>
      </c>
      <c r="D32" s="4">
        <v>379377</v>
      </c>
      <c r="E32" s="4">
        <f t="shared" si="4"/>
        <v>354083.16666666669</v>
      </c>
      <c r="F32" s="1">
        <v>468.38400000000001</v>
      </c>
      <c r="G32" s="1">
        <v>336.81751300000002</v>
      </c>
      <c r="H32" s="1"/>
      <c r="J32">
        <v>336.80104999999998</v>
      </c>
    </row>
    <row r="33" spans="1:13">
      <c r="A33" s="1" t="s">
        <v>7</v>
      </c>
      <c r="B33" s="4">
        <f>AVERAGE(B25:B32)</f>
        <v>344989.875</v>
      </c>
      <c r="C33" s="4">
        <f t="shared" ref="C33:G33" si="5">AVERAGE(C25:C32)</f>
        <v>387392</v>
      </c>
      <c r="D33" s="4">
        <f t="shared" si="5"/>
        <v>385075.875</v>
      </c>
      <c r="E33" s="4">
        <f t="shared" si="5"/>
        <v>358737.89583333326</v>
      </c>
      <c r="F33" s="5">
        <f t="shared" si="5"/>
        <v>403.75725</v>
      </c>
      <c r="G33" s="5">
        <f t="shared" si="5"/>
        <v>467.714028875</v>
      </c>
      <c r="H33" s="1" t="s">
        <v>95</v>
      </c>
      <c r="J33">
        <f>AVERAGE(J25:J32)</f>
        <v>467.69461375000003</v>
      </c>
      <c r="K33" t="s">
        <v>121</v>
      </c>
      <c r="M33" s="15">
        <f>G33-J33</f>
        <v>1.9415124999966338E-2</v>
      </c>
    </row>
    <row r="35" spans="1:13">
      <c r="A35" s="1" t="s">
        <v>41</v>
      </c>
      <c r="B35" s="1"/>
      <c r="C35" s="1"/>
      <c r="D35" s="1"/>
      <c r="E35" s="1"/>
      <c r="F35" s="1"/>
      <c r="G35" s="1"/>
      <c r="H35" s="1"/>
    </row>
    <row r="36" spans="1:13">
      <c r="A36" s="1" t="s">
        <v>4</v>
      </c>
      <c r="B36" s="4">
        <v>325246</v>
      </c>
      <c r="C36" s="4">
        <v>374774</v>
      </c>
      <c r="D36" s="4">
        <v>373910</v>
      </c>
      <c r="E36" s="4">
        <f>(B36*4+C36+D36)/6</f>
        <v>341611.33333333331</v>
      </c>
      <c r="F36" s="1">
        <v>312.30200000000002</v>
      </c>
      <c r="G36" s="1">
        <v>229.69851800000001</v>
      </c>
      <c r="H36" s="1"/>
      <c r="J36">
        <v>229.555758</v>
      </c>
    </row>
    <row r="37" spans="1:13">
      <c r="A37" s="1" t="s">
        <v>5</v>
      </c>
      <c r="B37" s="4">
        <v>323445</v>
      </c>
      <c r="C37" s="4">
        <v>378823</v>
      </c>
      <c r="D37" s="4">
        <v>374162</v>
      </c>
      <c r="E37" s="4">
        <f t="shared" ref="E37:E43" si="6">(B37*4+C37+D37)/6</f>
        <v>341127.5</v>
      </c>
      <c r="F37" s="1">
        <v>201.536</v>
      </c>
      <c r="G37" s="1">
        <v>605.03166299999998</v>
      </c>
      <c r="H37" s="1"/>
      <c r="J37">
        <v>605.18409299999996</v>
      </c>
    </row>
    <row r="38" spans="1:13">
      <c r="A38" s="1" t="s">
        <v>6</v>
      </c>
      <c r="B38" s="4">
        <v>325901</v>
      </c>
      <c r="C38" s="4">
        <v>379123</v>
      </c>
      <c r="D38" s="4">
        <v>375863</v>
      </c>
      <c r="E38" s="4">
        <f t="shared" si="6"/>
        <v>343098.33333333331</v>
      </c>
      <c r="F38" s="1">
        <v>256.82400000000001</v>
      </c>
      <c r="G38" s="1">
        <v>254.529505</v>
      </c>
      <c r="H38" s="1"/>
      <c r="J38">
        <v>254.532004</v>
      </c>
    </row>
    <row r="39" spans="1:13">
      <c r="A39" s="1" t="s">
        <v>10</v>
      </c>
      <c r="B39" s="4">
        <v>321586</v>
      </c>
      <c r="C39" s="4">
        <v>377152</v>
      </c>
      <c r="D39" s="4">
        <v>375559</v>
      </c>
      <c r="E39" s="4">
        <f t="shared" si="6"/>
        <v>339842.5</v>
      </c>
      <c r="F39" s="1">
        <v>192.93600000000001</v>
      </c>
      <c r="G39" s="1">
        <v>592.53142400000002</v>
      </c>
      <c r="H39" s="1"/>
      <c r="J39">
        <v>592.61993199999995</v>
      </c>
    </row>
    <row r="40" spans="1:13">
      <c r="A40" s="1" t="s">
        <v>11</v>
      </c>
      <c r="B40" s="4">
        <v>319428</v>
      </c>
      <c r="C40" s="4">
        <v>372765</v>
      </c>
      <c r="D40" s="4">
        <v>370070</v>
      </c>
      <c r="E40" s="4">
        <f t="shared" si="6"/>
        <v>336757.83333333331</v>
      </c>
      <c r="F40" s="1">
        <v>279.12799999999999</v>
      </c>
      <c r="G40" s="1">
        <v>262.69602800000001</v>
      </c>
      <c r="H40" s="1"/>
      <c r="J40">
        <v>262.70183300000002</v>
      </c>
    </row>
    <row r="41" spans="1:13">
      <c r="A41" s="1" t="s">
        <v>12</v>
      </c>
      <c r="B41" s="4">
        <v>326831</v>
      </c>
      <c r="C41" s="4">
        <v>376264</v>
      </c>
      <c r="D41" s="4">
        <v>377590</v>
      </c>
      <c r="E41" s="4">
        <f t="shared" si="6"/>
        <v>343529.66666666669</v>
      </c>
      <c r="F41" s="1">
        <v>207.928</v>
      </c>
      <c r="G41" s="1">
        <v>615.22846500000003</v>
      </c>
      <c r="H41" s="1"/>
      <c r="J41">
        <v>615.32145600000001</v>
      </c>
    </row>
    <row r="42" spans="1:13">
      <c r="A42" s="1" t="s">
        <v>13</v>
      </c>
      <c r="B42" s="4">
        <v>322862</v>
      </c>
      <c r="C42" s="4">
        <v>372724</v>
      </c>
      <c r="D42" s="4">
        <v>371437</v>
      </c>
      <c r="E42" s="4">
        <f t="shared" si="6"/>
        <v>339268.16666666669</v>
      </c>
      <c r="F42" s="1">
        <v>273.78800000000001</v>
      </c>
      <c r="G42" s="1">
        <v>267.72781700000002</v>
      </c>
      <c r="H42" s="1"/>
      <c r="J42">
        <v>267.72322700000001</v>
      </c>
    </row>
    <row r="43" spans="1:13">
      <c r="A43" s="1" t="s">
        <v>14</v>
      </c>
      <c r="B43" s="4">
        <v>317019</v>
      </c>
      <c r="C43" s="4">
        <v>370865</v>
      </c>
      <c r="D43" s="4">
        <v>368581</v>
      </c>
      <c r="E43" s="4">
        <f t="shared" si="6"/>
        <v>334587</v>
      </c>
      <c r="F43" s="1">
        <v>289.09199999999998</v>
      </c>
      <c r="G43" s="1">
        <v>291.42169000000001</v>
      </c>
      <c r="H43" s="1"/>
      <c r="J43">
        <v>291.43026500000002</v>
      </c>
    </row>
    <row r="44" spans="1:13">
      <c r="A44" s="1" t="s">
        <v>7</v>
      </c>
      <c r="B44" s="4">
        <f>AVERAGE(B36:B43)</f>
        <v>322789.75</v>
      </c>
      <c r="C44" s="4">
        <f t="shared" ref="C44:G44" si="7">AVERAGE(C36:C43)</f>
        <v>375311.25</v>
      </c>
      <c r="D44" s="4">
        <f t="shared" si="7"/>
        <v>373396.5</v>
      </c>
      <c r="E44" s="4">
        <f t="shared" si="7"/>
        <v>339977.79166666663</v>
      </c>
      <c r="F44" s="5">
        <f t="shared" si="7"/>
        <v>251.69175000000001</v>
      </c>
      <c r="G44" s="5">
        <f t="shared" si="7"/>
        <v>389.85813875000002</v>
      </c>
      <c r="H44" s="1" t="s">
        <v>96</v>
      </c>
      <c r="J44">
        <f>AVERAGE(J36:J43)</f>
        <v>389.88357100000002</v>
      </c>
      <c r="K44" t="s">
        <v>122</v>
      </c>
      <c r="M44" s="15">
        <f>G44-J44</f>
        <v>-2.5432249999994383E-2</v>
      </c>
    </row>
    <row r="46" spans="1:13">
      <c r="A46" s="1" t="s">
        <v>49</v>
      </c>
      <c r="B46" s="1"/>
      <c r="C46" s="1"/>
      <c r="D46" s="1"/>
      <c r="E46" s="1"/>
      <c r="F46" s="1"/>
      <c r="G46" s="1"/>
      <c r="H46" s="1"/>
    </row>
    <row r="47" spans="1:13">
      <c r="A47" s="1" t="s">
        <v>4</v>
      </c>
      <c r="B47" s="4">
        <v>396945</v>
      </c>
      <c r="C47" s="4">
        <v>435659</v>
      </c>
      <c r="D47" s="4">
        <v>427548</v>
      </c>
      <c r="E47" s="4">
        <f>(B47*4+C47+D47)/6</f>
        <v>408497.83333333331</v>
      </c>
      <c r="F47" s="1">
        <v>528.90800000000002</v>
      </c>
      <c r="G47" s="1">
        <v>185.16734500000001</v>
      </c>
      <c r="H47" s="1"/>
      <c r="J47">
        <v>185.156622</v>
      </c>
    </row>
    <row r="48" spans="1:13">
      <c r="A48" s="1" t="s">
        <v>5</v>
      </c>
      <c r="B48" s="4">
        <v>394906</v>
      </c>
      <c r="C48" s="4">
        <v>435082</v>
      </c>
      <c r="D48" s="4">
        <v>425876</v>
      </c>
      <c r="E48" s="4">
        <f t="shared" ref="E48:E54" si="8">(B48*4+C48+D48)/6</f>
        <v>406763.66666666669</v>
      </c>
      <c r="F48" s="1">
        <v>441.142</v>
      </c>
      <c r="G48" s="1">
        <v>731.81619599999999</v>
      </c>
      <c r="H48" s="1"/>
      <c r="J48">
        <v>732.08115799999996</v>
      </c>
    </row>
    <row r="49" spans="1:13">
      <c r="A49" s="1" t="s">
        <v>6</v>
      </c>
      <c r="B49" s="4">
        <v>396729</v>
      </c>
      <c r="C49" s="4">
        <v>437601</v>
      </c>
      <c r="D49" s="4">
        <v>428244</v>
      </c>
      <c r="E49" s="4">
        <f t="shared" si="8"/>
        <v>408793.5</v>
      </c>
      <c r="F49" s="1">
        <v>510.5</v>
      </c>
      <c r="G49" s="1">
        <v>239.57962599999999</v>
      </c>
      <c r="H49" s="1"/>
      <c r="J49">
        <v>239.608305</v>
      </c>
    </row>
    <row r="50" spans="1:13">
      <c r="A50" s="1" t="s">
        <v>10</v>
      </c>
      <c r="B50" s="4">
        <v>397855</v>
      </c>
      <c r="C50" s="4">
        <v>439072</v>
      </c>
      <c r="D50" s="4">
        <v>433299</v>
      </c>
      <c r="E50" s="4">
        <f t="shared" si="8"/>
        <v>410631.83333333331</v>
      </c>
      <c r="F50" s="1">
        <v>450.89</v>
      </c>
      <c r="G50" s="1">
        <v>800.37347199999999</v>
      </c>
      <c r="H50" s="1"/>
      <c r="J50">
        <v>800.570245</v>
      </c>
    </row>
    <row r="51" spans="1:13">
      <c r="A51" s="1" t="s">
        <v>11</v>
      </c>
      <c r="B51" s="4">
        <v>393885</v>
      </c>
      <c r="C51" s="4">
        <v>436596</v>
      </c>
      <c r="D51" s="4">
        <v>427860</v>
      </c>
      <c r="E51" s="4">
        <f t="shared" si="8"/>
        <v>406666</v>
      </c>
      <c r="F51" s="1">
        <v>592.80600000000004</v>
      </c>
      <c r="G51" s="1">
        <v>297.96040799999997</v>
      </c>
      <c r="H51" s="1"/>
      <c r="J51">
        <v>298.052119</v>
      </c>
    </row>
    <row r="52" spans="1:13">
      <c r="A52" s="1" t="s">
        <v>12</v>
      </c>
      <c r="B52" s="4">
        <v>393951</v>
      </c>
      <c r="C52" s="4">
        <v>435382</v>
      </c>
      <c r="D52" s="4">
        <v>427774</v>
      </c>
      <c r="E52" s="4">
        <f t="shared" si="8"/>
        <v>406493.33333333331</v>
      </c>
      <c r="F52" s="1">
        <v>554.43799999999999</v>
      </c>
      <c r="G52" s="1">
        <v>900.60243400000002</v>
      </c>
      <c r="H52" s="1"/>
      <c r="J52">
        <v>900.92370200000005</v>
      </c>
    </row>
    <row r="53" spans="1:13">
      <c r="A53" s="1" t="s">
        <v>13</v>
      </c>
      <c r="B53" s="4">
        <v>387077</v>
      </c>
      <c r="C53" s="4">
        <v>427868</v>
      </c>
      <c r="D53" s="4">
        <v>420689</v>
      </c>
      <c r="E53" s="4">
        <f t="shared" si="8"/>
        <v>399477.5</v>
      </c>
      <c r="F53" s="1">
        <v>781.99599999999998</v>
      </c>
      <c r="G53" s="1">
        <v>361.350416</v>
      </c>
      <c r="H53" s="1"/>
      <c r="J53">
        <v>361.45487600000001</v>
      </c>
    </row>
    <row r="54" spans="1:13">
      <c r="A54" s="1" t="s">
        <v>14</v>
      </c>
      <c r="B54" s="4">
        <v>391682</v>
      </c>
      <c r="C54" s="4">
        <v>435527</v>
      </c>
      <c r="D54" s="4">
        <v>426356</v>
      </c>
      <c r="E54" s="4">
        <f t="shared" si="8"/>
        <v>404768.5</v>
      </c>
      <c r="F54" s="1">
        <v>726.87599999999998</v>
      </c>
      <c r="G54" s="1">
        <v>412.21402699999999</v>
      </c>
      <c r="H54" s="1"/>
      <c r="J54">
        <v>412.39939199999998</v>
      </c>
    </row>
    <row r="55" spans="1:13">
      <c r="A55" s="1" t="s">
        <v>7</v>
      </c>
      <c r="B55" s="4">
        <f>AVERAGE(B47:B54)</f>
        <v>394128.75</v>
      </c>
      <c r="C55" s="4">
        <f t="shared" ref="C55:G55" si="9">AVERAGE(C47:C54)</f>
        <v>435348.375</v>
      </c>
      <c r="D55" s="4">
        <f t="shared" si="9"/>
        <v>427205.75</v>
      </c>
      <c r="E55" s="4">
        <f t="shared" si="9"/>
        <v>406511.52083333331</v>
      </c>
      <c r="F55" s="5">
        <f t="shared" si="9"/>
        <v>573.44450000000006</v>
      </c>
      <c r="G55" s="5">
        <f t="shared" si="9"/>
        <v>491.13299050000001</v>
      </c>
      <c r="H55" s="1" t="s">
        <v>97</v>
      </c>
      <c r="J55">
        <f>AVERAGE(J47:J54)</f>
        <v>491.28080237499995</v>
      </c>
      <c r="K55" t="s">
        <v>123</v>
      </c>
      <c r="M55" s="15">
        <f>G55-J55</f>
        <v>-0.1478118749999453</v>
      </c>
    </row>
    <row r="57" spans="1:13">
      <c r="A57" s="1" t="s">
        <v>50</v>
      </c>
      <c r="B57" s="1"/>
      <c r="C57" s="1"/>
      <c r="D57" s="1"/>
      <c r="E57" s="1"/>
      <c r="F57" s="1"/>
      <c r="G57" s="1"/>
      <c r="H57" s="1"/>
    </row>
    <row r="58" spans="1:13">
      <c r="A58" s="1" t="s">
        <v>4</v>
      </c>
      <c r="B58" s="4">
        <v>386181</v>
      </c>
      <c r="C58" s="4">
        <v>421040</v>
      </c>
      <c r="D58" s="4">
        <v>413849</v>
      </c>
      <c r="E58" s="4">
        <f>(B58*4+C58+D58)/6</f>
        <v>396602.16666666669</v>
      </c>
      <c r="F58" s="1">
        <v>293.20999999999998</v>
      </c>
      <c r="G58" s="1">
        <v>167.88296199999999</v>
      </c>
      <c r="H58" s="1"/>
      <c r="J58">
        <v>167.85653099999999</v>
      </c>
    </row>
    <row r="59" spans="1:13">
      <c r="A59" s="1" t="s">
        <v>5</v>
      </c>
      <c r="B59" s="4">
        <v>383820</v>
      </c>
      <c r="C59" s="4">
        <v>423210</v>
      </c>
      <c r="D59" s="4">
        <v>414196</v>
      </c>
      <c r="E59" s="4">
        <f t="shared" ref="E59:E65" si="10">(B59*4+C59+D59)/6</f>
        <v>395447.66666666669</v>
      </c>
      <c r="F59" s="1">
        <v>216.05</v>
      </c>
      <c r="G59" s="1">
        <v>635.69485699999996</v>
      </c>
      <c r="H59" s="1"/>
      <c r="J59">
        <v>630.38077499999997</v>
      </c>
    </row>
    <row r="60" spans="1:13">
      <c r="A60" s="1" t="s">
        <v>6</v>
      </c>
      <c r="B60" s="4">
        <v>385547</v>
      </c>
      <c r="C60" s="4">
        <v>425340</v>
      </c>
      <c r="D60" s="4">
        <v>416060</v>
      </c>
      <c r="E60" s="4">
        <f t="shared" si="10"/>
        <v>397264.66666666669</v>
      </c>
      <c r="F60" s="1">
        <v>266.98599999999999</v>
      </c>
      <c r="G60" s="1">
        <v>211.91694699999999</v>
      </c>
      <c r="H60" s="1"/>
      <c r="J60">
        <v>211.915491</v>
      </c>
    </row>
    <row r="61" spans="1:13">
      <c r="A61" s="1" t="s">
        <v>10</v>
      </c>
      <c r="B61" s="4">
        <v>385771</v>
      </c>
      <c r="C61" s="4">
        <v>427420</v>
      </c>
      <c r="D61" s="4">
        <v>421810</v>
      </c>
      <c r="E61" s="4">
        <f t="shared" si="10"/>
        <v>398719</v>
      </c>
      <c r="F61" s="1">
        <v>237.14599999999999</v>
      </c>
      <c r="G61" s="1">
        <v>689.35972300000003</v>
      </c>
      <c r="H61" s="1"/>
      <c r="J61">
        <v>689.564166</v>
      </c>
    </row>
    <row r="62" spans="1:13">
      <c r="A62" s="1" t="s">
        <v>11</v>
      </c>
      <c r="B62" s="4">
        <v>381247</v>
      </c>
      <c r="C62" s="4">
        <v>424630</v>
      </c>
      <c r="D62" s="4">
        <v>415471</v>
      </c>
      <c r="E62" s="4">
        <f t="shared" si="10"/>
        <v>394181.5</v>
      </c>
      <c r="F62" s="1">
        <v>315.08800000000002</v>
      </c>
      <c r="G62" s="1">
        <v>265.39679699999999</v>
      </c>
      <c r="H62" s="1"/>
      <c r="J62">
        <v>265.42040200000002</v>
      </c>
    </row>
    <row r="63" spans="1:13">
      <c r="A63" s="1" t="s">
        <v>12</v>
      </c>
      <c r="B63" s="4">
        <v>381441</v>
      </c>
      <c r="C63" s="4">
        <v>423605</v>
      </c>
      <c r="D63" s="4">
        <v>416848</v>
      </c>
      <c r="E63" s="4">
        <f t="shared" si="10"/>
        <v>394369.5</v>
      </c>
      <c r="F63" s="1">
        <v>282.68599999999998</v>
      </c>
      <c r="G63" s="1">
        <v>779.87381700000003</v>
      </c>
      <c r="H63" s="1"/>
      <c r="J63">
        <v>780.11319000000003</v>
      </c>
    </row>
    <row r="64" spans="1:13">
      <c r="A64" s="1" t="s">
        <v>13</v>
      </c>
      <c r="B64" s="4">
        <v>374720</v>
      </c>
      <c r="C64" s="4">
        <v>416764</v>
      </c>
      <c r="D64" s="4">
        <v>409747</v>
      </c>
      <c r="E64" s="4">
        <f t="shared" si="10"/>
        <v>387565.16666666669</v>
      </c>
      <c r="F64" s="1">
        <v>411.29399999999998</v>
      </c>
      <c r="G64" s="1">
        <v>322.24786799999998</v>
      </c>
      <c r="H64" s="1"/>
      <c r="J64">
        <v>322.27163300000001</v>
      </c>
    </row>
    <row r="65" spans="1:14">
      <c r="A65" s="1" t="s">
        <v>14</v>
      </c>
      <c r="B65" s="4">
        <v>377533</v>
      </c>
      <c r="C65" s="4">
        <v>424026</v>
      </c>
      <c r="D65" s="4">
        <v>415535</v>
      </c>
      <c r="E65" s="4">
        <f t="shared" si="10"/>
        <v>391615.5</v>
      </c>
      <c r="F65" s="1">
        <v>396.334</v>
      </c>
      <c r="G65" s="1">
        <v>367.73804000000001</v>
      </c>
      <c r="H65" s="1"/>
      <c r="J65">
        <v>367.75290999999999</v>
      </c>
    </row>
    <row r="66" spans="1:14">
      <c r="A66" s="1" t="s">
        <v>7</v>
      </c>
      <c r="B66" s="4">
        <f>AVERAGE(B58:B65)</f>
        <v>382032.5</v>
      </c>
      <c r="C66" s="4">
        <f t="shared" ref="C66:G66" si="11">AVERAGE(C58:C65)</f>
        <v>423254.375</v>
      </c>
      <c r="D66" s="4">
        <f t="shared" si="11"/>
        <v>415439.5</v>
      </c>
      <c r="E66" s="4">
        <f t="shared" si="11"/>
        <v>394470.64583333331</v>
      </c>
      <c r="F66" s="5">
        <f t="shared" si="11"/>
        <v>302.34924999999998</v>
      </c>
      <c r="G66" s="5">
        <f t="shared" si="11"/>
        <v>430.01387637500005</v>
      </c>
      <c r="H66" s="1" t="s">
        <v>98</v>
      </c>
      <c r="J66">
        <f>AVERAGE(J58:J65)</f>
        <v>429.40938724999995</v>
      </c>
      <c r="K66" t="s">
        <v>124</v>
      </c>
      <c r="M66" s="15">
        <f>G66-J66</f>
        <v>0.6044891250001001</v>
      </c>
      <c r="N66" t="s">
        <v>165</v>
      </c>
    </row>
    <row r="68" spans="1:14">
      <c r="A68" s="1" t="s">
        <v>51</v>
      </c>
      <c r="B68" s="1"/>
      <c r="C68" s="1"/>
      <c r="D68" s="1"/>
      <c r="E68" s="1"/>
      <c r="F68" s="1"/>
      <c r="G68" s="1"/>
      <c r="H68" s="1"/>
    </row>
    <row r="69" spans="1:14">
      <c r="A69" s="1" t="s">
        <v>4</v>
      </c>
      <c r="B69" s="4">
        <v>371773</v>
      </c>
      <c r="C69" s="4">
        <v>407839</v>
      </c>
      <c r="D69" s="4">
        <v>402940</v>
      </c>
      <c r="E69" s="4">
        <f>(B69*4+C69+D69)/6</f>
        <v>382978.5</v>
      </c>
      <c r="F69" s="1">
        <v>180.24199999999999</v>
      </c>
      <c r="G69" s="1">
        <v>151.52614800000001</v>
      </c>
      <c r="H69" s="1"/>
      <c r="J69">
        <v>151.52591699999999</v>
      </c>
    </row>
    <row r="70" spans="1:14">
      <c r="A70" s="1" t="s">
        <v>5</v>
      </c>
      <c r="B70" s="4">
        <v>369171</v>
      </c>
      <c r="C70" s="4">
        <v>411613</v>
      </c>
      <c r="D70" s="4">
        <v>404293</v>
      </c>
      <c r="E70" s="4">
        <f t="shared" ref="E70:E76" si="12">(B70*4+C70+D70)/6</f>
        <v>382098.33333333331</v>
      </c>
      <c r="F70" s="1">
        <v>124.14400000000001</v>
      </c>
      <c r="G70" s="1">
        <v>529.39162799999997</v>
      </c>
      <c r="H70" s="1"/>
      <c r="J70">
        <v>529.50020199999994</v>
      </c>
    </row>
    <row r="71" spans="1:14">
      <c r="A71" s="1" t="s">
        <v>6</v>
      </c>
      <c r="B71" s="4">
        <v>370753</v>
      </c>
      <c r="C71" s="4">
        <v>414174</v>
      </c>
      <c r="D71" s="4">
        <v>404673</v>
      </c>
      <c r="E71" s="4">
        <f t="shared" si="12"/>
        <v>383643.16666666669</v>
      </c>
      <c r="F71" s="1">
        <v>158.096</v>
      </c>
      <c r="G71" s="1">
        <v>186.704196</v>
      </c>
      <c r="H71" s="1"/>
      <c r="J71">
        <v>186.67623399999999</v>
      </c>
    </row>
    <row r="72" spans="1:14">
      <c r="A72" s="1" t="s">
        <v>10</v>
      </c>
      <c r="B72" s="4">
        <v>369476</v>
      </c>
      <c r="C72" s="4">
        <v>416792</v>
      </c>
      <c r="D72" s="4">
        <v>411615</v>
      </c>
      <c r="E72" s="4">
        <f t="shared" si="12"/>
        <v>384385.16666666669</v>
      </c>
      <c r="F72" s="1">
        <v>143.142</v>
      </c>
      <c r="G72" s="1">
        <v>577.07162300000005</v>
      </c>
      <c r="H72" s="1"/>
      <c r="J72">
        <v>577.08670900000004</v>
      </c>
    </row>
    <row r="73" spans="1:14">
      <c r="A73" s="1" t="s">
        <v>11</v>
      </c>
      <c r="B73" s="4">
        <v>365589</v>
      </c>
      <c r="C73" s="4">
        <v>414391</v>
      </c>
      <c r="D73" s="4">
        <v>403817</v>
      </c>
      <c r="E73" s="4">
        <f t="shared" si="12"/>
        <v>380094</v>
      </c>
      <c r="F73" s="1">
        <v>188.53399999999999</v>
      </c>
      <c r="G73" s="1">
        <v>232.04780500000001</v>
      </c>
      <c r="H73" s="1"/>
      <c r="J73">
        <v>232.01865100000001</v>
      </c>
    </row>
    <row r="74" spans="1:14">
      <c r="A74" s="1" t="s">
        <v>12</v>
      </c>
      <c r="B74" s="4">
        <v>366060</v>
      </c>
      <c r="C74" s="4">
        <v>413703</v>
      </c>
      <c r="D74" s="4">
        <v>407088</v>
      </c>
      <c r="E74" s="4">
        <f t="shared" si="12"/>
        <v>380838.5</v>
      </c>
      <c r="F74" s="1">
        <v>169.792</v>
      </c>
      <c r="G74" s="1">
        <v>652.71579599999995</v>
      </c>
      <c r="H74" s="1"/>
      <c r="J74">
        <v>652.89893099999995</v>
      </c>
    </row>
    <row r="75" spans="1:14">
      <c r="A75" s="1" t="s">
        <v>13</v>
      </c>
      <c r="B75" s="4">
        <v>359819</v>
      </c>
      <c r="C75" s="4">
        <v>405049</v>
      </c>
      <c r="D75" s="4">
        <v>398584</v>
      </c>
      <c r="E75" s="4">
        <f t="shared" si="12"/>
        <v>373818.16666666669</v>
      </c>
      <c r="F75" s="1">
        <v>245.75800000000001</v>
      </c>
      <c r="G75" s="1">
        <v>281.82930900000002</v>
      </c>
      <c r="H75" s="1"/>
      <c r="J75">
        <v>281.90291200000001</v>
      </c>
    </row>
    <row r="76" spans="1:14">
      <c r="A76" s="1" t="s">
        <v>14</v>
      </c>
      <c r="B76" s="4">
        <v>360217</v>
      </c>
      <c r="C76" s="4">
        <v>413772</v>
      </c>
      <c r="D76" s="4">
        <v>405919</v>
      </c>
      <c r="E76" s="4">
        <f t="shared" si="12"/>
        <v>376759.83333333331</v>
      </c>
      <c r="F76" s="1">
        <v>234.97399999999999</v>
      </c>
      <c r="G76" s="1">
        <v>318.31315699999999</v>
      </c>
      <c r="H76" s="1"/>
      <c r="J76">
        <v>318.33789000000002</v>
      </c>
    </row>
    <row r="77" spans="1:14">
      <c r="A77" s="1" t="s">
        <v>7</v>
      </c>
      <c r="B77" s="4">
        <f>AVERAGE(B69:B76)</f>
        <v>366607.25</v>
      </c>
      <c r="C77" s="4">
        <f t="shared" ref="C77:G77" si="13">AVERAGE(C69:C76)</f>
        <v>412166.625</v>
      </c>
      <c r="D77" s="4">
        <f t="shared" si="13"/>
        <v>404866.125</v>
      </c>
      <c r="E77" s="4">
        <f t="shared" si="13"/>
        <v>380576.95833333337</v>
      </c>
      <c r="F77" s="5">
        <f t="shared" si="13"/>
        <v>180.58525</v>
      </c>
      <c r="G77" s="5">
        <f t="shared" si="13"/>
        <v>366.19995775000007</v>
      </c>
      <c r="H77" s="1" t="s">
        <v>99</v>
      </c>
      <c r="J77">
        <f>AVERAGE(J69:J76)</f>
        <v>366.24343075000002</v>
      </c>
      <c r="K77" t="s">
        <v>125</v>
      </c>
      <c r="M77" s="15">
        <f>G77-J77</f>
        <v>-4.3472999999949025E-2</v>
      </c>
    </row>
    <row r="79" spans="1:14">
      <c r="A79" s="1" t="s">
        <v>52</v>
      </c>
      <c r="B79" s="1"/>
      <c r="C79" s="1"/>
      <c r="D79" s="1"/>
      <c r="E79" s="1"/>
      <c r="F79" s="1"/>
      <c r="G79" s="1"/>
      <c r="H79" s="1"/>
    </row>
    <row r="80" spans="1:14">
      <c r="A80" s="1" t="s">
        <v>4</v>
      </c>
      <c r="B80" s="4">
        <v>355074</v>
      </c>
      <c r="C80" s="4">
        <v>393389</v>
      </c>
      <c r="D80" s="4">
        <v>391189</v>
      </c>
      <c r="E80" s="4">
        <f>(B80*4+C80+D80)/6</f>
        <v>367479</v>
      </c>
      <c r="F80" s="1">
        <v>117.578</v>
      </c>
      <c r="G80" s="1">
        <v>134.16440900000001</v>
      </c>
      <c r="H80" s="1"/>
      <c r="J80">
        <v>134.15605099999999</v>
      </c>
    </row>
    <row r="81" spans="1:13">
      <c r="A81" s="1" t="s">
        <v>5</v>
      </c>
      <c r="B81" s="4">
        <v>351497</v>
      </c>
      <c r="C81" s="4">
        <v>399224</v>
      </c>
      <c r="D81" s="4">
        <v>392244</v>
      </c>
      <c r="E81" s="4">
        <f t="shared" ref="E81:E87" si="14">(B81*4+C81+D81)/6</f>
        <v>366242.66666666669</v>
      </c>
      <c r="F81" s="1">
        <v>78.34</v>
      </c>
      <c r="G81" s="1">
        <v>424.29038500000001</v>
      </c>
      <c r="H81" s="1"/>
      <c r="J81">
        <v>424.36217299999998</v>
      </c>
    </row>
    <row r="82" spans="1:13">
      <c r="A82" s="1" t="s">
        <v>6</v>
      </c>
      <c r="B82" s="4">
        <v>352165</v>
      </c>
      <c r="C82" s="4">
        <v>401680</v>
      </c>
      <c r="D82" s="4">
        <v>391921</v>
      </c>
      <c r="E82" s="4">
        <f t="shared" si="14"/>
        <v>367043.5</v>
      </c>
      <c r="F82" s="1">
        <v>98.397999999999996</v>
      </c>
      <c r="G82" s="1">
        <v>160.45324199999999</v>
      </c>
      <c r="H82" s="1"/>
      <c r="J82">
        <v>160.43145999999999</v>
      </c>
    </row>
    <row r="83" spans="1:13">
      <c r="A83" s="1" t="s">
        <v>10</v>
      </c>
      <c r="B83" s="4">
        <v>349990</v>
      </c>
      <c r="C83" s="4">
        <v>404372</v>
      </c>
      <c r="D83" s="4">
        <v>399769</v>
      </c>
      <c r="E83" s="4">
        <f t="shared" si="14"/>
        <v>367350.16666666669</v>
      </c>
      <c r="F83" s="1">
        <v>91.847999999999999</v>
      </c>
      <c r="G83" s="1">
        <v>454.72914500000002</v>
      </c>
      <c r="H83" s="1"/>
      <c r="J83">
        <v>454.72013099999998</v>
      </c>
    </row>
    <row r="84" spans="1:13">
      <c r="A84" s="1" t="s">
        <v>11</v>
      </c>
      <c r="B84" s="4">
        <v>346730</v>
      </c>
      <c r="C84" s="4">
        <v>401467</v>
      </c>
      <c r="D84" s="4">
        <v>391160</v>
      </c>
      <c r="E84" s="4">
        <f t="shared" si="14"/>
        <v>363257.83333333331</v>
      </c>
      <c r="F84" s="1">
        <v>121.176</v>
      </c>
      <c r="G84" s="1">
        <v>195.38237599999999</v>
      </c>
      <c r="H84" s="1"/>
      <c r="J84">
        <v>195.34886499999999</v>
      </c>
    </row>
    <row r="85" spans="1:13">
      <c r="A85" s="1" t="s">
        <v>12</v>
      </c>
      <c r="B85" s="4">
        <v>347860</v>
      </c>
      <c r="C85" s="4">
        <v>401788</v>
      </c>
      <c r="D85" s="4">
        <v>396601</v>
      </c>
      <c r="E85" s="4">
        <f t="shared" si="14"/>
        <v>364971.5</v>
      </c>
      <c r="F85" s="1">
        <v>111.702</v>
      </c>
      <c r="G85" s="1">
        <v>517.84194200000002</v>
      </c>
      <c r="H85" s="1"/>
      <c r="J85">
        <v>517.98845500000004</v>
      </c>
    </row>
    <row r="86" spans="1:13">
      <c r="A86" s="1" t="s">
        <v>13</v>
      </c>
      <c r="B86" s="4">
        <v>341513</v>
      </c>
      <c r="C86" s="4">
        <v>393051</v>
      </c>
      <c r="D86" s="4">
        <v>385659</v>
      </c>
      <c r="E86" s="4">
        <f t="shared" si="14"/>
        <v>357460.33333333331</v>
      </c>
      <c r="F86" s="1">
        <v>158.01</v>
      </c>
      <c r="G86" s="1">
        <v>234.124202</v>
      </c>
      <c r="H86" s="1"/>
      <c r="J86">
        <v>234.122105</v>
      </c>
    </row>
    <row r="87" spans="1:13">
      <c r="A87" s="1" t="s">
        <v>14</v>
      </c>
      <c r="B87" s="4">
        <v>340587</v>
      </c>
      <c r="C87" s="4">
        <v>403106</v>
      </c>
      <c r="D87" s="4">
        <v>395175</v>
      </c>
      <c r="E87" s="4">
        <f t="shared" si="14"/>
        <v>360104.83333333331</v>
      </c>
      <c r="F87" s="1">
        <v>147.97</v>
      </c>
      <c r="G87" s="1">
        <v>263.891099</v>
      </c>
      <c r="H87" s="1"/>
      <c r="J87">
        <v>263.95099099999999</v>
      </c>
    </row>
    <row r="88" spans="1:13">
      <c r="A88" s="1" t="s">
        <v>7</v>
      </c>
      <c r="B88" s="4">
        <f>AVERAGE(B80:B87)</f>
        <v>348177</v>
      </c>
      <c r="C88" s="4">
        <f t="shared" ref="C88:G88" si="15">AVERAGE(C80:C87)</f>
        <v>399759.625</v>
      </c>
      <c r="D88" s="4">
        <f t="shared" si="15"/>
        <v>392964.75</v>
      </c>
      <c r="E88" s="4">
        <f t="shared" si="15"/>
        <v>364238.72916666674</v>
      </c>
      <c r="F88" s="5">
        <f t="shared" si="15"/>
        <v>115.62775000000001</v>
      </c>
      <c r="G88" s="5">
        <f t="shared" si="15"/>
        <v>298.1096</v>
      </c>
      <c r="H88" s="1" t="s">
        <v>100</v>
      </c>
      <c r="J88">
        <f>AVERAGE(J80:J87)</f>
        <v>298.13502887499999</v>
      </c>
      <c r="K88" t="s">
        <v>126</v>
      </c>
      <c r="M88" s="15">
        <f>G88-J88</f>
        <v>-2.5428874999988693E-2</v>
      </c>
    </row>
    <row r="90" spans="1:13">
      <c r="A90" s="1" t="s">
        <v>62</v>
      </c>
      <c r="B90" s="1"/>
      <c r="C90" s="1"/>
      <c r="D90" s="1"/>
      <c r="E90" s="1"/>
      <c r="F90" s="1"/>
      <c r="G90" s="1"/>
      <c r="H90" s="1"/>
    </row>
    <row r="91" spans="1:13">
      <c r="A91" s="1" t="s">
        <v>4</v>
      </c>
      <c r="B91" s="4">
        <v>378959</v>
      </c>
      <c r="C91" s="4">
        <v>418617</v>
      </c>
      <c r="D91" s="4">
        <v>413359</v>
      </c>
      <c r="E91" s="4">
        <f>(B91*4+C91+D91)/6</f>
        <v>391302</v>
      </c>
      <c r="F91" s="1">
        <v>743.58399999999995</v>
      </c>
      <c r="G91" s="1">
        <v>120.87696800000001</v>
      </c>
      <c r="H91" s="1"/>
      <c r="J91">
        <v>120.858295</v>
      </c>
    </row>
    <row r="92" spans="1:13">
      <c r="A92" s="1" t="s">
        <v>5</v>
      </c>
      <c r="B92" s="4">
        <v>377663</v>
      </c>
      <c r="C92" s="4">
        <v>418718</v>
      </c>
      <c r="D92" s="4">
        <v>412097</v>
      </c>
      <c r="E92" s="4">
        <f t="shared" ref="E92:E98" si="16">(B92*4+C92+D92)/6</f>
        <v>390244.5</v>
      </c>
      <c r="F92" s="1">
        <v>652.16600000000005</v>
      </c>
      <c r="G92" s="1">
        <v>577.972984</v>
      </c>
      <c r="H92" s="1"/>
      <c r="J92">
        <v>578.06648900000005</v>
      </c>
    </row>
    <row r="93" spans="1:13">
      <c r="A93" s="1" t="s">
        <v>6</v>
      </c>
      <c r="B93" s="4">
        <v>381666</v>
      </c>
      <c r="C93" s="4">
        <v>423943</v>
      </c>
      <c r="D93" s="4">
        <v>416022</v>
      </c>
      <c r="E93" s="4">
        <f t="shared" si="16"/>
        <v>394438.16666666669</v>
      </c>
      <c r="F93" s="1">
        <v>649.39599999999996</v>
      </c>
      <c r="G93" s="1">
        <v>142.48355100000001</v>
      </c>
      <c r="H93" s="1"/>
      <c r="J93">
        <v>142.44224800000001</v>
      </c>
    </row>
    <row r="94" spans="1:13">
      <c r="A94" s="1" t="s">
        <v>10</v>
      </c>
      <c r="B94" s="4">
        <v>381492</v>
      </c>
      <c r="C94" s="4">
        <v>421136</v>
      </c>
      <c r="D94" s="4">
        <v>419869</v>
      </c>
      <c r="E94" s="4">
        <f t="shared" si="16"/>
        <v>394495.5</v>
      </c>
      <c r="F94" s="1">
        <v>574.64800000000002</v>
      </c>
      <c r="G94" s="1">
        <v>555.24844599999994</v>
      </c>
      <c r="H94" s="1"/>
      <c r="J94">
        <v>555.34324700000002</v>
      </c>
    </row>
    <row r="95" spans="1:13">
      <c r="A95" s="1" t="s">
        <v>11</v>
      </c>
      <c r="B95" s="4">
        <v>381170</v>
      </c>
      <c r="C95" s="4">
        <v>419854</v>
      </c>
      <c r="D95" s="4">
        <v>415947</v>
      </c>
      <c r="E95" s="4">
        <f t="shared" si="16"/>
        <v>393413.5</v>
      </c>
      <c r="F95" s="1">
        <v>686.33</v>
      </c>
      <c r="G95" s="1">
        <v>142.88389699999999</v>
      </c>
      <c r="H95" s="1"/>
      <c r="J95">
        <v>142.85423800000001</v>
      </c>
    </row>
    <row r="96" spans="1:13">
      <c r="A96" s="1" t="s">
        <v>12</v>
      </c>
      <c r="B96" s="4">
        <v>390343</v>
      </c>
      <c r="C96" s="4">
        <v>430813</v>
      </c>
      <c r="D96" s="4">
        <v>426242</v>
      </c>
      <c r="E96" s="4">
        <f t="shared" si="16"/>
        <v>403071.16666666669</v>
      </c>
      <c r="F96" s="1">
        <v>492.74200000000002</v>
      </c>
      <c r="G96" s="1">
        <v>597.08783600000004</v>
      </c>
      <c r="H96" s="1"/>
      <c r="J96">
        <v>597.14176899999995</v>
      </c>
    </row>
    <row r="97" spans="1:13">
      <c r="A97" s="1" t="s">
        <v>13</v>
      </c>
      <c r="B97" s="4">
        <v>374062</v>
      </c>
      <c r="C97" s="4">
        <v>416677</v>
      </c>
      <c r="D97" s="4">
        <v>409221</v>
      </c>
      <c r="E97" s="4">
        <f t="shared" si="16"/>
        <v>387024.33333333331</v>
      </c>
      <c r="F97" s="1">
        <v>821.98400000000004</v>
      </c>
      <c r="G97" s="1">
        <v>150.174543</v>
      </c>
      <c r="H97" s="1"/>
      <c r="J97">
        <v>150.157107</v>
      </c>
    </row>
    <row r="98" spans="1:13">
      <c r="A98" s="1" t="s">
        <v>14</v>
      </c>
      <c r="B98" s="4">
        <v>381523</v>
      </c>
      <c r="C98" s="4">
        <v>419144</v>
      </c>
      <c r="D98" s="4">
        <v>414422</v>
      </c>
      <c r="E98" s="4">
        <f t="shared" si="16"/>
        <v>393276.33333333331</v>
      </c>
      <c r="F98" s="1">
        <v>717.72799999999995</v>
      </c>
      <c r="G98" s="1">
        <v>177.771871</v>
      </c>
      <c r="H98" s="1"/>
      <c r="J98">
        <v>178.088221</v>
      </c>
    </row>
    <row r="99" spans="1:13">
      <c r="A99" s="1" t="s">
        <v>7</v>
      </c>
      <c r="B99" s="4">
        <f>AVERAGE(B91:B98)</f>
        <v>380859.75</v>
      </c>
      <c r="C99" s="4">
        <f t="shared" ref="C99:G99" si="17">AVERAGE(C91:C98)</f>
        <v>421112.75</v>
      </c>
      <c r="D99" s="4">
        <f t="shared" si="17"/>
        <v>415897.375</v>
      </c>
      <c r="E99" s="4">
        <f t="shared" si="17"/>
        <v>393408.18750000006</v>
      </c>
      <c r="F99" s="5">
        <f t="shared" si="17"/>
        <v>667.32225000000005</v>
      </c>
      <c r="G99" s="5">
        <f t="shared" si="17"/>
        <v>308.06251199999997</v>
      </c>
      <c r="H99" s="1" t="s">
        <v>101</v>
      </c>
      <c r="J99">
        <f>AVERAGE(J91:J98)</f>
        <v>308.11895175000001</v>
      </c>
      <c r="K99" t="s">
        <v>127</v>
      </c>
      <c r="M99" s="15">
        <f>G99-J99</f>
        <v>-5.6439750000038202E-2</v>
      </c>
    </row>
    <row r="101" spans="1:13">
      <c r="A101" s="1" t="s">
        <v>63</v>
      </c>
      <c r="B101" s="1"/>
      <c r="C101" s="1"/>
      <c r="D101" s="1"/>
      <c r="E101" s="1"/>
      <c r="F101" s="1"/>
      <c r="G101" s="1"/>
      <c r="H101" s="1"/>
    </row>
    <row r="102" spans="1:13">
      <c r="A102" s="1" t="s">
        <v>4</v>
      </c>
      <c r="B102" s="4">
        <v>365236</v>
      </c>
      <c r="C102" s="4">
        <v>407680</v>
      </c>
      <c r="D102" s="4">
        <v>401007</v>
      </c>
      <c r="E102" s="4">
        <f>(B102*4+C102+D102)/6</f>
        <v>378271.83333333331</v>
      </c>
      <c r="F102" s="1">
        <v>366.15</v>
      </c>
      <c r="G102" s="1">
        <v>116.20215899999999</v>
      </c>
      <c r="H102" s="1"/>
      <c r="J102">
        <v>117.005494</v>
      </c>
    </row>
    <row r="103" spans="1:13">
      <c r="A103" s="1" t="s">
        <v>5</v>
      </c>
      <c r="B103" s="4">
        <v>364456</v>
      </c>
      <c r="C103" s="4">
        <v>409485</v>
      </c>
      <c r="D103" s="4">
        <v>400631</v>
      </c>
      <c r="E103" s="4">
        <f t="shared" ref="E103:E109" si="18">(B103*4+C103+D103)/6</f>
        <v>377990</v>
      </c>
      <c r="F103" s="1">
        <v>267.92200000000003</v>
      </c>
      <c r="G103" s="1">
        <v>471.89007900000001</v>
      </c>
      <c r="H103" s="1"/>
      <c r="J103">
        <v>471.91216100000003</v>
      </c>
    </row>
    <row r="104" spans="1:13">
      <c r="A104" s="1" t="s">
        <v>6</v>
      </c>
      <c r="B104" s="4">
        <v>368279</v>
      </c>
      <c r="C104" s="4">
        <v>414918</v>
      </c>
      <c r="D104" s="4">
        <v>403311</v>
      </c>
      <c r="E104" s="4">
        <f t="shared" si="18"/>
        <v>381890.83333333331</v>
      </c>
      <c r="F104" s="1">
        <v>284.964</v>
      </c>
      <c r="G104" s="1">
        <v>131.39696000000001</v>
      </c>
      <c r="H104" s="1"/>
      <c r="J104">
        <v>131.372514</v>
      </c>
    </row>
    <row r="105" spans="1:13">
      <c r="A105" s="1" t="s">
        <v>10</v>
      </c>
      <c r="B105" s="4">
        <v>367817</v>
      </c>
      <c r="C105" s="4">
        <v>411202</v>
      </c>
      <c r="D105" s="4">
        <v>409654</v>
      </c>
      <c r="E105" s="4">
        <f t="shared" si="18"/>
        <v>382020.66666666669</v>
      </c>
      <c r="F105" s="1">
        <v>235.88200000000001</v>
      </c>
      <c r="G105" s="1">
        <v>457.54897799999998</v>
      </c>
      <c r="H105" s="1"/>
      <c r="J105">
        <v>457.57424400000002</v>
      </c>
    </row>
    <row r="106" spans="1:13">
      <c r="A106" s="1" t="s">
        <v>11</v>
      </c>
      <c r="B106" s="4">
        <v>366685</v>
      </c>
      <c r="C106" s="4">
        <v>408905</v>
      </c>
      <c r="D106" s="4">
        <v>402449</v>
      </c>
      <c r="E106" s="4">
        <f t="shared" si="18"/>
        <v>379682.33333333331</v>
      </c>
      <c r="F106" s="1">
        <v>317.39999999999998</v>
      </c>
      <c r="G106" s="1">
        <v>132.96176500000001</v>
      </c>
      <c r="H106" s="1"/>
      <c r="J106">
        <v>132.92778999999999</v>
      </c>
    </row>
    <row r="107" spans="1:13">
      <c r="A107" s="1" t="s">
        <v>12</v>
      </c>
      <c r="B107" s="4">
        <v>376871</v>
      </c>
      <c r="C107" s="4">
        <v>421528</v>
      </c>
      <c r="D107" s="4">
        <v>415793</v>
      </c>
      <c r="E107" s="4">
        <f t="shared" si="18"/>
        <v>390800.83333333331</v>
      </c>
      <c r="F107" s="1">
        <v>226.34399999999999</v>
      </c>
      <c r="G107" s="1">
        <v>489.73701499999999</v>
      </c>
      <c r="H107" s="1"/>
      <c r="J107">
        <v>489.616263</v>
      </c>
    </row>
    <row r="108" spans="1:13">
      <c r="A108" s="1" t="s">
        <v>13</v>
      </c>
      <c r="B108" s="4">
        <v>361140</v>
      </c>
      <c r="C108" s="4">
        <v>408190</v>
      </c>
      <c r="D108" s="4">
        <v>398414</v>
      </c>
      <c r="E108" s="4">
        <f t="shared" si="18"/>
        <v>375194</v>
      </c>
      <c r="F108" s="1">
        <v>352.30799999999999</v>
      </c>
      <c r="G108" s="1">
        <v>137.28080499999999</v>
      </c>
      <c r="H108" s="1"/>
      <c r="J108">
        <v>137.263712</v>
      </c>
    </row>
    <row r="109" spans="1:13">
      <c r="A109" s="1" t="s">
        <v>14</v>
      </c>
      <c r="B109" s="4">
        <v>367236</v>
      </c>
      <c r="C109" s="4">
        <v>408292</v>
      </c>
      <c r="D109" s="4">
        <v>402460</v>
      </c>
      <c r="E109" s="4">
        <f t="shared" si="18"/>
        <v>379949.33333333331</v>
      </c>
      <c r="F109" s="1">
        <v>351.03399999999999</v>
      </c>
      <c r="G109" s="1">
        <v>160.85226499999999</v>
      </c>
      <c r="H109" s="1"/>
      <c r="J109">
        <v>160.82574600000001</v>
      </c>
    </row>
    <row r="110" spans="1:13">
      <c r="A110" s="1" t="s">
        <v>7</v>
      </c>
      <c r="B110" s="4">
        <f>AVERAGE(B102:B109)</f>
        <v>367215</v>
      </c>
      <c r="C110" s="4">
        <f t="shared" ref="C110:G110" si="19">AVERAGE(C102:C109)</f>
        <v>411275</v>
      </c>
      <c r="D110" s="4">
        <f t="shared" si="19"/>
        <v>404214.875</v>
      </c>
      <c r="E110" s="4">
        <f t="shared" si="19"/>
        <v>380724.97916666669</v>
      </c>
      <c r="F110" s="5">
        <f t="shared" si="19"/>
        <v>300.25050000000005</v>
      </c>
      <c r="G110" s="5">
        <f t="shared" si="19"/>
        <v>262.23375325000001</v>
      </c>
      <c r="H110" s="1" t="s">
        <v>102</v>
      </c>
      <c r="J110">
        <f>AVERAGE(J102:J109)</f>
        <v>262.31224049999997</v>
      </c>
      <c r="K110" t="s">
        <v>128</v>
      </c>
      <c r="M110" s="15">
        <f>G110-J110</f>
        <v>-7.848724999996648E-2</v>
      </c>
    </row>
    <row r="112" spans="1:13">
      <c r="A112" s="1" t="s">
        <v>64</v>
      </c>
      <c r="B112" s="1"/>
      <c r="C112" s="1"/>
      <c r="D112" s="1"/>
      <c r="E112" s="1"/>
      <c r="F112" s="1"/>
      <c r="G112" s="1"/>
      <c r="H112" s="1"/>
    </row>
    <row r="113" spans="1:13">
      <c r="A113" s="1" t="s">
        <v>4</v>
      </c>
      <c r="B113" s="4">
        <v>350771</v>
      </c>
      <c r="C113" s="4">
        <v>399955</v>
      </c>
      <c r="D113" s="4">
        <v>392457</v>
      </c>
      <c r="E113" s="4">
        <f>(B113*4+C113+D113)/6</f>
        <v>365916</v>
      </c>
      <c r="F113" s="1">
        <v>198.05799999999999</v>
      </c>
      <c r="G113" s="1">
        <v>112.61873300000001</v>
      </c>
      <c r="H113" s="1"/>
      <c r="J113">
        <v>112.57341599999999</v>
      </c>
    </row>
    <row r="114" spans="1:13">
      <c r="A114" s="1" t="s">
        <v>5</v>
      </c>
      <c r="B114" s="4">
        <v>348346</v>
      </c>
      <c r="C114" s="4">
        <v>402553</v>
      </c>
      <c r="D114" s="4">
        <v>391688</v>
      </c>
      <c r="E114" s="4">
        <f t="shared" ref="E114:E120" si="20">(B114*4+C114+D114)/6</f>
        <v>364604.16666666669</v>
      </c>
      <c r="F114" s="1">
        <v>121.456</v>
      </c>
      <c r="G114" s="1">
        <v>389.42741699999999</v>
      </c>
      <c r="H114" s="1"/>
      <c r="J114">
        <v>389.45775099999997</v>
      </c>
    </row>
    <row r="115" spans="1:13">
      <c r="A115" s="1" t="s">
        <v>6</v>
      </c>
      <c r="B115" s="4">
        <v>352359</v>
      </c>
      <c r="C115" s="4">
        <v>407817</v>
      </c>
      <c r="D115" s="4">
        <v>393068</v>
      </c>
      <c r="E115" s="4">
        <f t="shared" si="20"/>
        <v>368386.83333333331</v>
      </c>
      <c r="F115" s="1">
        <v>139.66200000000001</v>
      </c>
      <c r="G115" s="1">
        <v>123.246673</v>
      </c>
      <c r="H115" s="1"/>
      <c r="J115">
        <v>123.20313</v>
      </c>
    </row>
    <row r="116" spans="1:13">
      <c r="A116" s="1" t="s">
        <v>10</v>
      </c>
      <c r="B116" s="4">
        <v>352181</v>
      </c>
      <c r="C116" s="4">
        <v>404581</v>
      </c>
      <c r="D116" s="4">
        <v>402373</v>
      </c>
      <c r="E116" s="4">
        <f t="shared" si="20"/>
        <v>369279.66666666669</v>
      </c>
      <c r="F116" s="1">
        <v>108.97199999999999</v>
      </c>
      <c r="G116" s="1">
        <v>380.25927200000001</v>
      </c>
      <c r="H116" s="1"/>
      <c r="J116">
        <v>380.235073</v>
      </c>
    </row>
    <row r="117" spans="1:13">
      <c r="A117" s="1" t="s">
        <v>11</v>
      </c>
      <c r="B117" s="4">
        <v>350040</v>
      </c>
      <c r="C117" s="4">
        <v>401302</v>
      </c>
      <c r="D117" s="4">
        <v>391253</v>
      </c>
      <c r="E117" s="4">
        <f t="shared" si="20"/>
        <v>365452.5</v>
      </c>
      <c r="F117" s="1">
        <v>156.56</v>
      </c>
      <c r="G117" s="1">
        <v>125.106167</v>
      </c>
      <c r="H117" s="1"/>
      <c r="J117">
        <v>125.05283300000001</v>
      </c>
    </row>
    <row r="118" spans="1:13">
      <c r="A118" s="1" t="s">
        <v>12</v>
      </c>
      <c r="B118" s="4">
        <v>359979</v>
      </c>
      <c r="C118" s="4">
        <v>414194</v>
      </c>
      <c r="D118" s="4">
        <v>408199</v>
      </c>
      <c r="E118" s="4">
        <f t="shared" si="20"/>
        <v>377051.5</v>
      </c>
      <c r="F118" s="1">
        <v>114.31399999999999</v>
      </c>
      <c r="G118" s="1">
        <v>400.48057899999998</v>
      </c>
      <c r="H118" s="1"/>
      <c r="J118">
        <v>400.50762600000002</v>
      </c>
    </row>
    <row r="119" spans="1:13">
      <c r="A119" s="1" t="s">
        <v>13</v>
      </c>
      <c r="B119" s="4">
        <v>346807</v>
      </c>
      <c r="C119" s="4">
        <v>401962</v>
      </c>
      <c r="D119" s="4">
        <v>389938</v>
      </c>
      <c r="E119" s="4">
        <f t="shared" si="20"/>
        <v>363188</v>
      </c>
      <c r="F119" s="1">
        <v>174.55600000000001</v>
      </c>
      <c r="G119" s="1">
        <v>128.20239100000001</v>
      </c>
      <c r="H119" s="1"/>
      <c r="J119">
        <v>128.16559599999999</v>
      </c>
    </row>
    <row r="120" spans="1:13">
      <c r="A120" s="1" t="s">
        <v>14</v>
      </c>
      <c r="B120" s="4">
        <v>350443</v>
      </c>
      <c r="C120" s="4">
        <v>401287</v>
      </c>
      <c r="D120" s="4">
        <v>395067</v>
      </c>
      <c r="E120" s="4">
        <f t="shared" si="20"/>
        <v>366354.33333333331</v>
      </c>
      <c r="F120" s="1">
        <v>181.15799999999999</v>
      </c>
      <c r="G120" s="1">
        <v>146.66866899999999</v>
      </c>
      <c r="H120" s="1"/>
      <c r="J120">
        <v>146.65719200000001</v>
      </c>
    </row>
    <row r="121" spans="1:13">
      <c r="A121" s="1" t="s">
        <v>7</v>
      </c>
      <c r="B121" s="4">
        <f>AVERAGE(B113:B120)</f>
        <v>351365.75</v>
      </c>
      <c r="C121" s="4">
        <f t="shared" ref="C121:G121" si="21">AVERAGE(C113:C120)</f>
        <v>404206.375</v>
      </c>
      <c r="D121" s="4">
        <f t="shared" si="21"/>
        <v>395505.375</v>
      </c>
      <c r="E121" s="4">
        <f t="shared" si="21"/>
        <v>367529.12500000006</v>
      </c>
      <c r="F121" s="5">
        <f t="shared" si="21"/>
        <v>149.34200000000001</v>
      </c>
      <c r="G121" s="5">
        <f t="shared" si="21"/>
        <v>225.75123762499999</v>
      </c>
      <c r="H121" s="1" t="s">
        <v>103</v>
      </c>
      <c r="J121">
        <f>AVERAGE(J113:J120)</f>
        <v>225.731577125</v>
      </c>
      <c r="K121" t="s">
        <v>129</v>
      </c>
      <c r="M121" s="15">
        <f>G121-J121</f>
        <v>1.9660499999986314E-2</v>
      </c>
    </row>
    <row r="123" spans="1:13">
      <c r="A123" s="1" t="s">
        <v>65</v>
      </c>
      <c r="B123" s="1"/>
      <c r="C123" s="1"/>
      <c r="D123" s="1"/>
      <c r="E123" s="1"/>
      <c r="F123" s="1"/>
      <c r="G123" s="1"/>
      <c r="H123" s="1"/>
    </row>
    <row r="124" spans="1:13">
      <c r="A124" s="1" t="s">
        <v>4</v>
      </c>
      <c r="B124" s="4">
        <v>335987</v>
      </c>
      <c r="C124" s="4">
        <v>391589</v>
      </c>
      <c r="D124" s="4">
        <v>383072</v>
      </c>
      <c r="E124" s="4">
        <f>(B124*4+C124+D124)/6</f>
        <v>353101.5</v>
      </c>
      <c r="F124" s="1">
        <v>116.252</v>
      </c>
      <c r="G124" s="1">
        <v>108.04987</v>
      </c>
      <c r="H124" s="1"/>
      <c r="J124">
        <v>107.994052</v>
      </c>
    </row>
    <row r="125" spans="1:13">
      <c r="A125" s="1" t="s">
        <v>5</v>
      </c>
      <c r="B125" s="4">
        <v>330770</v>
      </c>
      <c r="C125" s="4">
        <v>395184</v>
      </c>
      <c r="D125" s="4">
        <v>382046</v>
      </c>
      <c r="E125" s="4">
        <f t="shared" ref="E125:E131" si="22">(B125*4+C125+D125)/6</f>
        <v>350051.66666666669</v>
      </c>
      <c r="F125" s="1">
        <v>59.524000000000001</v>
      </c>
      <c r="G125" s="1">
        <v>316.92977000000002</v>
      </c>
      <c r="H125" s="1"/>
      <c r="J125">
        <v>316.93170199999997</v>
      </c>
    </row>
    <row r="126" spans="1:13">
      <c r="A126" s="1" t="s">
        <v>6</v>
      </c>
      <c r="B126" s="4">
        <v>335059</v>
      </c>
      <c r="C126" s="4">
        <v>399484</v>
      </c>
      <c r="D126" s="4">
        <v>382354</v>
      </c>
      <c r="E126" s="4">
        <f t="shared" si="22"/>
        <v>353679</v>
      </c>
      <c r="F126" s="1">
        <v>72.040000000000006</v>
      </c>
      <c r="G126" s="1">
        <v>116.18426599999999</v>
      </c>
      <c r="H126" s="1"/>
      <c r="J126">
        <v>116.12958999999999</v>
      </c>
    </row>
    <row r="127" spans="1:13">
      <c r="A127" s="1" t="s">
        <v>10</v>
      </c>
      <c r="B127" s="4">
        <v>334976</v>
      </c>
      <c r="C127" s="4">
        <v>397548</v>
      </c>
      <c r="D127" s="4">
        <v>393679</v>
      </c>
      <c r="E127" s="4">
        <f t="shared" si="22"/>
        <v>355188.5</v>
      </c>
      <c r="F127" s="1">
        <v>54.536000000000001</v>
      </c>
      <c r="G127" s="1">
        <v>309.43692499999997</v>
      </c>
      <c r="H127" s="1"/>
      <c r="J127">
        <v>309.42236200000002</v>
      </c>
    </row>
    <row r="128" spans="1:13">
      <c r="A128" s="1" t="s">
        <v>11</v>
      </c>
      <c r="B128" s="4">
        <v>332251</v>
      </c>
      <c r="C128" s="4">
        <v>393582</v>
      </c>
      <c r="D128" s="4">
        <v>378381</v>
      </c>
      <c r="E128" s="4">
        <f t="shared" si="22"/>
        <v>350161.16666666669</v>
      </c>
      <c r="F128" s="1">
        <v>80.968000000000004</v>
      </c>
      <c r="G128" s="1">
        <v>117.156989</v>
      </c>
      <c r="H128" s="1"/>
      <c r="J128">
        <v>117.114475</v>
      </c>
    </row>
    <row r="129" spans="1:13">
      <c r="A129" s="1" t="s">
        <v>12</v>
      </c>
      <c r="B129" s="4">
        <v>340229</v>
      </c>
      <c r="C129" s="4">
        <v>406867</v>
      </c>
      <c r="D129" s="4">
        <v>397696</v>
      </c>
      <c r="E129" s="4">
        <f t="shared" si="22"/>
        <v>360913.16666666669</v>
      </c>
      <c r="F129" s="1">
        <v>62.206000000000003</v>
      </c>
      <c r="G129" s="1">
        <v>319.93338899999998</v>
      </c>
      <c r="H129" s="1"/>
      <c r="J129">
        <v>319.93227899999999</v>
      </c>
    </row>
    <row r="130" spans="1:13">
      <c r="A130" s="1" t="s">
        <v>13</v>
      </c>
      <c r="B130" s="4">
        <v>330020</v>
      </c>
      <c r="C130" s="4">
        <v>394548</v>
      </c>
      <c r="D130" s="4">
        <v>379540</v>
      </c>
      <c r="E130" s="4">
        <f t="shared" si="22"/>
        <v>349028</v>
      </c>
      <c r="F130" s="1">
        <v>92.138000000000005</v>
      </c>
      <c r="G130" s="1">
        <v>120.088976</v>
      </c>
      <c r="H130" s="1"/>
      <c r="J130">
        <v>120.066041</v>
      </c>
    </row>
    <row r="131" spans="1:13">
      <c r="A131" s="1" t="s">
        <v>14</v>
      </c>
      <c r="B131" s="4">
        <v>331431</v>
      </c>
      <c r="C131" s="4">
        <v>393951</v>
      </c>
      <c r="D131" s="4">
        <v>386541</v>
      </c>
      <c r="E131" s="4">
        <f t="shared" si="22"/>
        <v>351036</v>
      </c>
      <c r="F131" s="1">
        <v>94.816000000000003</v>
      </c>
      <c r="G131" s="1">
        <v>134.020747</v>
      </c>
      <c r="H131" s="1"/>
      <c r="J131">
        <v>133.991117</v>
      </c>
    </row>
    <row r="132" spans="1:13">
      <c r="A132" s="1" t="s">
        <v>7</v>
      </c>
      <c r="B132" s="4">
        <f>AVERAGE(B124:B131)</f>
        <v>333840.375</v>
      </c>
      <c r="C132" s="4">
        <f t="shared" ref="C132:G132" si="23">AVERAGE(C124:C131)</f>
        <v>396594.125</v>
      </c>
      <c r="D132" s="4">
        <f t="shared" si="23"/>
        <v>385413.625</v>
      </c>
      <c r="E132" s="4">
        <f t="shared" si="23"/>
        <v>352894.875</v>
      </c>
      <c r="F132" s="5">
        <f t="shared" si="23"/>
        <v>79.060000000000016</v>
      </c>
      <c r="G132" s="5">
        <f t="shared" si="23"/>
        <v>192.72511649999998</v>
      </c>
      <c r="H132" s="1" t="s">
        <v>104</v>
      </c>
      <c r="J132">
        <f>AVERAGE(J124:J131)</f>
        <v>192.69770225000002</v>
      </c>
      <c r="K132" t="s">
        <v>130</v>
      </c>
      <c r="M132" s="15">
        <f>G132-J132</f>
        <v>2.7414249999964113E-2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2"/>
  <sheetViews>
    <sheetView workbookViewId="0">
      <selection activeCell="P1" sqref="P1"/>
    </sheetView>
  </sheetViews>
  <sheetFormatPr defaultRowHeight="13.5"/>
  <sheetData>
    <row r="1" spans="1:16" ht="14.25">
      <c r="B1" s="2" t="s">
        <v>0</v>
      </c>
      <c r="C1" s="2" t="s">
        <v>1</v>
      </c>
      <c r="D1" s="2" t="s">
        <v>2</v>
      </c>
      <c r="E1" s="2" t="s">
        <v>17</v>
      </c>
      <c r="F1" s="2" t="s">
        <v>3</v>
      </c>
      <c r="G1" s="2" t="s">
        <v>38</v>
      </c>
      <c r="H1" s="3" t="s">
        <v>204</v>
      </c>
      <c r="J1" s="2" t="s">
        <v>0</v>
      </c>
      <c r="K1" s="2" t="s">
        <v>1</v>
      </c>
      <c r="L1" s="2" t="s">
        <v>2</v>
      </c>
      <c r="M1" s="2" t="s">
        <v>17</v>
      </c>
      <c r="N1" s="2" t="s">
        <v>3</v>
      </c>
      <c r="O1" s="2" t="s">
        <v>38</v>
      </c>
      <c r="P1" s="3" t="s">
        <v>182</v>
      </c>
    </row>
    <row r="2" spans="1:16">
      <c r="A2" s="1" t="s">
        <v>37</v>
      </c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</row>
    <row r="3" spans="1:16">
      <c r="A3" s="1" t="s">
        <v>4</v>
      </c>
      <c r="B3" s="4">
        <v>385049</v>
      </c>
      <c r="C3" s="4">
        <v>414983</v>
      </c>
      <c r="D3" s="4">
        <v>413604</v>
      </c>
      <c r="E3" s="4">
        <f>(B3*4+C3+D3)/6</f>
        <v>394797.16666666669</v>
      </c>
      <c r="F3" s="1">
        <v>1273.19</v>
      </c>
      <c r="G3" s="1">
        <v>1493.7423570000001</v>
      </c>
      <c r="H3" s="1"/>
      <c r="J3" s="4">
        <v>385046</v>
      </c>
      <c r="K3" s="4">
        <v>414858</v>
      </c>
      <c r="L3" s="4">
        <v>413610</v>
      </c>
      <c r="M3" s="4">
        <f>(J3*4+K3+L3)/6</f>
        <v>394775.33333333331</v>
      </c>
      <c r="N3" s="1">
        <v>1275.672</v>
      </c>
      <c r="O3" s="1">
        <v>763.68300399999998</v>
      </c>
      <c r="P3" s="1"/>
    </row>
    <row r="4" spans="1:16">
      <c r="A4" s="1" t="s">
        <v>5</v>
      </c>
      <c r="B4" s="4">
        <v>383259</v>
      </c>
      <c r="C4" s="4">
        <v>415779</v>
      </c>
      <c r="D4" s="4">
        <v>412354</v>
      </c>
      <c r="E4" s="4">
        <f t="shared" ref="E4:E10" si="0">(B4*4+C4+D4)/6</f>
        <v>393528.16666666669</v>
      </c>
      <c r="F4" s="1">
        <v>996.09199999999998</v>
      </c>
      <c r="G4" s="1">
        <v>4264.2679639999997</v>
      </c>
      <c r="H4" s="1"/>
      <c r="J4" s="4">
        <v>383303</v>
      </c>
      <c r="K4" s="4">
        <v>415743</v>
      </c>
      <c r="L4" s="4">
        <v>412326</v>
      </c>
      <c r="M4" s="4">
        <f t="shared" ref="M4:M10" si="1">(J4*4+K4+L4)/6</f>
        <v>393546.83333333331</v>
      </c>
      <c r="N4" s="1">
        <v>998.55</v>
      </c>
      <c r="O4" s="1">
        <v>2817.3284180000001</v>
      </c>
      <c r="P4" s="1"/>
    </row>
    <row r="5" spans="1:16">
      <c r="A5" s="1" t="s">
        <v>6</v>
      </c>
      <c r="B5" s="4">
        <v>386396</v>
      </c>
      <c r="C5" s="4">
        <v>418099</v>
      </c>
      <c r="D5" s="4">
        <v>415371</v>
      </c>
      <c r="E5" s="4">
        <f t="shared" si="0"/>
        <v>396509</v>
      </c>
      <c r="F5" s="1">
        <v>1149.52</v>
      </c>
      <c r="G5" s="1">
        <v>1594.3721410000001</v>
      </c>
      <c r="H5" s="1"/>
      <c r="J5" s="4">
        <v>386362</v>
      </c>
      <c r="K5" s="4">
        <v>418049</v>
      </c>
      <c r="L5" s="4">
        <v>415327</v>
      </c>
      <c r="M5" s="4">
        <f t="shared" si="1"/>
        <v>396470.66666666669</v>
      </c>
      <c r="N5" s="1">
        <v>1151.922</v>
      </c>
      <c r="O5" s="1">
        <v>862.95799</v>
      </c>
      <c r="P5" s="1"/>
    </row>
    <row r="6" spans="1:16">
      <c r="A6" s="1" t="s">
        <v>10</v>
      </c>
      <c r="B6" s="4">
        <v>385107</v>
      </c>
      <c r="C6" s="4">
        <v>414517</v>
      </c>
      <c r="D6" s="4">
        <v>413830</v>
      </c>
      <c r="E6" s="4">
        <f t="shared" si="0"/>
        <v>394795.83333333331</v>
      </c>
      <c r="F6" s="1">
        <v>966.11199999999997</v>
      </c>
      <c r="G6" s="1">
        <v>3979.2605899999999</v>
      </c>
      <c r="H6" s="1"/>
      <c r="J6" s="4">
        <v>385069</v>
      </c>
      <c r="K6" s="4">
        <v>414537</v>
      </c>
      <c r="L6" s="4">
        <v>413741</v>
      </c>
      <c r="M6" s="4">
        <f t="shared" si="1"/>
        <v>394759</v>
      </c>
      <c r="N6" s="1">
        <v>968.572</v>
      </c>
      <c r="O6" s="1">
        <v>2653.7226190000001</v>
      </c>
      <c r="P6" s="1"/>
    </row>
    <row r="7" spans="1:16">
      <c r="A7" s="1" t="s">
        <v>11</v>
      </c>
      <c r="B7" s="4">
        <v>383797</v>
      </c>
      <c r="C7" s="4">
        <v>413347</v>
      </c>
      <c r="D7" s="4">
        <v>410468</v>
      </c>
      <c r="E7" s="4">
        <f t="shared" si="0"/>
        <v>393167.16666666669</v>
      </c>
      <c r="F7" s="1">
        <v>1262.75</v>
      </c>
      <c r="G7" s="1">
        <v>1605.5497210000001</v>
      </c>
      <c r="H7" s="1"/>
      <c r="J7" s="4">
        <v>383812</v>
      </c>
      <c r="K7" s="4">
        <v>413277</v>
      </c>
      <c r="L7" s="4">
        <v>410417</v>
      </c>
      <c r="M7" s="4">
        <f t="shared" si="1"/>
        <v>393157</v>
      </c>
      <c r="N7" s="1">
        <v>1266.8779999999999</v>
      </c>
      <c r="O7" s="1">
        <v>877.43831599999999</v>
      </c>
      <c r="P7" s="1"/>
    </row>
    <row r="8" spans="1:16">
      <c r="A8" s="1" t="s">
        <v>12</v>
      </c>
      <c r="B8" s="4">
        <v>390830</v>
      </c>
      <c r="C8" s="4">
        <v>418582</v>
      </c>
      <c r="D8" s="4">
        <v>417528</v>
      </c>
      <c r="E8" s="4">
        <f t="shared" si="0"/>
        <v>399905</v>
      </c>
      <c r="F8" s="1">
        <v>927.43</v>
      </c>
      <c r="G8" s="1">
        <v>4169.2749379999996</v>
      </c>
      <c r="H8" s="1"/>
      <c r="J8" s="4">
        <v>390816</v>
      </c>
      <c r="K8" s="4">
        <v>418655</v>
      </c>
      <c r="L8" s="4">
        <v>417480</v>
      </c>
      <c r="M8" s="4">
        <f t="shared" si="1"/>
        <v>399899.83333333331</v>
      </c>
      <c r="N8" s="1">
        <v>929.74400000000003</v>
      </c>
      <c r="O8" s="1">
        <v>2828.3465139999998</v>
      </c>
      <c r="P8" s="1"/>
    </row>
    <row r="9" spans="1:16">
      <c r="A9" s="1" t="s">
        <v>13</v>
      </c>
      <c r="B9" s="4">
        <v>379922</v>
      </c>
      <c r="C9" s="4">
        <v>412796</v>
      </c>
      <c r="D9" s="4">
        <v>410736</v>
      </c>
      <c r="E9" s="4">
        <f t="shared" si="0"/>
        <v>390536.66666666669</v>
      </c>
      <c r="F9" s="1">
        <v>1263.194</v>
      </c>
      <c r="G9" s="1">
        <v>1610.985113</v>
      </c>
      <c r="H9" s="1"/>
      <c r="J9" s="4">
        <v>379865</v>
      </c>
      <c r="K9" s="4">
        <v>412749</v>
      </c>
      <c r="L9" s="4">
        <v>410766</v>
      </c>
      <c r="M9" s="4">
        <f t="shared" si="1"/>
        <v>390495.83333333331</v>
      </c>
      <c r="N9" s="1">
        <v>1265.9359999999999</v>
      </c>
      <c r="O9" s="1">
        <v>896.74010499999997</v>
      </c>
      <c r="P9" s="1"/>
    </row>
    <row r="10" spans="1:16">
      <c r="A10" s="1" t="s">
        <v>14</v>
      </c>
      <c r="B10" s="4">
        <v>382937</v>
      </c>
      <c r="C10" s="4">
        <v>411541</v>
      </c>
      <c r="D10" s="4">
        <v>408299</v>
      </c>
      <c r="E10" s="4">
        <f t="shared" si="0"/>
        <v>391931.33333333331</v>
      </c>
      <c r="F10" s="1">
        <v>1332.6880000000001</v>
      </c>
      <c r="G10" s="1">
        <v>1723.8575699999999</v>
      </c>
      <c r="H10" s="1"/>
      <c r="J10" s="4">
        <v>382970</v>
      </c>
      <c r="K10" s="4">
        <v>411423</v>
      </c>
      <c r="L10" s="4">
        <v>408343</v>
      </c>
      <c r="M10" s="4">
        <f t="shared" si="1"/>
        <v>391941</v>
      </c>
      <c r="N10" s="1">
        <v>1334.9839999999999</v>
      </c>
      <c r="O10" s="1">
        <v>984.99646399999995</v>
      </c>
      <c r="P10" s="1"/>
    </row>
    <row r="11" spans="1:16">
      <c r="A11" s="1" t="s">
        <v>7</v>
      </c>
      <c r="B11" s="4">
        <f>AVERAGE(B3:B10)</f>
        <v>384662.125</v>
      </c>
      <c r="C11" s="4">
        <f t="shared" ref="C11:G11" si="2">AVERAGE(C3:C10)</f>
        <v>414955.5</v>
      </c>
      <c r="D11" s="4">
        <f t="shared" si="2"/>
        <v>412773.75</v>
      </c>
      <c r="E11" s="4">
        <f t="shared" si="2"/>
        <v>394396.29166666669</v>
      </c>
      <c r="F11" s="5">
        <f t="shared" si="2"/>
        <v>1146.3720000000001</v>
      </c>
      <c r="G11" s="5">
        <f t="shared" si="2"/>
        <v>2555.1637992499996</v>
      </c>
      <c r="H11" s="1" t="s">
        <v>141</v>
      </c>
      <c r="J11" s="4">
        <f>AVERAGE(J3:J10)</f>
        <v>384655.375</v>
      </c>
      <c r="K11" s="4">
        <f t="shared" ref="K11:O11" si="3">AVERAGE(K3:K10)</f>
        <v>414911.375</v>
      </c>
      <c r="L11" s="4">
        <f t="shared" si="3"/>
        <v>412751.25</v>
      </c>
      <c r="M11" s="4">
        <f t="shared" si="3"/>
        <v>394380.6875</v>
      </c>
      <c r="N11" s="5">
        <f t="shared" si="3"/>
        <v>1149.0322499999997</v>
      </c>
      <c r="O11" s="5">
        <f t="shared" si="3"/>
        <v>1585.65167875</v>
      </c>
      <c r="P11" s="1" t="s">
        <v>166</v>
      </c>
    </row>
    <row r="13" spans="1:16">
      <c r="A13" s="1" t="s">
        <v>42</v>
      </c>
      <c r="B13" s="1"/>
      <c r="C13" s="1"/>
      <c r="D13" s="1"/>
      <c r="E13" s="1"/>
      <c r="F13" s="1"/>
      <c r="G13" s="1"/>
      <c r="H13" s="1"/>
    </row>
    <row r="14" spans="1:16">
      <c r="A14" s="1" t="s">
        <v>4</v>
      </c>
      <c r="B14" s="4">
        <v>366648</v>
      </c>
      <c r="C14" s="4">
        <v>399668</v>
      </c>
      <c r="D14" s="4">
        <v>397883</v>
      </c>
      <c r="E14" s="4">
        <f>(B14*4+C14+D14)/6</f>
        <v>377357.16666666669</v>
      </c>
      <c r="F14" s="1">
        <v>785.75599999999997</v>
      </c>
      <c r="G14" s="1">
        <v>1427.4803449999999</v>
      </c>
      <c r="H14" s="1"/>
      <c r="J14" s="4">
        <v>366592</v>
      </c>
      <c r="K14" s="4">
        <v>399576</v>
      </c>
      <c r="L14" s="4">
        <v>397775</v>
      </c>
      <c r="M14" s="4">
        <f t="shared" ref="M14:M21" si="4">(J14*4+K14+L14)/6</f>
        <v>377286.5</v>
      </c>
      <c r="N14" s="1">
        <v>786.43399999999997</v>
      </c>
      <c r="O14" s="1">
        <v>687.13456099999996</v>
      </c>
      <c r="P14" s="1"/>
    </row>
    <row r="15" spans="1:16">
      <c r="A15" s="1" t="s">
        <v>5</v>
      </c>
      <c r="B15" s="4">
        <v>366454</v>
      </c>
      <c r="C15" s="4">
        <v>402399</v>
      </c>
      <c r="D15" s="4">
        <v>397812</v>
      </c>
      <c r="E15" s="4">
        <f t="shared" ref="E15:E21" si="5">(B15*4+C15+D15)/6</f>
        <v>377671.16666666669</v>
      </c>
      <c r="F15" s="1">
        <v>558.42999999999995</v>
      </c>
      <c r="G15" s="1">
        <v>4021.4768949999998</v>
      </c>
      <c r="H15" s="1"/>
      <c r="J15" s="4">
        <v>366370</v>
      </c>
      <c r="K15" s="4">
        <v>402357</v>
      </c>
      <c r="L15" s="4">
        <v>397661</v>
      </c>
      <c r="M15" s="4">
        <f t="shared" si="4"/>
        <v>377583</v>
      </c>
      <c r="N15" s="1">
        <v>558.73199999999997</v>
      </c>
      <c r="O15" s="1">
        <v>2456.440787</v>
      </c>
      <c r="P15" s="1"/>
    </row>
    <row r="16" spans="1:16">
      <c r="A16" s="1" t="s">
        <v>6</v>
      </c>
      <c r="B16" s="4">
        <v>368886</v>
      </c>
      <c r="C16" s="4">
        <v>403825</v>
      </c>
      <c r="D16" s="4">
        <v>400641</v>
      </c>
      <c r="E16" s="4">
        <f t="shared" si="5"/>
        <v>380001.66666666669</v>
      </c>
      <c r="F16" s="1">
        <v>676.6</v>
      </c>
      <c r="G16" s="1">
        <v>1522.106481</v>
      </c>
      <c r="H16" s="1"/>
      <c r="J16" s="4">
        <v>368914</v>
      </c>
      <c r="K16" s="4">
        <v>403689</v>
      </c>
      <c r="L16" s="4">
        <v>400570</v>
      </c>
      <c r="M16" s="4">
        <f t="shared" si="4"/>
        <v>379985.83333333331</v>
      </c>
      <c r="N16" s="1">
        <v>678.96</v>
      </c>
      <c r="O16" s="1">
        <v>780.02227900000003</v>
      </c>
      <c r="P16" s="1"/>
    </row>
    <row r="17" spans="1:16">
      <c r="A17" s="1" t="s">
        <v>10</v>
      </c>
      <c r="B17" s="4">
        <v>365905</v>
      </c>
      <c r="C17" s="4">
        <v>400031</v>
      </c>
      <c r="D17" s="4">
        <v>398889</v>
      </c>
      <c r="E17" s="4">
        <f t="shared" si="5"/>
        <v>377090</v>
      </c>
      <c r="F17" s="1">
        <v>536.78399999999999</v>
      </c>
      <c r="G17" s="1">
        <v>3774.7091569999998</v>
      </c>
      <c r="H17" s="1"/>
      <c r="J17" s="4">
        <v>365828</v>
      </c>
      <c r="K17" s="4">
        <v>399839</v>
      </c>
      <c r="L17" s="4">
        <v>398688</v>
      </c>
      <c r="M17" s="4">
        <f t="shared" si="4"/>
        <v>376973.16666666669</v>
      </c>
      <c r="N17" s="1">
        <v>538.26199999999994</v>
      </c>
      <c r="O17" s="1">
        <v>2341.7330339999999</v>
      </c>
      <c r="P17" s="1"/>
    </row>
    <row r="18" spans="1:16">
      <c r="A18" s="1" t="s">
        <v>11</v>
      </c>
      <c r="B18" s="4">
        <v>364477</v>
      </c>
      <c r="C18" s="4">
        <v>397797</v>
      </c>
      <c r="D18" s="4">
        <v>394806</v>
      </c>
      <c r="E18" s="4">
        <f t="shared" si="5"/>
        <v>375085.16666666669</v>
      </c>
      <c r="F18" s="1">
        <v>742.11199999999997</v>
      </c>
      <c r="G18" s="1">
        <v>1538.373112</v>
      </c>
      <c r="H18" s="1"/>
      <c r="J18" s="4">
        <v>364460</v>
      </c>
      <c r="K18" s="4">
        <v>397657</v>
      </c>
      <c r="L18" s="4">
        <v>394812</v>
      </c>
      <c r="M18" s="4">
        <f t="shared" si="4"/>
        <v>375051.5</v>
      </c>
      <c r="N18" s="1">
        <v>745.02800000000002</v>
      </c>
      <c r="O18" s="1">
        <v>796.76368300000001</v>
      </c>
      <c r="P18" s="1"/>
    </row>
    <row r="19" spans="1:16">
      <c r="A19" s="1" t="s">
        <v>12</v>
      </c>
      <c r="B19" s="4">
        <v>371828</v>
      </c>
      <c r="C19" s="4">
        <v>402399</v>
      </c>
      <c r="D19" s="4">
        <v>402339</v>
      </c>
      <c r="E19" s="4">
        <f t="shared" si="5"/>
        <v>382008.33333333331</v>
      </c>
      <c r="F19" s="1">
        <v>526.75199999999995</v>
      </c>
      <c r="G19" s="1">
        <v>3962.376475</v>
      </c>
      <c r="H19" s="1"/>
      <c r="J19" s="4">
        <v>371776</v>
      </c>
      <c r="K19" s="4">
        <v>402280</v>
      </c>
      <c r="L19" s="4">
        <v>402221</v>
      </c>
      <c r="M19" s="4">
        <f t="shared" si="4"/>
        <v>381934.16666666669</v>
      </c>
      <c r="N19" s="1">
        <v>529.94600000000003</v>
      </c>
      <c r="O19" s="1">
        <v>2493.3137259999999</v>
      </c>
      <c r="P19" s="1"/>
    </row>
    <row r="20" spans="1:16">
      <c r="A20" s="1" t="s">
        <v>13</v>
      </c>
      <c r="B20" s="4">
        <v>363968</v>
      </c>
      <c r="C20" s="4">
        <v>399501</v>
      </c>
      <c r="D20" s="4">
        <v>396675</v>
      </c>
      <c r="E20" s="4">
        <f t="shared" si="5"/>
        <v>375341.33333333331</v>
      </c>
      <c r="F20" s="1">
        <v>721.22799999999995</v>
      </c>
      <c r="G20" s="1">
        <v>1542.2512879999999</v>
      </c>
      <c r="H20" s="1"/>
      <c r="J20" s="4">
        <v>363954</v>
      </c>
      <c r="K20" s="4">
        <v>399247</v>
      </c>
      <c r="L20" s="4">
        <v>396652</v>
      </c>
      <c r="M20" s="4">
        <f t="shared" si="4"/>
        <v>375285.83333333331</v>
      </c>
      <c r="N20" s="1">
        <v>723.54</v>
      </c>
      <c r="O20" s="1">
        <v>808.73159699999997</v>
      </c>
      <c r="P20" s="1"/>
    </row>
    <row r="21" spans="1:16">
      <c r="A21" s="1" t="s">
        <v>14</v>
      </c>
      <c r="B21" s="4">
        <v>363381</v>
      </c>
      <c r="C21" s="4">
        <v>395881</v>
      </c>
      <c r="D21" s="4">
        <v>392458</v>
      </c>
      <c r="E21" s="4">
        <f t="shared" si="5"/>
        <v>373643.83333333331</v>
      </c>
      <c r="F21" s="1">
        <v>776.40200000000004</v>
      </c>
      <c r="G21" s="1">
        <v>1664.4529990000001</v>
      </c>
      <c r="H21" s="1"/>
      <c r="J21" s="4">
        <v>363301</v>
      </c>
      <c r="K21" s="4">
        <v>395665</v>
      </c>
      <c r="L21" s="4">
        <v>392435</v>
      </c>
      <c r="M21" s="4">
        <f t="shared" si="4"/>
        <v>373550.66666666669</v>
      </c>
      <c r="N21" s="1">
        <v>778.22400000000005</v>
      </c>
      <c r="O21" s="1">
        <v>900.53827000000001</v>
      </c>
      <c r="P21" s="1"/>
    </row>
    <row r="22" spans="1:16">
      <c r="A22" s="1" t="s">
        <v>7</v>
      </c>
      <c r="B22" s="4">
        <f>AVERAGE(B14:B21)</f>
        <v>366443.375</v>
      </c>
      <c r="C22" s="4">
        <f t="shared" ref="C22:G22" si="6">AVERAGE(C14:C21)</f>
        <v>400187.625</v>
      </c>
      <c r="D22" s="4">
        <f t="shared" si="6"/>
        <v>397687.875</v>
      </c>
      <c r="E22" s="4">
        <f t="shared" si="6"/>
        <v>377274.83333333337</v>
      </c>
      <c r="F22" s="5">
        <f t="shared" si="6"/>
        <v>665.50800000000004</v>
      </c>
      <c r="G22" s="5">
        <f t="shared" si="6"/>
        <v>2431.6533439999998</v>
      </c>
      <c r="H22" s="1" t="s">
        <v>142</v>
      </c>
      <c r="J22" s="4">
        <f>AVERAGE(J14:J21)</f>
        <v>366399.375</v>
      </c>
      <c r="K22" s="4">
        <f>AVERAGE(K14:K21)</f>
        <v>400038.75</v>
      </c>
      <c r="L22" s="4">
        <f>AVERAGE(L14:L21)</f>
        <v>397601.75</v>
      </c>
      <c r="M22" s="4">
        <f t="shared" ref="M22:O22" si="7">AVERAGE(M14:M21)</f>
        <v>377206.33333333331</v>
      </c>
      <c r="N22" s="5">
        <f t="shared" si="7"/>
        <v>667.39075000000003</v>
      </c>
      <c r="O22" s="5">
        <f t="shared" si="7"/>
        <v>1408.084742125</v>
      </c>
      <c r="P22" s="1" t="s">
        <v>167</v>
      </c>
    </row>
    <row r="24" spans="1:16">
      <c r="A24" s="1" t="s">
        <v>40</v>
      </c>
      <c r="B24" s="1"/>
      <c r="C24" s="1"/>
      <c r="D24" s="1"/>
      <c r="E24" s="1"/>
      <c r="F24" s="1"/>
      <c r="G24" s="1"/>
      <c r="H24" s="1"/>
    </row>
    <row r="25" spans="1:16">
      <c r="A25" s="1" t="s">
        <v>4</v>
      </c>
      <c r="B25" s="4">
        <v>346121</v>
      </c>
      <c r="C25" s="4">
        <v>386919</v>
      </c>
      <c r="D25" s="4">
        <v>385563</v>
      </c>
      <c r="E25" s="4">
        <f>(B25*4+C25+D25)/6</f>
        <v>359494.33333333331</v>
      </c>
      <c r="F25" s="1">
        <v>488.86599999999999</v>
      </c>
      <c r="G25" s="1">
        <v>1364.8804070000001</v>
      </c>
      <c r="H25" s="1"/>
      <c r="J25" s="4">
        <v>346059</v>
      </c>
      <c r="K25" s="4">
        <v>386814</v>
      </c>
      <c r="L25" s="4">
        <v>385485</v>
      </c>
      <c r="M25" s="4">
        <f>(J25*4+K25+L25)/6</f>
        <v>359422.5</v>
      </c>
      <c r="N25" s="1">
        <v>490.202</v>
      </c>
      <c r="O25" s="1">
        <v>609.10877900000003</v>
      </c>
      <c r="P25" s="1"/>
    </row>
    <row r="26" spans="1:16">
      <c r="A26" s="1" t="s">
        <v>5</v>
      </c>
      <c r="B26" s="4">
        <v>345709</v>
      </c>
      <c r="C26" s="4">
        <v>390875</v>
      </c>
      <c r="D26" s="4">
        <v>385944</v>
      </c>
      <c r="E26" s="4">
        <f t="shared" ref="E26:E32" si="8">(B26*4+C26+D26)/6</f>
        <v>359942.5</v>
      </c>
      <c r="F26" s="1">
        <v>323.65800000000002</v>
      </c>
      <c r="G26" s="1">
        <v>3744.9060119999999</v>
      </c>
      <c r="H26" s="1"/>
      <c r="J26" s="4">
        <v>345596</v>
      </c>
      <c r="K26" s="4">
        <v>390790</v>
      </c>
      <c r="L26" s="4">
        <v>385872</v>
      </c>
      <c r="M26" s="4">
        <f t="shared" ref="M26:M32" si="9">(J26*4+K26+L26)/6</f>
        <v>359841</v>
      </c>
      <c r="N26" s="1">
        <v>325.73</v>
      </c>
      <c r="O26" s="1">
        <v>2056.065259</v>
      </c>
      <c r="P26" s="1"/>
    </row>
    <row r="27" spans="1:16">
      <c r="A27" s="1" t="s">
        <v>6</v>
      </c>
      <c r="B27" s="4">
        <v>348020</v>
      </c>
      <c r="C27" s="4">
        <v>391915</v>
      </c>
      <c r="D27" s="4">
        <v>388422</v>
      </c>
      <c r="E27" s="4">
        <f t="shared" si="8"/>
        <v>362069.5</v>
      </c>
      <c r="F27" s="1">
        <v>406.52</v>
      </c>
      <c r="G27" s="1">
        <v>1456.079855</v>
      </c>
      <c r="H27" s="1"/>
      <c r="J27" s="4">
        <v>348007</v>
      </c>
      <c r="K27" s="4">
        <v>391526</v>
      </c>
      <c r="L27" s="4">
        <v>388141</v>
      </c>
      <c r="M27" s="4">
        <f t="shared" si="9"/>
        <v>361949.16666666669</v>
      </c>
      <c r="N27" s="1">
        <v>409.56</v>
      </c>
      <c r="O27" s="1">
        <v>687.15932599999996</v>
      </c>
      <c r="P27" s="1"/>
    </row>
    <row r="28" spans="1:16">
      <c r="A28" s="1" t="s">
        <v>10</v>
      </c>
      <c r="B28" s="4">
        <v>343696</v>
      </c>
      <c r="C28" s="4">
        <v>388587</v>
      </c>
      <c r="D28" s="4">
        <v>387048</v>
      </c>
      <c r="E28" s="4">
        <f t="shared" si="8"/>
        <v>358403.16666666669</v>
      </c>
      <c r="F28" s="1">
        <v>308.13799999999998</v>
      </c>
      <c r="G28" s="1">
        <v>3552.4040570000002</v>
      </c>
      <c r="H28" s="1"/>
      <c r="J28" s="4">
        <v>343645</v>
      </c>
      <c r="K28" s="4">
        <v>388210</v>
      </c>
      <c r="L28" s="4">
        <v>386800</v>
      </c>
      <c r="M28" s="4">
        <f t="shared" si="9"/>
        <v>358265</v>
      </c>
      <c r="N28" s="1">
        <v>310.69600000000003</v>
      </c>
      <c r="O28" s="1">
        <v>1998.3844429999999</v>
      </c>
      <c r="P28" s="1"/>
    </row>
    <row r="29" spans="1:16">
      <c r="A29" s="1" t="s">
        <v>11</v>
      </c>
      <c r="B29" s="4">
        <v>342340</v>
      </c>
      <c r="C29" s="4">
        <v>385320</v>
      </c>
      <c r="D29" s="4">
        <v>382332</v>
      </c>
      <c r="E29" s="4">
        <f t="shared" si="8"/>
        <v>356168.66666666669</v>
      </c>
      <c r="F29" s="1">
        <v>444.43200000000002</v>
      </c>
      <c r="G29" s="1">
        <v>1473.7819</v>
      </c>
      <c r="H29" s="1"/>
      <c r="J29" s="4">
        <v>342296</v>
      </c>
      <c r="K29" s="4">
        <v>384771</v>
      </c>
      <c r="L29" s="4">
        <v>382202</v>
      </c>
      <c r="M29" s="4">
        <f t="shared" si="9"/>
        <v>356026.16666666669</v>
      </c>
      <c r="N29" s="1">
        <v>447.30799999999999</v>
      </c>
      <c r="O29" s="1">
        <v>706.28468699999996</v>
      </c>
      <c r="P29" s="1"/>
    </row>
    <row r="30" spans="1:16">
      <c r="A30" s="1" t="s">
        <v>12</v>
      </c>
      <c r="B30" s="4">
        <v>350038</v>
      </c>
      <c r="C30" s="4">
        <v>389225</v>
      </c>
      <c r="D30" s="4">
        <v>390001</v>
      </c>
      <c r="E30" s="4">
        <f t="shared" si="8"/>
        <v>363229.66666666669</v>
      </c>
      <c r="F30" s="1">
        <v>320.82</v>
      </c>
      <c r="G30" s="1">
        <v>3721.2661560000001</v>
      </c>
      <c r="H30" s="1"/>
      <c r="J30" s="4">
        <v>349960</v>
      </c>
      <c r="K30" s="4">
        <v>389204</v>
      </c>
      <c r="L30" s="4">
        <v>389900</v>
      </c>
      <c r="M30" s="4">
        <f t="shared" si="9"/>
        <v>363157.33333333331</v>
      </c>
      <c r="N30" s="1">
        <v>323.01799999999997</v>
      </c>
      <c r="O30" s="1">
        <v>2112.3704760000001</v>
      </c>
      <c r="P30" s="1"/>
    </row>
    <row r="31" spans="1:16">
      <c r="A31" s="1" t="s">
        <v>13</v>
      </c>
      <c r="B31" s="4">
        <v>344470</v>
      </c>
      <c r="C31" s="4">
        <v>386780</v>
      </c>
      <c r="D31" s="4">
        <v>384238</v>
      </c>
      <c r="E31" s="4">
        <f t="shared" si="8"/>
        <v>358149.66666666669</v>
      </c>
      <c r="F31" s="1">
        <v>431.31400000000002</v>
      </c>
      <c r="G31" s="1">
        <v>1480.5459860000001</v>
      </c>
      <c r="H31" s="1"/>
      <c r="J31" s="4">
        <v>344356</v>
      </c>
      <c r="K31" s="4">
        <v>386518</v>
      </c>
      <c r="L31" s="4">
        <v>384183</v>
      </c>
      <c r="M31" s="4">
        <f t="shared" si="9"/>
        <v>358020.83333333331</v>
      </c>
      <c r="N31" s="1">
        <v>434.03</v>
      </c>
      <c r="O31" s="1">
        <v>722.36282900000003</v>
      </c>
      <c r="P31" s="1"/>
    </row>
    <row r="32" spans="1:16">
      <c r="A32" s="1" t="s">
        <v>14</v>
      </c>
      <c r="B32" s="4">
        <v>340658</v>
      </c>
      <c r="C32" s="4">
        <v>383432</v>
      </c>
      <c r="D32" s="4">
        <v>379874</v>
      </c>
      <c r="E32" s="4">
        <f t="shared" si="8"/>
        <v>354323</v>
      </c>
      <c r="F32" s="1">
        <v>463.41</v>
      </c>
      <c r="G32" s="1">
        <v>1600.773128</v>
      </c>
      <c r="H32" s="1"/>
      <c r="J32" s="4">
        <v>340556</v>
      </c>
      <c r="K32" s="4">
        <v>383259</v>
      </c>
      <c r="L32" s="4">
        <v>379755</v>
      </c>
      <c r="M32" s="4">
        <f t="shared" si="9"/>
        <v>354206.33333333331</v>
      </c>
      <c r="N32" s="1">
        <v>465.57600000000002</v>
      </c>
      <c r="O32" s="1">
        <v>802.53534100000002</v>
      </c>
      <c r="P32" s="1"/>
    </row>
    <row r="33" spans="1:16">
      <c r="A33" s="1" t="s">
        <v>7</v>
      </c>
      <c r="B33" s="4">
        <f>AVERAGE(B25:B32)</f>
        <v>345131.5</v>
      </c>
      <c r="C33" s="4">
        <f t="shared" ref="C33:G33" si="10">AVERAGE(C25:C32)</f>
        <v>387881.625</v>
      </c>
      <c r="D33" s="4">
        <f t="shared" si="10"/>
        <v>385427.75</v>
      </c>
      <c r="E33" s="4">
        <f t="shared" si="10"/>
        <v>358972.5625</v>
      </c>
      <c r="F33" s="5">
        <f t="shared" si="10"/>
        <v>398.39474999999993</v>
      </c>
      <c r="G33" s="5">
        <f t="shared" si="10"/>
        <v>2299.3296876250001</v>
      </c>
      <c r="H33" s="1" t="s">
        <v>151</v>
      </c>
      <c r="J33" s="4">
        <f>AVERAGE(J25:J32)</f>
        <v>345059.375</v>
      </c>
      <c r="K33" s="4">
        <f t="shared" ref="K33:O33" si="11">AVERAGE(K25:K32)</f>
        <v>387636.5</v>
      </c>
      <c r="L33" s="4">
        <f t="shared" si="11"/>
        <v>385292.25</v>
      </c>
      <c r="M33" s="4">
        <f t="shared" si="11"/>
        <v>358861.04166666674</v>
      </c>
      <c r="N33" s="5">
        <f t="shared" si="11"/>
        <v>400.76499999999999</v>
      </c>
      <c r="O33" s="5">
        <f t="shared" si="11"/>
        <v>1211.7838925000001</v>
      </c>
      <c r="P33" s="1" t="s">
        <v>168</v>
      </c>
    </row>
    <row r="35" spans="1:16">
      <c r="A35" s="1" t="s">
        <v>44</v>
      </c>
      <c r="B35" s="1"/>
      <c r="C35" s="1"/>
      <c r="D35" s="1"/>
      <c r="E35" s="1"/>
      <c r="F35" s="1"/>
      <c r="G35" s="1"/>
      <c r="H35" s="1"/>
    </row>
    <row r="36" spans="1:16">
      <c r="A36" s="1" t="s">
        <v>4</v>
      </c>
      <c r="B36" s="4">
        <v>325440</v>
      </c>
      <c r="C36" s="4">
        <v>375240</v>
      </c>
      <c r="D36" s="4">
        <v>374156</v>
      </c>
      <c r="E36" s="4">
        <f>(B36*4+C36+D36)/6</f>
        <v>341859.33333333331</v>
      </c>
      <c r="F36" s="1">
        <v>310.36799999999999</v>
      </c>
      <c r="G36" s="1">
        <v>1301.1712319999999</v>
      </c>
      <c r="H36" s="1"/>
      <c r="J36" s="4">
        <v>325331</v>
      </c>
      <c r="K36" s="4">
        <v>374996</v>
      </c>
      <c r="L36" s="4">
        <v>374076</v>
      </c>
      <c r="M36" s="4">
        <f>(J36*4+K36+L36)/6</f>
        <v>341732.66666666669</v>
      </c>
      <c r="N36" s="1">
        <v>311.95400000000001</v>
      </c>
      <c r="O36" s="1">
        <v>515.20162400000004</v>
      </c>
      <c r="P36" s="1"/>
    </row>
    <row r="37" spans="1:16">
      <c r="A37" s="1" t="s">
        <v>5</v>
      </c>
      <c r="B37" s="4">
        <v>323821</v>
      </c>
      <c r="C37" s="4">
        <v>379171</v>
      </c>
      <c r="D37" s="4">
        <v>374495</v>
      </c>
      <c r="E37" s="4">
        <f t="shared" ref="E37:E43" si="12">(B37*4+C37+D37)/6</f>
        <v>341491.66666666669</v>
      </c>
      <c r="F37" s="1">
        <v>197.72</v>
      </c>
      <c r="G37" s="1">
        <v>3415.536306</v>
      </c>
      <c r="H37" s="1"/>
      <c r="J37" s="4">
        <v>323625</v>
      </c>
      <c r="K37" s="4">
        <v>379085</v>
      </c>
      <c r="L37" s="4">
        <v>374272</v>
      </c>
      <c r="M37" s="4">
        <f t="shared" ref="M37:M43" si="13">(J37*4+K37+L37)/6</f>
        <v>341309.5</v>
      </c>
      <c r="N37" s="1">
        <v>200.25</v>
      </c>
      <c r="O37" s="1">
        <v>1612.7990400000001</v>
      </c>
      <c r="P37" s="1"/>
    </row>
    <row r="38" spans="1:16">
      <c r="A38" s="1" t="s">
        <v>6</v>
      </c>
      <c r="B38" s="4">
        <v>326070</v>
      </c>
      <c r="C38" s="4">
        <v>379821</v>
      </c>
      <c r="D38" s="4">
        <v>376252</v>
      </c>
      <c r="E38" s="4">
        <f t="shared" si="12"/>
        <v>343392.16666666669</v>
      </c>
      <c r="F38" s="1">
        <v>250.482</v>
      </c>
      <c r="G38" s="1">
        <v>1383.9559999999999</v>
      </c>
      <c r="H38" s="1"/>
      <c r="J38" s="4">
        <v>325974</v>
      </c>
      <c r="K38" s="4">
        <v>379602</v>
      </c>
      <c r="L38" s="4">
        <v>376038</v>
      </c>
      <c r="M38" s="4">
        <f t="shared" si="13"/>
        <v>343256</v>
      </c>
      <c r="N38" s="1">
        <v>253.148</v>
      </c>
      <c r="O38" s="1">
        <v>580.757341</v>
      </c>
      <c r="P38" s="1"/>
    </row>
    <row r="39" spans="1:16">
      <c r="A39" s="1" t="s">
        <v>10</v>
      </c>
      <c r="B39" s="4">
        <v>322037</v>
      </c>
      <c r="C39" s="4">
        <v>377720</v>
      </c>
      <c r="D39" s="4">
        <v>376117</v>
      </c>
      <c r="E39" s="4">
        <f t="shared" si="12"/>
        <v>340330.83333333331</v>
      </c>
      <c r="F39" s="1">
        <v>188.81399999999999</v>
      </c>
      <c r="G39" s="1">
        <v>3289.3251129999999</v>
      </c>
      <c r="H39" s="1"/>
      <c r="J39" s="4">
        <v>321740</v>
      </c>
      <c r="K39" s="4">
        <v>377308</v>
      </c>
      <c r="L39" s="4">
        <v>375725</v>
      </c>
      <c r="M39" s="4">
        <f t="shared" si="13"/>
        <v>339998.83333333331</v>
      </c>
      <c r="N39" s="1">
        <v>190.26400000000001</v>
      </c>
      <c r="O39" s="1">
        <v>1595.8358189999999</v>
      </c>
      <c r="P39" s="1"/>
    </row>
    <row r="40" spans="1:16">
      <c r="A40" s="1" t="s">
        <v>11</v>
      </c>
      <c r="B40" s="4">
        <v>319815</v>
      </c>
      <c r="C40" s="4">
        <v>373590</v>
      </c>
      <c r="D40" s="4">
        <v>370786</v>
      </c>
      <c r="E40" s="4">
        <f t="shared" si="12"/>
        <v>337272.66666666669</v>
      </c>
      <c r="F40" s="1">
        <v>273.41199999999998</v>
      </c>
      <c r="G40" s="1">
        <v>1404.679854</v>
      </c>
      <c r="H40" s="1"/>
      <c r="J40" s="4">
        <v>319602</v>
      </c>
      <c r="K40" s="4">
        <v>373378</v>
      </c>
      <c r="L40" s="4">
        <v>370286</v>
      </c>
      <c r="M40" s="4">
        <f t="shared" si="13"/>
        <v>337012</v>
      </c>
      <c r="N40" s="1">
        <v>275.762</v>
      </c>
      <c r="O40" s="1">
        <v>605.29675399999996</v>
      </c>
      <c r="P40" s="1"/>
    </row>
    <row r="41" spans="1:16">
      <c r="A41" s="1" t="s">
        <v>12</v>
      </c>
      <c r="B41" s="4">
        <v>327469</v>
      </c>
      <c r="C41" s="4">
        <v>376481</v>
      </c>
      <c r="D41" s="4">
        <v>378240</v>
      </c>
      <c r="E41" s="4">
        <f t="shared" si="12"/>
        <v>344099.5</v>
      </c>
      <c r="F41" s="1">
        <v>204.952</v>
      </c>
      <c r="G41" s="1">
        <v>3433.2812920000001</v>
      </c>
      <c r="H41" s="1"/>
      <c r="J41" s="4">
        <v>327181</v>
      </c>
      <c r="K41" s="4">
        <v>376356</v>
      </c>
      <c r="L41" s="4">
        <v>377694</v>
      </c>
      <c r="M41" s="4">
        <f t="shared" si="13"/>
        <v>343795.66666666669</v>
      </c>
      <c r="N41" s="1">
        <v>206.06399999999999</v>
      </c>
      <c r="O41" s="1">
        <v>1687.197911</v>
      </c>
      <c r="P41" s="1"/>
    </row>
    <row r="42" spans="1:16">
      <c r="A42" s="1" t="s">
        <v>13</v>
      </c>
      <c r="B42" s="4">
        <v>323184</v>
      </c>
      <c r="C42" s="4">
        <v>373132</v>
      </c>
      <c r="D42" s="4">
        <v>371765</v>
      </c>
      <c r="E42" s="4">
        <f t="shared" si="12"/>
        <v>339605.5</v>
      </c>
      <c r="F42" s="1">
        <v>268.11799999999999</v>
      </c>
      <c r="G42" s="1">
        <v>1418.551187</v>
      </c>
      <c r="H42" s="1"/>
      <c r="J42" s="4">
        <v>322987</v>
      </c>
      <c r="K42" s="4">
        <v>372742</v>
      </c>
      <c r="L42" s="4">
        <v>371643</v>
      </c>
      <c r="M42" s="4">
        <f t="shared" si="13"/>
        <v>339388.83333333331</v>
      </c>
      <c r="N42" s="1">
        <v>270.608</v>
      </c>
      <c r="O42" s="1">
        <v>615.56697799999995</v>
      </c>
      <c r="P42" s="1"/>
    </row>
    <row r="43" spans="1:16">
      <c r="A43" s="1" t="s">
        <v>14</v>
      </c>
      <c r="B43" s="4">
        <v>317380</v>
      </c>
      <c r="C43" s="4">
        <v>371188</v>
      </c>
      <c r="D43" s="4">
        <v>369208</v>
      </c>
      <c r="E43" s="4">
        <f t="shared" si="12"/>
        <v>334986</v>
      </c>
      <c r="F43" s="1">
        <v>283.81200000000001</v>
      </c>
      <c r="G43" s="1">
        <v>1524.4526510000001</v>
      </c>
      <c r="H43" s="1"/>
      <c r="J43" s="4">
        <v>317223</v>
      </c>
      <c r="K43" s="4">
        <v>371033</v>
      </c>
      <c r="L43" s="4">
        <v>368709</v>
      </c>
      <c r="M43" s="4">
        <f t="shared" si="13"/>
        <v>334772.33333333331</v>
      </c>
      <c r="N43" s="1">
        <v>285.346</v>
      </c>
      <c r="O43" s="1">
        <v>686.83177599999999</v>
      </c>
      <c r="P43" s="1"/>
    </row>
    <row r="44" spans="1:16">
      <c r="A44" s="1" t="s">
        <v>7</v>
      </c>
      <c r="B44" s="4">
        <f>AVERAGE(B36:B43)</f>
        <v>323152</v>
      </c>
      <c r="C44" s="4">
        <f t="shared" ref="C44:G44" si="14">AVERAGE(C36:C43)</f>
        <v>375792.875</v>
      </c>
      <c r="D44" s="4">
        <f t="shared" si="14"/>
        <v>373877.375</v>
      </c>
      <c r="E44" s="4">
        <f t="shared" si="14"/>
        <v>340379.70833333337</v>
      </c>
      <c r="F44" s="5">
        <f t="shared" si="14"/>
        <v>247.20974999999999</v>
      </c>
      <c r="G44" s="5">
        <f t="shared" si="14"/>
        <v>2146.3692043749998</v>
      </c>
      <c r="H44" s="1" t="s">
        <v>143</v>
      </c>
      <c r="J44" s="4">
        <f>AVERAGE(J36:J43)</f>
        <v>322957.875</v>
      </c>
      <c r="K44" s="4">
        <f t="shared" ref="K44:O44" si="15">AVERAGE(K36:K43)</f>
        <v>375562.5</v>
      </c>
      <c r="L44" s="4">
        <f t="shared" si="15"/>
        <v>373555.375</v>
      </c>
      <c r="M44" s="4">
        <f t="shared" si="15"/>
        <v>340158.22916666669</v>
      </c>
      <c r="N44" s="5">
        <f t="shared" si="15"/>
        <v>249.17449999999999</v>
      </c>
      <c r="O44" s="5">
        <f t="shared" si="15"/>
        <v>987.43590537499995</v>
      </c>
      <c r="P44" s="1" t="s">
        <v>169</v>
      </c>
    </row>
    <row r="46" spans="1:16">
      <c r="A46" s="1" t="s">
        <v>49</v>
      </c>
      <c r="B46" s="1"/>
      <c r="C46" s="1"/>
      <c r="D46" s="1"/>
      <c r="E46" s="1"/>
      <c r="F46" s="1"/>
      <c r="G46" s="1"/>
      <c r="H46" s="1"/>
    </row>
    <row r="47" spans="1:16">
      <c r="A47" s="1" t="s">
        <v>4</v>
      </c>
      <c r="B47" s="4">
        <v>397068</v>
      </c>
      <c r="C47" s="4">
        <v>435749</v>
      </c>
      <c r="D47" s="4">
        <v>427702</v>
      </c>
      <c r="E47" s="4">
        <f>(B47*4+C47+D47)/6</f>
        <v>408620.5</v>
      </c>
      <c r="F47" s="1">
        <v>529.96600000000001</v>
      </c>
      <c r="G47" s="1">
        <v>1034.47469</v>
      </c>
      <c r="H47" s="1"/>
    </row>
    <row r="48" spans="1:16">
      <c r="A48" s="1" t="s">
        <v>5</v>
      </c>
      <c r="B48" s="4">
        <v>395055</v>
      </c>
      <c r="C48" s="4">
        <v>435328</v>
      </c>
      <c r="D48" s="4">
        <v>426065</v>
      </c>
      <c r="E48" s="4">
        <f t="shared" ref="E48:E54" si="16">(B48*4+C48+D48)/6</f>
        <v>406935.5</v>
      </c>
      <c r="F48" s="1">
        <v>437.37599999999998</v>
      </c>
      <c r="G48" s="1">
        <v>3712.722334</v>
      </c>
      <c r="H48" s="1"/>
    </row>
    <row r="49" spans="1:8">
      <c r="A49" s="1" t="s">
        <v>6</v>
      </c>
      <c r="B49" s="4">
        <v>396849</v>
      </c>
      <c r="C49" s="4">
        <v>437757</v>
      </c>
      <c r="D49" s="4">
        <v>428461</v>
      </c>
      <c r="E49" s="4">
        <f t="shared" si="16"/>
        <v>408935.66666666669</v>
      </c>
      <c r="F49" s="1">
        <v>508.07400000000001</v>
      </c>
      <c r="G49" s="1">
        <v>1203.6602499999999</v>
      </c>
      <c r="H49" s="1"/>
    </row>
    <row r="50" spans="1:8">
      <c r="A50" s="1" t="s">
        <v>10</v>
      </c>
      <c r="B50" s="4">
        <v>397999</v>
      </c>
      <c r="C50" s="4">
        <v>439156</v>
      </c>
      <c r="D50" s="4">
        <v>433375</v>
      </c>
      <c r="E50" s="4">
        <f t="shared" si="16"/>
        <v>410754.5</v>
      </c>
      <c r="F50" s="1">
        <v>447.09199999999998</v>
      </c>
      <c r="G50" s="1">
        <v>3888.7221</v>
      </c>
      <c r="H50" s="1"/>
    </row>
    <row r="51" spans="1:8">
      <c r="A51" s="1" t="s">
        <v>11</v>
      </c>
      <c r="B51" s="4">
        <v>393971</v>
      </c>
      <c r="C51" s="4">
        <v>436808</v>
      </c>
      <c r="D51" s="4">
        <v>427908</v>
      </c>
      <c r="E51" s="4">
        <f t="shared" si="16"/>
        <v>406766.66666666669</v>
      </c>
      <c r="F51" s="1">
        <v>586.09</v>
      </c>
      <c r="G51" s="1">
        <v>1350.239288</v>
      </c>
      <c r="H51" s="1"/>
    </row>
    <row r="52" spans="1:8">
      <c r="A52" s="1" t="s">
        <v>12</v>
      </c>
      <c r="B52" s="4">
        <v>394085</v>
      </c>
      <c r="C52" s="4">
        <v>435569</v>
      </c>
      <c r="D52" s="4">
        <v>427760</v>
      </c>
      <c r="E52" s="4">
        <f t="shared" si="16"/>
        <v>406611.5</v>
      </c>
      <c r="F52" s="1">
        <v>547.41399999999999</v>
      </c>
      <c r="G52" s="1">
        <v>4115.5273779999998</v>
      </c>
      <c r="H52" s="1"/>
    </row>
    <row r="53" spans="1:8">
      <c r="A53" s="1" t="s">
        <v>13</v>
      </c>
      <c r="B53" s="4">
        <v>387182</v>
      </c>
      <c r="C53" s="4">
        <v>428056</v>
      </c>
      <c r="D53" s="4">
        <v>420979</v>
      </c>
      <c r="E53" s="4">
        <f t="shared" si="16"/>
        <v>399627.16666666669</v>
      </c>
      <c r="F53" s="1">
        <v>777.93799999999999</v>
      </c>
      <c r="G53" s="1">
        <v>1546.104724</v>
      </c>
      <c r="H53" s="1"/>
    </row>
    <row r="54" spans="1:8">
      <c r="A54" s="1" t="s">
        <v>14</v>
      </c>
      <c r="B54" s="4">
        <v>391812</v>
      </c>
      <c r="C54" s="4">
        <v>435791</v>
      </c>
      <c r="D54" s="4">
        <v>426658</v>
      </c>
      <c r="E54" s="4">
        <f t="shared" si="16"/>
        <v>404949.5</v>
      </c>
      <c r="F54" s="1">
        <v>722.02800000000002</v>
      </c>
      <c r="G54" s="1">
        <v>1729.6370629999999</v>
      </c>
      <c r="H54" s="1"/>
    </row>
    <row r="55" spans="1:8">
      <c r="A55" s="1" t="s">
        <v>7</v>
      </c>
      <c r="B55" s="4">
        <f>AVERAGE(B47:B54)</f>
        <v>394252.625</v>
      </c>
      <c r="C55" s="4">
        <f t="shared" ref="C55:G55" si="17">AVERAGE(C47:C54)</f>
        <v>435526.75</v>
      </c>
      <c r="D55" s="4">
        <f t="shared" si="17"/>
        <v>427363.5</v>
      </c>
      <c r="E55" s="4">
        <f t="shared" si="17"/>
        <v>406650.125</v>
      </c>
      <c r="F55" s="5">
        <f t="shared" si="17"/>
        <v>569.49725000000001</v>
      </c>
      <c r="G55" s="5">
        <f t="shared" si="17"/>
        <v>2322.6359783749999</v>
      </c>
      <c r="H55" s="1" t="s">
        <v>144</v>
      </c>
    </row>
    <row r="57" spans="1:8">
      <c r="A57" s="1" t="s">
        <v>50</v>
      </c>
      <c r="B57" s="1"/>
      <c r="C57" s="1"/>
      <c r="D57" s="1"/>
      <c r="E57" s="1"/>
      <c r="F57" s="1"/>
      <c r="G57" s="1"/>
      <c r="H57" s="1"/>
    </row>
    <row r="58" spans="1:8">
      <c r="A58" s="1" t="s">
        <v>4</v>
      </c>
      <c r="B58" s="4">
        <v>386251</v>
      </c>
      <c r="C58" s="4">
        <v>421209</v>
      </c>
      <c r="D58" s="4">
        <v>413910</v>
      </c>
      <c r="E58" s="4">
        <f>(B58*4+C58+D58)/6</f>
        <v>396687.16666666669</v>
      </c>
      <c r="F58" s="1">
        <v>292.44200000000001</v>
      </c>
      <c r="G58" s="1">
        <v>970.21367499999997</v>
      </c>
      <c r="H58" s="1"/>
    </row>
    <row r="59" spans="1:8">
      <c r="A59" s="1" t="s">
        <v>5</v>
      </c>
      <c r="B59" s="4">
        <v>384036</v>
      </c>
      <c r="C59" s="4">
        <v>423492</v>
      </c>
      <c r="D59" s="4">
        <v>414165</v>
      </c>
      <c r="E59" s="4">
        <f t="shared" ref="E59:E65" si="18">(B59*4+C59+D59)/6</f>
        <v>395633.5</v>
      </c>
      <c r="F59" s="1">
        <v>212.572</v>
      </c>
      <c r="G59" s="1">
        <v>3447.3754410000001</v>
      </c>
      <c r="H59" s="1"/>
    </row>
    <row r="60" spans="1:8">
      <c r="A60" s="1" t="s">
        <v>6</v>
      </c>
      <c r="B60" s="4">
        <v>385616</v>
      </c>
      <c r="C60" s="4">
        <v>425633</v>
      </c>
      <c r="D60" s="4">
        <v>415952</v>
      </c>
      <c r="E60" s="4">
        <f t="shared" si="18"/>
        <v>397341.5</v>
      </c>
      <c r="F60" s="1">
        <v>263.39400000000001</v>
      </c>
      <c r="G60" s="1">
        <v>1116.3420630000001</v>
      </c>
      <c r="H60" s="1"/>
    </row>
    <row r="61" spans="1:8">
      <c r="A61" s="1" t="s">
        <v>10</v>
      </c>
      <c r="B61" s="4">
        <v>385905</v>
      </c>
      <c r="C61" s="4">
        <v>427722</v>
      </c>
      <c r="D61" s="4">
        <v>422204</v>
      </c>
      <c r="E61" s="4">
        <f t="shared" si="18"/>
        <v>398924.33333333331</v>
      </c>
      <c r="F61" s="1">
        <v>233.78800000000001</v>
      </c>
      <c r="G61" s="1">
        <v>3634.9399669999998</v>
      </c>
      <c r="H61" s="1"/>
    </row>
    <row r="62" spans="1:8">
      <c r="A62" s="1" t="s">
        <v>11</v>
      </c>
      <c r="B62" s="4">
        <v>381450</v>
      </c>
      <c r="C62" s="4">
        <v>425201</v>
      </c>
      <c r="D62" s="4">
        <v>415457</v>
      </c>
      <c r="E62" s="4">
        <f t="shared" si="18"/>
        <v>394409.66666666669</v>
      </c>
      <c r="F62" s="1">
        <v>308.36399999999998</v>
      </c>
      <c r="G62" s="1">
        <v>1271.1412660000001</v>
      </c>
      <c r="H62" s="1"/>
    </row>
    <row r="63" spans="1:8">
      <c r="A63" s="1" t="s">
        <v>12</v>
      </c>
      <c r="B63" s="4">
        <v>381626</v>
      </c>
      <c r="C63" s="4">
        <v>423769</v>
      </c>
      <c r="D63" s="4">
        <v>417082</v>
      </c>
      <c r="E63" s="4">
        <f t="shared" si="18"/>
        <v>394559.16666666669</v>
      </c>
      <c r="F63" s="1">
        <v>278.62799999999999</v>
      </c>
      <c r="G63" s="1">
        <v>3866.4046159999998</v>
      </c>
      <c r="H63" s="1"/>
    </row>
    <row r="64" spans="1:8">
      <c r="A64" s="1" t="s">
        <v>13</v>
      </c>
      <c r="B64" s="4">
        <v>374786</v>
      </c>
      <c r="C64" s="4">
        <v>417247</v>
      </c>
      <c r="D64" s="4">
        <v>410015</v>
      </c>
      <c r="E64" s="4">
        <f t="shared" si="18"/>
        <v>387734.33333333331</v>
      </c>
      <c r="F64" s="1">
        <v>406.76</v>
      </c>
      <c r="G64" s="1">
        <v>1450.6271019999999</v>
      </c>
      <c r="H64" s="1"/>
    </row>
    <row r="65" spans="1:8">
      <c r="A65" s="1" t="s">
        <v>14</v>
      </c>
      <c r="B65" s="4">
        <v>377708</v>
      </c>
      <c r="C65" s="4">
        <v>424283</v>
      </c>
      <c r="D65" s="4">
        <v>415796</v>
      </c>
      <c r="E65" s="4">
        <f t="shared" si="18"/>
        <v>391818.5</v>
      </c>
      <c r="F65" s="1">
        <v>391.13799999999998</v>
      </c>
      <c r="G65" s="1">
        <v>1634.802079</v>
      </c>
      <c r="H65" s="1"/>
    </row>
    <row r="66" spans="1:8">
      <c r="A66" s="1" t="s">
        <v>7</v>
      </c>
      <c r="B66" s="4">
        <f>AVERAGE(B58:B65)</f>
        <v>382172.25</v>
      </c>
      <c r="C66" s="4">
        <f t="shared" ref="C66:G66" si="19">AVERAGE(C58:C65)</f>
        <v>423569.5</v>
      </c>
      <c r="D66" s="4">
        <f t="shared" si="19"/>
        <v>415572.625</v>
      </c>
      <c r="E66" s="4">
        <f t="shared" si="19"/>
        <v>394638.52083333337</v>
      </c>
      <c r="F66" s="5">
        <f t="shared" si="19"/>
        <v>298.38574999999997</v>
      </c>
      <c r="G66" s="5">
        <f t="shared" si="19"/>
        <v>2173.9807761249999</v>
      </c>
      <c r="H66" s="1" t="s">
        <v>145</v>
      </c>
    </row>
    <row r="68" spans="1:8">
      <c r="A68" s="1" t="s">
        <v>51</v>
      </c>
      <c r="B68" s="1"/>
      <c r="C68" s="1"/>
      <c r="D68" s="1"/>
      <c r="E68" s="1"/>
      <c r="F68" s="1"/>
      <c r="G68" s="1"/>
      <c r="H68" s="1"/>
    </row>
    <row r="69" spans="1:8">
      <c r="A69" s="1" t="s">
        <v>4</v>
      </c>
      <c r="B69" s="4">
        <v>371923</v>
      </c>
      <c r="C69" s="4">
        <v>408012</v>
      </c>
      <c r="D69" s="4">
        <v>402989</v>
      </c>
      <c r="E69" s="4">
        <f>(B69*4+C69+D69)/6</f>
        <v>383115.5</v>
      </c>
      <c r="F69" s="1">
        <v>179.79</v>
      </c>
      <c r="G69" s="1">
        <v>928.52272400000004</v>
      </c>
      <c r="H69" s="1"/>
    </row>
    <row r="70" spans="1:8">
      <c r="A70" s="1" t="s">
        <v>5</v>
      </c>
      <c r="B70" s="4">
        <v>369399</v>
      </c>
      <c r="C70" s="4">
        <v>412146</v>
      </c>
      <c r="D70" s="4">
        <v>404625</v>
      </c>
      <c r="E70" s="4">
        <f t="shared" ref="E70:E76" si="20">(B70*4+C70+D70)/6</f>
        <v>382394.5</v>
      </c>
      <c r="F70" s="1">
        <v>122.3</v>
      </c>
      <c r="G70" s="1">
        <v>3213.1423140000002</v>
      </c>
      <c r="H70" s="1"/>
    </row>
    <row r="71" spans="1:8">
      <c r="A71" s="1" t="s">
        <v>6</v>
      </c>
      <c r="B71" s="4">
        <v>370931</v>
      </c>
      <c r="C71" s="4">
        <v>414490</v>
      </c>
      <c r="D71" s="4">
        <v>404968</v>
      </c>
      <c r="E71" s="4">
        <f t="shared" si="20"/>
        <v>383863.66666666669</v>
      </c>
      <c r="F71" s="1">
        <v>154.208</v>
      </c>
      <c r="G71" s="1">
        <v>1061.182215</v>
      </c>
      <c r="H71" s="1"/>
    </row>
    <row r="72" spans="1:8">
      <c r="A72" s="1" t="s">
        <v>10</v>
      </c>
      <c r="B72" s="4">
        <v>369828</v>
      </c>
      <c r="C72" s="4">
        <v>417578</v>
      </c>
      <c r="D72" s="4">
        <v>412283</v>
      </c>
      <c r="E72" s="4">
        <f t="shared" si="20"/>
        <v>384862.16666666669</v>
      </c>
      <c r="F72" s="1">
        <v>141.01599999999999</v>
      </c>
      <c r="G72" s="1">
        <v>3390.313631</v>
      </c>
      <c r="H72" s="1"/>
    </row>
    <row r="73" spans="1:8">
      <c r="A73" s="1" t="s">
        <v>11</v>
      </c>
      <c r="B73" s="4">
        <v>365592</v>
      </c>
      <c r="C73" s="4">
        <v>414979</v>
      </c>
      <c r="D73" s="4">
        <v>403647</v>
      </c>
      <c r="E73" s="4">
        <f t="shared" si="20"/>
        <v>380165.66666666669</v>
      </c>
      <c r="F73" s="1">
        <v>183.012</v>
      </c>
      <c r="G73" s="1">
        <v>1206.944526</v>
      </c>
      <c r="H73" s="1"/>
    </row>
    <row r="74" spans="1:8">
      <c r="A74" s="1" t="s">
        <v>12</v>
      </c>
      <c r="B74" s="4">
        <v>366337</v>
      </c>
      <c r="C74" s="4">
        <v>414373</v>
      </c>
      <c r="D74" s="4">
        <v>407674</v>
      </c>
      <c r="E74" s="4">
        <f t="shared" si="20"/>
        <v>381232.5</v>
      </c>
      <c r="F74" s="1">
        <v>166.50200000000001</v>
      </c>
      <c r="G74" s="1">
        <v>3609.7298470000001</v>
      </c>
      <c r="H74" s="1"/>
    </row>
    <row r="75" spans="1:8">
      <c r="A75" s="1" t="s">
        <v>13</v>
      </c>
      <c r="B75" s="4">
        <v>359845</v>
      </c>
      <c r="C75" s="4">
        <v>405929</v>
      </c>
      <c r="D75" s="4">
        <v>399411</v>
      </c>
      <c r="E75" s="4">
        <f t="shared" si="20"/>
        <v>374120</v>
      </c>
      <c r="F75" s="1">
        <v>239.63200000000001</v>
      </c>
      <c r="G75" s="1">
        <v>1377.9142409999999</v>
      </c>
      <c r="H75" s="1"/>
    </row>
    <row r="76" spans="1:8">
      <c r="A76" s="1" t="s">
        <v>14</v>
      </c>
      <c r="B76" s="4">
        <v>360544</v>
      </c>
      <c r="C76" s="4">
        <v>415155</v>
      </c>
      <c r="D76" s="4">
        <v>406706</v>
      </c>
      <c r="E76" s="4">
        <f t="shared" si="20"/>
        <v>377339.5</v>
      </c>
      <c r="F76" s="1">
        <v>230.892</v>
      </c>
      <c r="G76" s="1">
        <v>1550.726625</v>
      </c>
      <c r="H76" s="1"/>
    </row>
    <row r="77" spans="1:8">
      <c r="A77" s="1" t="s">
        <v>7</v>
      </c>
      <c r="B77" s="4">
        <f>AVERAGE(B69:B76)</f>
        <v>366799.875</v>
      </c>
      <c r="C77" s="4">
        <f t="shared" ref="C77:G77" si="21">AVERAGE(C69:C76)</f>
        <v>412832.75</v>
      </c>
      <c r="D77" s="4">
        <f t="shared" si="21"/>
        <v>405287.875</v>
      </c>
      <c r="E77" s="4">
        <f t="shared" si="21"/>
        <v>380886.6875</v>
      </c>
      <c r="F77" s="5">
        <f t="shared" si="21"/>
        <v>177.16900000000001</v>
      </c>
      <c r="G77" s="5">
        <f t="shared" si="21"/>
        <v>2042.309515375</v>
      </c>
      <c r="H77" s="1" t="s">
        <v>146</v>
      </c>
    </row>
    <row r="79" spans="1:8">
      <c r="A79" s="1" t="s">
        <v>52</v>
      </c>
      <c r="B79" s="1"/>
      <c r="C79" s="1"/>
      <c r="D79" s="1"/>
      <c r="E79" s="1"/>
      <c r="F79" s="1"/>
      <c r="G79" s="1"/>
      <c r="H79" s="1"/>
    </row>
    <row r="80" spans="1:8">
      <c r="A80" s="1" t="s">
        <v>4</v>
      </c>
      <c r="B80" s="4">
        <v>355239</v>
      </c>
      <c r="C80" s="4">
        <v>393521</v>
      </c>
      <c r="D80" s="4">
        <v>391210</v>
      </c>
      <c r="E80" s="4">
        <f>(B80*4+C80+D80)/6</f>
        <v>367614.5</v>
      </c>
      <c r="F80" s="1">
        <v>117.27200000000001</v>
      </c>
      <c r="G80" s="1">
        <v>894.09040500000003</v>
      </c>
      <c r="H80" s="1"/>
    </row>
    <row r="81" spans="1:8">
      <c r="A81" s="1" t="s">
        <v>5</v>
      </c>
      <c r="B81" s="4">
        <v>351937</v>
      </c>
      <c r="C81" s="4">
        <v>399686</v>
      </c>
      <c r="D81" s="4">
        <v>392158</v>
      </c>
      <c r="E81" s="4">
        <f t="shared" ref="E81:E87" si="22">(B81*4+C81+D81)/6</f>
        <v>366598.66666666669</v>
      </c>
      <c r="F81" s="1">
        <v>76.768000000000001</v>
      </c>
      <c r="G81" s="1">
        <v>2988.4576050000001</v>
      </c>
      <c r="H81" s="1"/>
    </row>
    <row r="82" spans="1:8">
      <c r="A82" s="1" t="s">
        <v>6</v>
      </c>
      <c r="B82" s="4">
        <v>352385</v>
      </c>
      <c r="C82" s="4">
        <v>402090</v>
      </c>
      <c r="D82" s="4">
        <v>392164</v>
      </c>
      <c r="E82" s="4">
        <f t="shared" si="22"/>
        <v>367299</v>
      </c>
      <c r="F82" s="1">
        <v>96.067999999999998</v>
      </c>
      <c r="G82" s="1">
        <v>1017.769668</v>
      </c>
      <c r="H82" s="1"/>
    </row>
    <row r="83" spans="1:8">
      <c r="A83" s="1" t="s">
        <v>10</v>
      </c>
      <c r="B83" s="4">
        <v>350609</v>
      </c>
      <c r="C83" s="4">
        <v>405058</v>
      </c>
      <c r="D83" s="4">
        <v>400079</v>
      </c>
      <c r="E83" s="4">
        <f t="shared" si="22"/>
        <v>367928.83333333331</v>
      </c>
      <c r="F83" s="1">
        <v>90.638000000000005</v>
      </c>
      <c r="G83" s="1">
        <v>3136.6040280000002</v>
      </c>
      <c r="H83" s="1"/>
    </row>
    <row r="84" spans="1:8">
      <c r="A84" s="1" t="s">
        <v>11</v>
      </c>
      <c r="B84" s="4">
        <v>347074</v>
      </c>
      <c r="C84" s="4">
        <v>402121</v>
      </c>
      <c r="D84" s="4">
        <v>391348</v>
      </c>
      <c r="E84" s="4">
        <f t="shared" si="22"/>
        <v>363627.5</v>
      </c>
      <c r="F84" s="1">
        <v>118.496</v>
      </c>
      <c r="G84" s="1">
        <v>1164.640414</v>
      </c>
      <c r="H84" s="1"/>
    </row>
    <row r="85" spans="1:8">
      <c r="A85" s="1" t="s">
        <v>12</v>
      </c>
      <c r="B85" s="4">
        <v>348331</v>
      </c>
      <c r="C85" s="4">
        <v>402385</v>
      </c>
      <c r="D85" s="4">
        <v>396975</v>
      </c>
      <c r="E85" s="4">
        <f t="shared" si="22"/>
        <v>365447.33333333331</v>
      </c>
      <c r="F85" s="1">
        <v>108.622</v>
      </c>
      <c r="G85" s="1">
        <v>3321.483827</v>
      </c>
      <c r="H85" s="1"/>
    </row>
    <row r="86" spans="1:8">
      <c r="A86" s="1" t="s">
        <v>13</v>
      </c>
      <c r="B86" s="4">
        <v>341496</v>
      </c>
      <c r="C86" s="4">
        <v>393876</v>
      </c>
      <c r="D86" s="4">
        <v>385772</v>
      </c>
      <c r="E86" s="4">
        <f t="shared" si="22"/>
        <v>357605.33333333331</v>
      </c>
      <c r="F86" s="1">
        <v>155.64400000000001</v>
      </c>
      <c r="G86" s="1">
        <v>1309.382693</v>
      </c>
      <c r="H86" s="1"/>
    </row>
    <row r="87" spans="1:8">
      <c r="A87" s="1" t="s">
        <v>14</v>
      </c>
      <c r="B87" s="4">
        <v>341014</v>
      </c>
      <c r="C87" s="4">
        <v>404349</v>
      </c>
      <c r="D87" s="4">
        <v>396317</v>
      </c>
      <c r="E87" s="4">
        <f t="shared" si="22"/>
        <v>360787</v>
      </c>
      <c r="F87" s="1">
        <v>143.92400000000001</v>
      </c>
      <c r="G87" s="1">
        <v>1467.669772</v>
      </c>
      <c r="H87" s="1"/>
    </row>
    <row r="88" spans="1:8">
      <c r="A88" s="1" t="s">
        <v>7</v>
      </c>
      <c r="B88" s="4">
        <f>AVERAGE(B80:B87)</f>
        <v>348510.625</v>
      </c>
      <c r="C88" s="4">
        <f t="shared" ref="C88:G88" si="23">AVERAGE(C80:C87)</f>
        <v>400385.75</v>
      </c>
      <c r="D88" s="4">
        <f t="shared" si="23"/>
        <v>393252.875</v>
      </c>
      <c r="E88" s="4">
        <f t="shared" si="23"/>
        <v>364613.52083333337</v>
      </c>
      <c r="F88" s="5">
        <f t="shared" si="23"/>
        <v>113.42899999999999</v>
      </c>
      <c r="G88" s="5">
        <f t="shared" si="23"/>
        <v>1912.5123014999999</v>
      </c>
      <c r="H88" s="1" t="s">
        <v>147</v>
      </c>
    </row>
    <row r="90" spans="1:8">
      <c r="A90" s="1" t="s">
        <v>62</v>
      </c>
      <c r="B90" s="1"/>
      <c r="C90" s="1"/>
      <c r="D90" s="1"/>
      <c r="E90" s="1"/>
      <c r="F90" s="1"/>
      <c r="G90" s="1"/>
      <c r="H90" s="1"/>
    </row>
    <row r="91" spans="1:8">
      <c r="A91" s="1" t="s">
        <v>4</v>
      </c>
      <c r="B91" s="4">
        <v>378982</v>
      </c>
      <c r="C91" s="4">
        <v>418640</v>
      </c>
      <c r="D91" s="4">
        <v>413391</v>
      </c>
      <c r="E91" s="4">
        <f>(B91*4+C91+D91)/6</f>
        <v>391326.5</v>
      </c>
      <c r="F91" s="1">
        <v>742.56799999999998</v>
      </c>
      <c r="G91" s="1">
        <v>838.60817399999996</v>
      </c>
      <c r="H91" s="1"/>
    </row>
    <row r="92" spans="1:8">
      <c r="A92" s="1" t="s">
        <v>5</v>
      </c>
      <c r="B92" s="4">
        <v>377749</v>
      </c>
      <c r="C92" s="4">
        <v>418923</v>
      </c>
      <c r="D92" s="4">
        <v>412277</v>
      </c>
      <c r="E92" s="4">
        <f t="shared" ref="E92:E98" si="24">(B92*4+C92+D92)/6</f>
        <v>390366</v>
      </c>
      <c r="F92" s="1">
        <v>650.51800000000003</v>
      </c>
      <c r="G92" s="1">
        <v>3108.808743</v>
      </c>
      <c r="H92" s="1"/>
    </row>
    <row r="93" spans="1:8">
      <c r="A93" s="1" t="s">
        <v>6</v>
      </c>
      <c r="B93" s="4">
        <v>381681</v>
      </c>
      <c r="C93" s="4">
        <v>424024</v>
      </c>
      <c r="D93" s="4">
        <v>416024</v>
      </c>
      <c r="E93" s="4">
        <f t="shared" si="24"/>
        <v>394462</v>
      </c>
      <c r="F93" s="1">
        <v>645.81600000000003</v>
      </c>
      <c r="G93" s="1">
        <v>923.49272699999995</v>
      </c>
      <c r="H93" s="1"/>
    </row>
    <row r="94" spans="1:8">
      <c r="A94" s="1" t="s">
        <v>10</v>
      </c>
      <c r="B94" s="4">
        <v>381530</v>
      </c>
      <c r="C94" s="4">
        <v>421177</v>
      </c>
      <c r="D94" s="4">
        <v>419966</v>
      </c>
      <c r="E94" s="4">
        <f t="shared" si="24"/>
        <v>394543.83333333331</v>
      </c>
      <c r="F94" s="1">
        <v>576.73400000000004</v>
      </c>
      <c r="G94" s="1">
        <v>2948.4616569999998</v>
      </c>
      <c r="H94" s="1"/>
    </row>
    <row r="95" spans="1:8">
      <c r="A95" s="1" t="s">
        <v>11</v>
      </c>
      <c r="B95" s="4">
        <v>381217</v>
      </c>
      <c r="C95" s="4">
        <v>419927</v>
      </c>
      <c r="D95" s="4">
        <v>416004</v>
      </c>
      <c r="E95" s="4">
        <f t="shared" si="24"/>
        <v>393466.5</v>
      </c>
      <c r="F95" s="1">
        <v>684.44600000000003</v>
      </c>
      <c r="G95" s="1">
        <v>927.42265299999997</v>
      </c>
      <c r="H95" s="1"/>
    </row>
    <row r="96" spans="1:8">
      <c r="A96" s="1" t="s">
        <v>12</v>
      </c>
      <c r="B96" s="4">
        <v>390350</v>
      </c>
      <c r="C96" s="4">
        <v>430804</v>
      </c>
      <c r="D96" s="4">
        <v>426347</v>
      </c>
      <c r="E96" s="4">
        <f t="shared" si="24"/>
        <v>403091.83333333331</v>
      </c>
      <c r="F96" s="1">
        <v>491.59399999999999</v>
      </c>
      <c r="G96" s="1">
        <v>3316.6241209999998</v>
      </c>
      <c r="H96" s="1"/>
    </row>
    <row r="97" spans="1:8">
      <c r="A97" s="1" t="s">
        <v>13</v>
      </c>
      <c r="B97" s="4">
        <v>374122</v>
      </c>
      <c r="C97" s="4">
        <v>416820</v>
      </c>
      <c r="D97" s="4">
        <v>409268</v>
      </c>
      <c r="E97" s="4">
        <f t="shared" si="24"/>
        <v>387096</v>
      </c>
      <c r="F97" s="1">
        <v>818.76800000000003</v>
      </c>
      <c r="G97" s="1">
        <v>960.92434300000002</v>
      </c>
      <c r="H97" s="1"/>
    </row>
    <row r="98" spans="1:8">
      <c r="A98" s="1" t="s">
        <v>14</v>
      </c>
      <c r="B98" s="4">
        <v>381539</v>
      </c>
      <c r="C98" s="4">
        <v>419154</v>
      </c>
      <c r="D98" s="4">
        <v>414384</v>
      </c>
      <c r="E98" s="4">
        <f t="shared" si="24"/>
        <v>393282.33333333331</v>
      </c>
      <c r="F98" s="1">
        <v>712.63400000000001</v>
      </c>
      <c r="G98" s="1">
        <v>1066.4167520000001</v>
      </c>
      <c r="H98" s="1"/>
    </row>
    <row r="99" spans="1:8">
      <c r="A99" s="1" t="s">
        <v>7</v>
      </c>
      <c r="B99" s="4">
        <f>AVERAGE(B91:B98)</f>
        <v>380896.25</v>
      </c>
      <c r="C99" s="4">
        <f t="shared" ref="C99:G99" si="25">AVERAGE(C91:C98)</f>
        <v>421183.625</v>
      </c>
      <c r="D99" s="4">
        <f t="shared" si="25"/>
        <v>415957.625</v>
      </c>
      <c r="E99" s="4">
        <f t="shared" si="25"/>
        <v>393454.375</v>
      </c>
      <c r="F99" s="5">
        <f t="shared" si="25"/>
        <v>665.38474999999994</v>
      </c>
      <c r="G99" s="5">
        <f t="shared" si="25"/>
        <v>1761.3448962500001</v>
      </c>
      <c r="H99" s="1" t="s">
        <v>148</v>
      </c>
    </row>
    <row r="101" spans="1:8">
      <c r="A101" s="1" t="s">
        <v>63</v>
      </c>
      <c r="B101" s="1"/>
      <c r="C101" s="1"/>
      <c r="D101" s="1"/>
      <c r="E101" s="1"/>
      <c r="F101" s="1"/>
      <c r="G101" s="1"/>
      <c r="H101" s="1"/>
    </row>
    <row r="102" spans="1:8">
      <c r="A102" s="1" t="s">
        <v>4</v>
      </c>
      <c r="B102" s="4">
        <v>365253</v>
      </c>
      <c r="C102" s="4">
        <v>407707</v>
      </c>
      <c r="D102" s="4">
        <v>401038</v>
      </c>
      <c r="E102" s="4">
        <f>(B102*4+C102+D102)/6</f>
        <v>378292.83333333331</v>
      </c>
      <c r="F102" s="1">
        <v>364.25</v>
      </c>
      <c r="G102" s="1">
        <v>812.54065800000001</v>
      </c>
      <c r="H102" s="1"/>
    </row>
    <row r="103" spans="1:8">
      <c r="A103" s="1" t="s">
        <v>5</v>
      </c>
      <c r="B103" s="4">
        <v>364430</v>
      </c>
      <c r="C103" s="4">
        <v>409625</v>
      </c>
      <c r="D103" s="4">
        <v>400674</v>
      </c>
      <c r="E103" s="4">
        <f t="shared" ref="E103:E109" si="26">(B103*4+C103+D103)/6</f>
        <v>378003.16666666669</v>
      </c>
      <c r="F103" s="1">
        <v>266.048</v>
      </c>
      <c r="G103" s="1">
        <v>2727.6649539999999</v>
      </c>
      <c r="H103" s="1"/>
    </row>
    <row r="104" spans="1:8">
      <c r="A104" s="1" t="s">
        <v>6</v>
      </c>
      <c r="B104" s="4">
        <v>368204</v>
      </c>
      <c r="C104" s="4">
        <v>415114</v>
      </c>
      <c r="D104" s="4">
        <v>403364</v>
      </c>
      <c r="E104" s="4">
        <f t="shared" si="26"/>
        <v>381882.33333333331</v>
      </c>
      <c r="F104" s="1">
        <v>281.2</v>
      </c>
      <c r="G104" s="1">
        <v>878.49982399999999</v>
      </c>
      <c r="H104" s="1"/>
    </row>
    <row r="105" spans="1:8">
      <c r="A105" s="1" t="s">
        <v>10</v>
      </c>
      <c r="B105" s="4">
        <v>367792</v>
      </c>
      <c r="C105" s="4">
        <v>411365</v>
      </c>
      <c r="D105" s="4">
        <v>409600</v>
      </c>
      <c r="E105" s="4">
        <f t="shared" si="26"/>
        <v>382022.16666666669</v>
      </c>
      <c r="F105" s="1">
        <v>233.7</v>
      </c>
      <c r="G105" s="1">
        <v>2598.6251349999998</v>
      </c>
      <c r="H105" s="1"/>
    </row>
    <row r="106" spans="1:8">
      <c r="A106" s="1" t="s">
        <v>11</v>
      </c>
      <c r="B106" s="4">
        <v>366666</v>
      </c>
      <c r="C106" s="4">
        <v>409076</v>
      </c>
      <c r="D106" s="4">
        <v>402417</v>
      </c>
      <c r="E106" s="4">
        <f t="shared" si="26"/>
        <v>379692.83333333331</v>
      </c>
      <c r="F106" s="1">
        <v>313.31400000000002</v>
      </c>
      <c r="G106" s="1">
        <v>887.88963799999999</v>
      </c>
      <c r="H106" s="1"/>
    </row>
    <row r="107" spans="1:8">
      <c r="A107" s="1" t="s">
        <v>12</v>
      </c>
      <c r="B107" s="4">
        <v>376857</v>
      </c>
      <c r="C107" s="4">
        <v>421717</v>
      </c>
      <c r="D107" s="4">
        <v>416006</v>
      </c>
      <c r="E107" s="4">
        <f t="shared" si="26"/>
        <v>390858.5</v>
      </c>
      <c r="F107" s="1">
        <v>225.4</v>
      </c>
      <c r="G107" s="1">
        <v>2949.7841100000001</v>
      </c>
      <c r="H107" s="1"/>
    </row>
    <row r="108" spans="1:8">
      <c r="A108" s="1" t="s">
        <v>13</v>
      </c>
      <c r="B108" s="4">
        <v>360991</v>
      </c>
      <c r="C108" s="4">
        <v>408365</v>
      </c>
      <c r="D108" s="4">
        <v>398449</v>
      </c>
      <c r="E108" s="4">
        <f t="shared" si="26"/>
        <v>375129.66666666669</v>
      </c>
      <c r="F108" s="1">
        <v>347.09</v>
      </c>
      <c r="G108" s="1">
        <v>909.37675400000001</v>
      </c>
      <c r="H108" s="1"/>
    </row>
    <row r="109" spans="1:8">
      <c r="A109" s="1" t="s">
        <v>14</v>
      </c>
      <c r="B109" s="4">
        <v>367302</v>
      </c>
      <c r="C109" s="4">
        <v>408437</v>
      </c>
      <c r="D109" s="4">
        <v>402601</v>
      </c>
      <c r="E109" s="4">
        <f t="shared" si="26"/>
        <v>380041</v>
      </c>
      <c r="F109" s="1">
        <v>345.964</v>
      </c>
      <c r="G109" s="1">
        <v>1018.150324</v>
      </c>
      <c r="H109" s="1"/>
    </row>
    <row r="110" spans="1:8">
      <c r="A110" s="1" t="s">
        <v>7</v>
      </c>
      <c r="B110" s="4">
        <f>AVERAGE(B102:B109)</f>
        <v>367186.875</v>
      </c>
      <c r="C110" s="4">
        <f t="shared" ref="C110:G110" si="27">AVERAGE(C102:C109)</f>
        <v>411425.75</v>
      </c>
      <c r="D110" s="4">
        <f t="shared" si="27"/>
        <v>404268.625</v>
      </c>
      <c r="E110" s="4">
        <f t="shared" si="27"/>
        <v>380740.31249999994</v>
      </c>
      <c r="F110" s="5">
        <f t="shared" si="27"/>
        <v>297.12075000000004</v>
      </c>
      <c r="G110" s="5">
        <f t="shared" si="27"/>
        <v>1597.8164246250001</v>
      </c>
      <c r="H110" s="1" t="s">
        <v>152</v>
      </c>
    </row>
    <row r="112" spans="1:8">
      <c r="A112" s="1" t="s">
        <v>64</v>
      </c>
      <c r="B112" s="1"/>
      <c r="C112" s="1"/>
      <c r="D112" s="1"/>
      <c r="E112" s="1"/>
      <c r="F112" s="1"/>
      <c r="G112" s="1"/>
      <c r="H112" s="1"/>
    </row>
    <row r="113" spans="1:8">
      <c r="A113" s="1" t="s">
        <v>4</v>
      </c>
      <c r="B113" s="4">
        <v>350797</v>
      </c>
      <c r="C113" s="4">
        <v>399983</v>
      </c>
      <c r="D113" s="4">
        <v>392478</v>
      </c>
      <c r="E113" s="4">
        <f>(B113*4+C113+D113)/6</f>
        <v>365941.5</v>
      </c>
      <c r="F113" s="1">
        <v>196.72</v>
      </c>
      <c r="G113" s="1">
        <v>796.48484699999995</v>
      </c>
      <c r="H113" s="1"/>
    </row>
    <row r="114" spans="1:8">
      <c r="A114" s="1" t="s">
        <v>5</v>
      </c>
      <c r="B114" s="4">
        <v>348657</v>
      </c>
      <c r="C114" s="4">
        <v>402776</v>
      </c>
      <c r="D114" s="4">
        <v>391640</v>
      </c>
      <c r="E114" s="4">
        <f t="shared" ref="E114:E120" si="28">(B114*4+C114+D114)/6</f>
        <v>364840.66666666669</v>
      </c>
      <c r="F114" s="1">
        <v>120.392</v>
      </c>
      <c r="G114" s="1">
        <v>2390.0056380000001</v>
      </c>
      <c r="H114" s="1"/>
    </row>
    <row r="115" spans="1:8">
      <c r="A115" s="1" t="s">
        <v>6</v>
      </c>
      <c r="B115" s="4">
        <v>352608</v>
      </c>
      <c r="C115" s="4">
        <v>408020</v>
      </c>
      <c r="D115" s="4">
        <v>393132</v>
      </c>
      <c r="E115" s="4">
        <f t="shared" si="28"/>
        <v>368597.33333333331</v>
      </c>
      <c r="F115" s="1">
        <v>136.476</v>
      </c>
      <c r="G115" s="1">
        <v>850.54490099999998</v>
      </c>
      <c r="H115" s="1"/>
    </row>
    <row r="116" spans="1:8">
      <c r="A116" s="1" t="s">
        <v>10</v>
      </c>
      <c r="B116" s="4">
        <v>352407</v>
      </c>
      <c r="C116" s="4">
        <v>404686</v>
      </c>
      <c r="D116" s="4">
        <v>402540</v>
      </c>
      <c r="E116" s="4">
        <f t="shared" si="28"/>
        <v>369475.66666666669</v>
      </c>
      <c r="F116" s="1">
        <v>108.38</v>
      </c>
      <c r="G116" s="1">
        <v>2296.7168700000002</v>
      </c>
      <c r="H116" s="1"/>
    </row>
    <row r="117" spans="1:8">
      <c r="A117" s="1" t="s">
        <v>11</v>
      </c>
      <c r="B117" s="4">
        <v>350091</v>
      </c>
      <c r="C117" s="4">
        <v>401516</v>
      </c>
      <c r="D117" s="4">
        <v>391386</v>
      </c>
      <c r="E117" s="4">
        <f t="shared" si="28"/>
        <v>365544.33333333331</v>
      </c>
      <c r="F117" s="1">
        <v>153.13999999999999</v>
      </c>
      <c r="G117" s="1">
        <v>858.05004899999994</v>
      </c>
      <c r="H117" s="1"/>
    </row>
    <row r="118" spans="1:8">
      <c r="A118" s="1" t="s">
        <v>12</v>
      </c>
      <c r="B118" s="4">
        <v>360178</v>
      </c>
      <c r="C118" s="4">
        <v>414520</v>
      </c>
      <c r="D118" s="4">
        <v>408205</v>
      </c>
      <c r="E118" s="4">
        <f t="shared" si="28"/>
        <v>377239.5</v>
      </c>
      <c r="F118" s="1">
        <v>114.63200000000001</v>
      </c>
      <c r="G118" s="1">
        <v>2612.8039429999999</v>
      </c>
      <c r="H118" s="1"/>
    </row>
    <row r="119" spans="1:8">
      <c r="A119" s="1" t="s">
        <v>13</v>
      </c>
      <c r="B119" s="4">
        <v>346726</v>
      </c>
      <c r="C119" s="4">
        <v>402028</v>
      </c>
      <c r="D119" s="4">
        <v>390138</v>
      </c>
      <c r="E119" s="4">
        <f t="shared" si="28"/>
        <v>363178.33333333331</v>
      </c>
      <c r="F119" s="1">
        <v>170.31800000000001</v>
      </c>
      <c r="G119" s="1">
        <v>875.13145999999995</v>
      </c>
      <c r="H119" s="1"/>
    </row>
    <row r="120" spans="1:8">
      <c r="A120" s="1" t="s">
        <v>14</v>
      </c>
      <c r="B120" s="4">
        <v>350278</v>
      </c>
      <c r="C120" s="4">
        <v>401639</v>
      </c>
      <c r="D120" s="4">
        <v>395333</v>
      </c>
      <c r="E120" s="4">
        <f t="shared" si="28"/>
        <v>366347.33333333331</v>
      </c>
      <c r="F120" s="1">
        <v>177.74799999999999</v>
      </c>
      <c r="G120" s="1">
        <v>979.08314099999996</v>
      </c>
      <c r="H120" s="1"/>
    </row>
    <row r="121" spans="1:8">
      <c r="A121" s="1" t="s">
        <v>7</v>
      </c>
      <c r="B121" s="4">
        <f>AVERAGE(B113:B120)</f>
        <v>351467.75</v>
      </c>
      <c r="C121" s="4">
        <f t="shared" ref="C121:G121" si="29">AVERAGE(C113:C120)</f>
        <v>404396</v>
      </c>
      <c r="D121" s="4">
        <f t="shared" si="29"/>
        <v>395606.5</v>
      </c>
      <c r="E121" s="4">
        <f t="shared" si="29"/>
        <v>367645.58333333337</v>
      </c>
      <c r="F121" s="5">
        <f t="shared" si="29"/>
        <v>147.22575000000001</v>
      </c>
      <c r="G121" s="5">
        <f t="shared" si="29"/>
        <v>1457.352606125</v>
      </c>
      <c r="H121" s="1" t="s">
        <v>149</v>
      </c>
    </row>
    <row r="123" spans="1:8">
      <c r="A123" s="1" t="s">
        <v>65</v>
      </c>
      <c r="B123" s="1"/>
      <c r="C123" s="1"/>
      <c r="D123" s="1"/>
      <c r="E123" s="1"/>
      <c r="F123" s="1"/>
      <c r="G123" s="1"/>
      <c r="H123" s="1"/>
    </row>
    <row r="124" spans="1:8">
      <c r="A124" s="1" t="s">
        <v>4</v>
      </c>
      <c r="B124" s="4">
        <v>336044</v>
      </c>
      <c r="C124" s="4">
        <v>391622</v>
      </c>
      <c r="D124" s="4">
        <v>383100</v>
      </c>
      <c r="E124" s="4">
        <f>(B124*4+C124+D124)/6</f>
        <v>353149.66666666669</v>
      </c>
      <c r="F124" s="1">
        <v>115.084</v>
      </c>
      <c r="G124" s="1">
        <v>778.93539599999997</v>
      </c>
      <c r="H124" s="1"/>
    </row>
    <row r="125" spans="1:8">
      <c r="A125" s="1" t="s">
        <v>5</v>
      </c>
      <c r="B125" s="4">
        <v>330957</v>
      </c>
      <c r="C125" s="4">
        <v>395139</v>
      </c>
      <c r="D125" s="4">
        <v>381934</v>
      </c>
      <c r="E125" s="4">
        <f t="shared" ref="E125:E131" si="30">(B125*4+C125+D125)/6</f>
        <v>350150.16666666669</v>
      </c>
      <c r="F125" s="1">
        <v>59.216000000000001</v>
      </c>
      <c r="G125" s="1">
        <v>2103.033402</v>
      </c>
      <c r="H125" s="1"/>
    </row>
    <row r="126" spans="1:8">
      <c r="A126" s="1" t="s">
        <v>6</v>
      </c>
      <c r="B126" s="4">
        <v>335416</v>
      </c>
      <c r="C126" s="4">
        <v>399590</v>
      </c>
      <c r="D126" s="4">
        <v>382491</v>
      </c>
      <c r="E126" s="4">
        <f t="shared" si="30"/>
        <v>353957.5</v>
      </c>
      <c r="F126" s="1">
        <v>70.162000000000006</v>
      </c>
      <c r="G126" s="1">
        <v>822.63310899999999</v>
      </c>
      <c r="H126" s="1"/>
    </row>
    <row r="127" spans="1:8">
      <c r="A127" s="1" t="s">
        <v>10</v>
      </c>
      <c r="B127" s="4">
        <v>335256</v>
      </c>
      <c r="C127" s="4">
        <v>397625</v>
      </c>
      <c r="D127" s="4">
        <v>394060</v>
      </c>
      <c r="E127" s="4">
        <f t="shared" si="30"/>
        <v>355451.5</v>
      </c>
      <c r="F127" s="1">
        <v>54.128</v>
      </c>
      <c r="G127" s="1">
        <v>2043.7121460000001</v>
      </c>
      <c r="H127" s="1"/>
    </row>
    <row r="128" spans="1:8">
      <c r="A128" s="1" t="s">
        <v>11</v>
      </c>
      <c r="B128" s="4">
        <v>332476</v>
      </c>
      <c r="C128" s="4">
        <v>393775</v>
      </c>
      <c r="D128" s="4">
        <v>378548</v>
      </c>
      <c r="E128" s="4">
        <f t="shared" si="30"/>
        <v>350371.16666666669</v>
      </c>
      <c r="F128" s="1">
        <v>78.798000000000002</v>
      </c>
      <c r="G128" s="1">
        <v>828.14115100000004</v>
      </c>
      <c r="H128" s="1"/>
    </row>
    <row r="129" spans="1:8">
      <c r="A129" s="1" t="s">
        <v>12</v>
      </c>
      <c r="B129" s="4">
        <v>340622</v>
      </c>
      <c r="C129" s="4">
        <v>406948</v>
      </c>
      <c r="D129" s="4">
        <v>397945</v>
      </c>
      <c r="E129" s="4">
        <f t="shared" si="30"/>
        <v>361230.16666666669</v>
      </c>
      <c r="F129" s="1">
        <v>62.384</v>
      </c>
      <c r="G129" s="1">
        <v>2293.5908770000001</v>
      </c>
      <c r="H129" s="1"/>
    </row>
    <row r="130" spans="1:8">
      <c r="A130" s="1" t="s">
        <v>13</v>
      </c>
      <c r="B130" s="4">
        <v>330133</v>
      </c>
      <c r="C130" s="4">
        <v>394682</v>
      </c>
      <c r="D130" s="4">
        <v>379763</v>
      </c>
      <c r="E130" s="4">
        <f t="shared" si="30"/>
        <v>349162.83333333331</v>
      </c>
      <c r="F130" s="1">
        <v>89.471999999999994</v>
      </c>
      <c r="G130" s="1">
        <v>843.66364799999997</v>
      </c>
      <c r="H130" s="1"/>
    </row>
    <row r="131" spans="1:8">
      <c r="A131" s="1" t="s">
        <v>14</v>
      </c>
      <c r="B131" s="4">
        <v>331511</v>
      </c>
      <c r="C131" s="4">
        <v>394310</v>
      </c>
      <c r="D131" s="4">
        <v>386849</v>
      </c>
      <c r="E131" s="4">
        <f t="shared" si="30"/>
        <v>351200.5</v>
      </c>
      <c r="F131" s="1">
        <v>92.653999999999996</v>
      </c>
      <c r="G131" s="1">
        <v>936.73638200000005</v>
      </c>
      <c r="H131" s="1"/>
    </row>
    <row r="132" spans="1:8">
      <c r="A132" s="1" t="s">
        <v>7</v>
      </c>
      <c r="B132" s="4">
        <f>AVERAGE(B124:B131)</f>
        <v>334051.875</v>
      </c>
      <c r="C132" s="4">
        <f t="shared" ref="C132:G132" si="31">AVERAGE(C124:C131)</f>
        <v>396711.375</v>
      </c>
      <c r="D132" s="4">
        <f t="shared" si="31"/>
        <v>385586.25</v>
      </c>
      <c r="E132" s="4">
        <f t="shared" si="31"/>
        <v>353084.18750000006</v>
      </c>
      <c r="F132" s="5">
        <f t="shared" si="31"/>
        <v>77.737250000000003</v>
      </c>
      <c r="G132" s="5">
        <f t="shared" si="31"/>
        <v>1331.3057638750001</v>
      </c>
      <c r="H132" s="1" t="s">
        <v>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33"/>
  <sheetViews>
    <sheetView workbookViewId="0">
      <selection activeCell="G29" sqref="G29"/>
    </sheetView>
  </sheetViews>
  <sheetFormatPr defaultRowHeight="13.5"/>
  <cols>
    <col min="1" max="5" width="9" style="1"/>
    <col min="6" max="7" width="9.5" style="11" bestFit="1" customWidth="1"/>
    <col min="8" max="8" width="9" style="11"/>
    <col min="9" max="9" width="10.5" style="1" bestFit="1" customWidth="1"/>
    <col min="10" max="10" width="9" style="1"/>
    <col min="11" max="11" width="9.5" style="1" bestFit="1" customWidth="1"/>
    <col min="12" max="12" width="9" style="1"/>
    <col min="13" max="13" width="9.5" style="1" bestFit="1" customWidth="1"/>
    <col min="14" max="14" width="9.5" style="1" customWidth="1"/>
    <col min="15" max="15" width="9" style="1"/>
    <col min="16" max="16" width="9.5" style="1" bestFit="1" customWidth="1"/>
  </cols>
  <sheetData>
    <row r="1" spans="1:17" ht="14.25">
      <c r="B1" s="2" t="s">
        <v>0</v>
      </c>
      <c r="C1" s="2" t="s">
        <v>1</v>
      </c>
      <c r="D1" s="2" t="s">
        <v>2</v>
      </c>
      <c r="E1" s="2" t="s">
        <v>17</v>
      </c>
      <c r="F1" s="12" t="s">
        <v>3</v>
      </c>
      <c r="G1" s="12" t="s">
        <v>38</v>
      </c>
      <c r="H1" s="17" t="s">
        <v>8</v>
      </c>
      <c r="K1" s="2" t="s">
        <v>17</v>
      </c>
      <c r="L1" s="2" t="s">
        <v>3</v>
      </c>
      <c r="M1" s="2" t="s">
        <v>38</v>
      </c>
      <c r="N1" s="2"/>
      <c r="O1" s="3" t="s">
        <v>8</v>
      </c>
    </row>
    <row r="2" spans="1:17">
      <c r="A2" s="1" t="s">
        <v>37</v>
      </c>
    </row>
    <row r="3" spans="1:17">
      <c r="A3" s="1" t="s">
        <v>4</v>
      </c>
      <c r="B3" s="4">
        <v>385042</v>
      </c>
      <c r="C3" s="4">
        <v>414826</v>
      </c>
      <c r="D3" s="4">
        <v>413491</v>
      </c>
      <c r="E3" s="4">
        <f>(B3*4+C3+D3)/6</f>
        <v>394747.5</v>
      </c>
      <c r="F3" s="11">
        <v>1276.2760000000001</v>
      </c>
      <c r="G3" s="11">
        <v>426.44434899999999</v>
      </c>
    </row>
    <row r="4" spans="1:17">
      <c r="A4" s="1" t="s">
        <v>5</v>
      </c>
      <c r="B4" s="4">
        <v>383296</v>
      </c>
      <c r="C4" s="4">
        <v>415577</v>
      </c>
      <c r="D4" s="4">
        <v>412290</v>
      </c>
      <c r="E4" s="4">
        <f t="shared" ref="E4:E10" si="0">(B4*4+C4+D4)/6</f>
        <v>393508.5</v>
      </c>
      <c r="F4" s="11">
        <v>1001.944</v>
      </c>
      <c r="G4" s="11">
        <v>1170.207169</v>
      </c>
    </row>
    <row r="5" spans="1:17">
      <c r="A5" s="1" t="s">
        <v>6</v>
      </c>
      <c r="B5" s="4">
        <v>386383</v>
      </c>
      <c r="C5" s="4">
        <v>417826</v>
      </c>
      <c r="D5" s="4">
        <v>415272</v>
      </c>
      <c r="E5" s="4">
        <f t="shared" si="0"/>
        <v>396438.33333333331</v>
      </c>
      <c r="F5" s="11">
        <v>1155.8499999999999</v>
      </c>
      <c r="G5" s="11">
        <v>463.10117700000001</v>
      </c>
    </row>
    <row r="6" spans="1:17">
      <c r="A6" s="1" t="s">
        <v>10</v>
      </c>
      <c r="B6" s="4">
        <v>385116</v>
      </c>
      <c r="C6" s="4">
        <v>414398</v>
      </c>
      <c r="D6" s="4">
        <v>413685</v>
      </c>
      <c r="E6" s="4">
        <f t="shared" si="0"/>
        <v>394757.83333333331</v>
      </c>
      <c r="F6" s="11">
        <v>971.13599999999997</v>
      </c>
      <c r="G6" s="11">
        <v>1107.672789</v>
      </c>
    </row>
    <row r="7" spans="1:17">
      <c r="A7" s="1" t="s">
        <v>11</v>
      </c>
      <c r="B7" s="4">
        <v>383825</v>
      </c>
      <c r="C7" s="4">
        <v>413132</v>
      </c>
      <c r="D7" s="4">
        <v>410319</v>
      </c>
      <c r="E7" s="4">
        <f t="shared" si="0"/>
        <v>393125.16666666669</v>
      </c>
      <c r="F7" s="11">
        <v>1273.068</v>
      </c>
      <c r="G7" s="11">
        <v>468.03090600000002</v>
      </c>
    </row>
    <row r="8" spans="1:17">
      <c r="A8" s="1" t="s">
        <v>12</v>
      </c>
      <c r="B8" s="4">
        <v>390856</v>
      </c>
      <c r="C8" s="4">
        <v>418552</v>
      </c>
      <c r="D8" s="4">
        <v>417437</v>
      </c>
      <c r="E8" s="4">
        <f t="shared" si="0"/>
        <v>399902.16666666669</v>
      </c>
      <c r="F8" s="11">
        <v>933.66</v>
      </c>
      <c r="G8" s="11">
        <v>1148.9744780000001</v>
      </c>
      <c r="K8" s="1">
        <v>394328</v>
      </c>
      <c r="L8" s="1">
        <v>1153.44</v>
      </c>
      <c r="M8" s="1">
        <v>614.47</v>
      </c>
      <c r="O8" s="1" t="s">
        <v>131</v>
      </c>
      <c r="P8" s="1">
        <f>6*3600+47*60+17</f>
        <v>24437</v>
      </c>
    </row>
    <row r="9" spans="1:17">
      <c r="A9" s="1" t="s">
        <v>13</v>
      </c>
      <c r="B9" s="4">
        <v>379869</v>
      </c>
      <c r="C9" s="4">
        <v>412672</v>
      </c>
      <c r="D9" s="4">
        <v>410571</v>
      </c>
      <c r="E9" s="4">
        <f t="shared" si="0"/>
        <v>390453.16666666669</v>
      </c>
      <c r="F9" s="11">
        <v>1269.6559999999999</v>
      </c>
      <c r="G9" s="11">
        <v>475.32011199999999</v>
      </c>
      <c r="K9" s="6">
        <f>K8-E11</f>
        <v>-23.1875</v>
      </c>
      <c r="L9" s="6">
        <f>L8-F11</f>
        <v>0.83875000000011823</v>
      </c>
      <c r="M9" s="18">
        <f>M8-G11</f>
        <v>-106.5306881250001</v>
      </c>
      <c r="N9" s="18">
        <f>(G11-M8)/G11</f>
        <v>0.14775393405246076</v>
      </c>
      <c r="P9" s="18">
        <f>P8-I11</f>
        <v>-870</v>
      </c>
      <c r="Q9" s="19">
        <f>(I11-P8)/I11</f>
        <v>3.4377840123286048E-2</v>
      </c>
    </row>
    <row r="10" spans="1:17">
      <c r="A10" s="1" t="s">
        <v>14</v>
      </c>
      <c r="B10" s="4">
        <v>382913</v>
      </c>
      <c r="C10" s="4">
        <v>411367</v>
      </c>
      <c r="D10" s="4">
        <v>408242</v>
      </c>
      <c r="E10" s="4">
        <f t="shared" si="0"/>
        <v>391876.83333333331</v>
      </c>
      <c r="F10" s="11">
        <v>1339.22</v>
      </c>
      <c r="G10" s="11">
        <v>508.254525</v>
      </c>
    </row>
    <row r="11" spans="1:17">
      <c r="A11" s="1" t="s">
        <v>7</v>
      </c>
      <c r="B11" s="4">
        <f>AVERAGE(B3:B10)</f>
        <v>384662.5</v>
      </c>
      <c r="C11" s="4">
        <f t="shared" ref="C11:G11" si="1">AVERAGE(C3:C10)</f>
        <v>414793.75</v>
      </c>
      <c r="D11" s="4">
        <f t="shared" si="1"/>
        <v>412663.375</v>
      </c>
      <c r="E11" s="4">
        <f t="shared" si="1"/>
        <v>394351.1875</v>
      </c>
      <c r="F11" s="11">
        <f t="shared" si="1"/>
        <v>1152.6012499999999</v>
      </c>
      <c r="G11" s="11">
        <f t="shared" si="1"/>
        <v>721.00068812500012</v>
      </c>
      <c r="H11" s="11" t="s">
        <v>170</v>
      </c>
      <c r="I11" s="11">
        <f>7*3600+1*60+47</f>
        <v>25307</v>
      </c>
      <c r="K11" s="1">
        <v>394331</v>
      </c>
      <c r="L11" s="11">
        <v>1153.46</v>
      </c>
      <c r="M11" s="11">
        <v>605.37</v>
      </c>
      <c r="N11" s="11"/>
      <c r="O11" s="1" t="s">
        <v>153</v>
      </c>
      <c r="P11" s="1">
        <f>6*3600+45*60+51</f>
        <v>24351</v>
      </c>
    </row>
    <row r="12" spans="1:17">
      <c r="K12" s="6">
        <f>K11-E11</f>
        <v>-20.1875</v>
      </c>
      <c r="L12" s="6">
        <f>L11-F11</f>
        <v>0.85875000000010004</v>
      </c>
      <c r="M12" s="18">
        <f>M11-G11</f>
        <v>-115.63068812500012</v>
      </c>
      <c r="N12" s="18">
        <f>(G11-M11)/G11</f>
        <v>0.16037528122990249</v>
      </c>
      <c r="P12" s="18">
        <f>P11-I11</f>
        <v>-956</v>
      </c>
      <c r="Q12" s="19">
        <f>(I11-P11)/I11</f>
        <v>3.7776109376852253E-2</v>
      </c>
    </row>
    <row r="13" spans="1:17">
      <c r="A13" s="1" t="s">
        <v>39</v>
      </c>
    </row>
    <row r="14" spans="1:17">
      <c r="A14" s="1" t="s">
        <v>4</v>
      </c>
      <c r="B14" s="4">
        <v>366577</v>
      </c>
      <c r="C14" s="4">
        <v>399460</v>
      </c>
      <c r="D14" s="4">
        <v>397682</v>
      </c>
      <c r="E14" s="4">
        <f>(B14*4+C14+D14)/6</f>
        <v>377241.66666666669</v>
      </c>
      <c r="F14" s="11">
        <v>787.45</v>
      </c>
      <c r="G14" s="11">
        <v>399.181783</v>
      </c>
    </row>
    <row r="15" spans="1:17">
      <c r="A15" s="1" t="s">
        <v>5</v>
      </c>
      <c r="B15" s="4">
        <v>366391</v>
      </c>
      <c r="C15" s="4">
        <v>402265</v>
      </c>
      <c r="D15" s="4">
        <v>397514</v>
      </c>
      <c r="E15" s="4">
        <f t="shared" ref="E15:E21" si="2">(B15*4+C15+D15)/6</f>
        <v>377557.16666666669</v>
      </c>
      <c r="F15" s="11">
        <v>562.05999999999995</v>
      </c>
      <c r="G15" s="11">
        <v>1070.226521</v>
      </c>
    </row>
    <row r="16" spans="1:17">
      <c r="A16" s="1" t="s">
        <v>6</v>
      </c>
      <c r="B16" s="4">
        <v>368917</v>
      </c>
      <c r="C16" s="4">
        <v>403450</v>
      </c>
      <c r="D16" s="4">
        <v>400439</v>
      </c>
      <c r="E16" s="4">
        <f t="shared" si="2"/>
        <v>379926.16666666669</v>
      </c>
      <c r="F16" s="11">
        <v>681.5</v>
      </c>
      <c r="G16" s="11">
        <v>431.50374900000003</v>
      </c>
    </row>
    <row r="17" spans="1:17">
      <c r="A17" s="1" t="s">
        <v>10</v>
      </c>
      <c r="B17" s="4">
        <v>365779</v>
      </c>
      <c r="C17" s="4">
        <v>399737</v>
      </c>
      <c r="D17" s="4">
        <v>398491</v>
      </c>
      <c r="E17" s="4">
        <f t="shared" si="2"/>
        <v>376890.66666666669</v>
      </c>
      <c r="F17" s="11">
        <v>540.30799999999999</v>
      </c>
      <c r="G17" s="11">
        <v>1025.161777</v>
      </c>
    </row>
    <row r="18" spans="1:17">
      <c r="A18" s="1" t="s">
        <v>11</v>
      </c>
      <c r="B18" s="4">
        <v>364469</v>
      </c>
      <c r="C18" s="4">
        <v>397468</v>
      </c>
      <c r="D18" s="4">
        <v>394582</v>
      </c>
      <c r="E18" s="4">
        <f t="shared" si="2"/>
        <v>374987.66666666669</v>
      </c>
      <c r="F18" s="11">
        <v>749.01</v>
      </c>
      <c r="G18" s="11">
        <v>438.920883</v>
      </c>
    </row>
    <row r="19" spans="1:17">
      <c r="A19" s="1" t="s">
        <v>12</v>
      </c>
      <c r="B19" s="4">
        <v>371787</v>
      </c>
      <c r="C19" s="4">
        <v>402380</v>
      </c>
      <c r="D19" s="4">
        <v>402164</v>
      </c>
      <c r="E19" s="4">
        <f t="shared" si="2"/>
        <v>381948.66666666669</v>
      </c>
      <c r="F19" s="11">
        <v>532.67600000000004</v>
      </c>
      <c r="G19" s="11">
        <v>1062.7065990000001</v>
      </c>
      <c r="K19" s="1">
        <v>377142</v>
      </c>
      <c r="L19" s="1">
        <v>671.19</v>
      </c>
      <c r="M19" s="1">
        <v>550.97</v>
      </c>
      <c r="O19" s="1" t="s">
        <v>132</v>
      </c>
      <c r="P19" s="1">
        <f>6*3600+27*60+49</f>
        <v>23269</v>
      </c>
    </row>
    <row r="20" spans="1:17">
      <c r="A20" s="1" t="s">
        <v>13</v>
      </c>
      <c r="B20" s="4">
        <v>363924</v>
      </c>
      <c r="C20" s="4">
        <v>399208</v>
      </c>
      <c r="D20" s="4">
        <v>396453</v>
      </c>
      <c r="E20" s="4">
        <f t="shared" si="2"/>
        <v>375226.16666666669</v>
      </c>
      <c r="F20" s="11">
        <v>726.57799999999997</v>
      </c>
      <c r="G20" s="11">
        <v>444.42007799999999</v>
      </c>
      <c r="K20" s="6">
        <f>K19-E22</f>
        <v>-23.208333333313931</v>
      </c>
      <c r="L20" s="6">
        <f>L19-F22</f>
        <v>0.99900000000002365</v>
      </c>
      <c r="M20" s="18">
        <f>M19-G22</f>
        <v>-117.83713237500001</v>
      </c>
      <c r="N20" s="18">
        <f>(G22-M19)/G22</f>
        <v>0.17619000556490588</v>
      </c>
      <c r="P20" s="18">
        <f>P19-I22</f>
        <v>-965</v>
      </c>
      <c r="Q20" s="19">
        <f>(I22-P19)/I22</f>
        <v>3.982008748039944E-2</v>
      </c>
    </row>
    <row r="21" spans="1:17">
      <c r="A21" s="1" t="s">
        <v>14</v>
      </c>
      <c r="B21" s="4">
        <v>363343</v>
      </c>
      <c r="C21" s="4">
        <v>395570</v>
      </c>
      <c r="D21" s="4">
        <v>392319</v>
      </c>
      <c r="E21" s="4">
        <f t="shared" si="2"/>
        <v>373543.5</v>
      </c>
      <c r="F21" s="11">
        <v>781.94600000000003</v>
      </c>
      <c r="G21" s="11">
        <v>478.335669</v>
      </c>
    </row>
    <row r="22" spans="1:17">
      <c r="A22" s="1" t="s">
        <v>7</v>
      </c>
      <c r="B22" s="4">
        <f>AVERAGE(B14:B21)</f>
        <v>366398.375</v>
      </c>
      <c r="C22" s="4">
        <f t="shared" ref="C22:G22" si="3">AVERAGE(C14:C21)</f>
        <v>399942.25</v>
      </c>
      <c r="D22" s="4">
        <f t="shared" si="3"/>
        <v>397455.5</v>
      </c>
      <c r="E22" s="4">
        <f t="shared" si="3"/>
        <v>377165.20833333331</v>
      </c>
      <c r="F22" s="11">
        <f t="shared" si="3"/>
        <v>670.19100000000003</v>
      </c>
      <c r="G22" s="11">
        <f t="shared" si="3"/>
        <v>668.80713237500004</v>
      </c>
      <c r="H22" s="11" t="s">
        <v>171</v>
      </c>
      <c r="I22" s="1">
        <f>6*3600+43*60+54</f>
        <v>24234</v>
      </c>
      <c r="K22" s="1">
        <v>377124</v>
      </c>
      <c r="L22" s="11">
        <v>671.57</v>
      </c>
      <c r="M22" s="11">
        <v>543.05999999999995</v>
      </c>
      <c r="N22" s="11"/>
      <c r="O22" s="1" t="s">
        <v>154</v>
      </c>
      <c r="P22" s="1">
        <f>6*3600+26*60+39</f>
        <v>23199</v>
      </c>
    </row>
    <row r="23" spans="1:17">
      <c r="K23" s="6">
        <f>K22-E22</f>
        <v>-41.208333333313931</v>
      </c>
      <c r="L23" s="6">
        <f>L22-F22</f>
        <v>1.3790000000000191</v>
      </c>
      <c r="M23" s="18">
        <f>M22-G22</f>
        <v>-125.74713237500009</v>
      </c>
      <c r="N23" s="18">
        <f>(G22-M22)/G22</f>
        <v>0.18801703254637794</v>
      </c>
      <c r="P23" s="18">
        <f>P22-I22</f>
        <v>-1035</v>
      </c>
      <c r="Q23" s="19">
        <f>(I22-P22)/I22</f>
        <v>4.270859123545432E-2</v>
      </c>
    </row>
    <row r="24" spans="1:17">
      <c r="A24" s="1" t="s">
        <v>40</v>
      </c>
    </row>
    <row r="25" spans="1:17">
      <c r="A25" s="1" t="s">
        <v>4</v>
      </c>
      <c r="B25" s="4">
        <v>346102</v>
      </c>
      <c r="C25" s="4">
        <v>386652</v>
      </c>
      <c r="D25" s="4">
        <v>385438</v>
      </c>
      <c r="E25" s="4">
        <f>(B25*4+C25+D25)/6</f>
        <v>359416.33333333331</v>
      </c>
      <c r="F25" s="11">
        <v>491.47399999999999</v>
      </c>
      <c r="G25" s="11">
        <v>372.43576000000002</v>
      </c>
    </row>
    <row r="26" spans="1:17">
      <c r="A26" s="1" t="s">
        <v>5</v>
      </c>
      <c r="B26" s="4">
        <v>345581</v>
      </c>
      <c r="C26" s="4">
        <v>390661</v>
      </c>
      <c r="D26" s="4">
        <v>385850</v>
      </c>
      <c r="E26" s="4">
        <f t="shared" ref="E26:E32" si="4">(B26*4+C26+D26)/6</f>
        <v>359805.83333333331</v>
      </c>
      <c r="F26" s="11">
        <v>327.30399999999997</v>
      </c>
      <c r="G26" s="11">
        <v>958.93953799999997</v>
      </c>
    </row>
    <row r="27" spans="1:17">
      <c r="A27" s="1" t="s">
        <v>6</v>
      </c>
      <c r="B27" s="4">
        <v>347970</v>
      </c>
      <c r="C27" s="4">
        <v>391154</v>
      </c>
      <c r="D27" s="4">
        <v>388055</v>
      </c>
      <c r="E27" s="4">
        <f t="shared" si="4"/>
        <v>361848.16666666669</v>
      </c>
      <c r="F27" s="11">
        <v>411.68400000000003</v>
      </c>
      <c r="G27" s="11">
        <v>401.00258600000001</v>
      </c>
    </row>
    <row r="28" spans="1:17">
      <c r="A28" s="1" t="s">
        <v>10</v>
      </c>
      <c r="B28" s="4">
        <v>343597</v>
      </c>
      <c r="C28" s="4">
        <v>388184</v>
      </c>
      <c r="D28" s="4">
        <v>386845</v>
      </c>
      <c r="E28" s="4">
        <f t="shared" si="4"/>
        <v>358236.16666666669</v>
      </c>
      <c r="F28" s="11">
        <v>312.67599999999999</v>
      </c>
      <c r="G28" s="11">
        <v>932.27502200000004</v>
      </c>
    </row>
    <row r="29" spans="1:17">
      <c r="A29" s="1" t="s">
        <v>11</v>
      </c>
      <c r="B29" s="4">
        <v>342302</v>
      </c>
      <c r="C29" s="4">
        <v>384596</v>
      </c>
      <c r="D29" s="4">
        <v>381978</v>
      </c>
      <c r="E29" s="4">
        <f t="shared" si="4"/>
        <v>355963.66666666669</v>
      </c>
      <c r="F29" s="11">
        <v>449.76</v>
      </c>
      <c r="G29" s="11">
        <v>408.79848900000002</v>
      </c>
    </row>
    <row r="30" spans="1:17">
      <c r="A30" s="1" t="s">
        <v>12</v>
      </c>
      <c r="B30" s="4">
        <v>349856</v>
      </c>
      <c r="C30" s="4">
        <v>389133</v>
      </c>
      <c r="D30" s="4">
        <v>389659</v>
      </c>
      <c r="E30" s="4">
        <f t="shared" si="4"/>
        <v>363036</v>
      </c>
      <c r="F30" s="11">
        <v>324.59800000000001</v>
      </c>
      <c r="G30" s="11">
        <v>965.31185600000003</v>
      </c>
      <c r="K30" s="1">
        <v>358746</v>
      </c>
      <c r="L30" s="11">
        <v>403.64080000000001</v>
      </c>
      <c r="M30" s="11">
        <v>480.61349999999999</v>
      </c>
      <c r="N30" s="11"/>
      <c r="O30" s="1" t="s">
        <v>133</v>
      </c>
      <c r="P30" s="1">
        <f>6*3600+9*60+29</f>
        <v>22169</v>
      </c>
    </row>
    <row r="31" spans="1:17">
      <c r="A31" s="1" t="s">
        <v>13</v>
      </c>
      <c r="B31" s="4">
        <v>344392</v>
      </c>
      <c r="C31" s="4">
        <v>386432</v>
      </c>
      <c r="D31" s="4">
        <v>383731</v>
      </c>
      <c r="E31" s="4">
        <f t="shared" si="4"/>
        <v>357955.16666666669</v>
      </c>
      <c r="F31" s="11">
        <v>437.92</v>
      </c>
      <c r="G31" s="11">
        <v>414.21459399999998</v>
      </c>
      <c r="K31" s="6">
        <f>K30-E33</f>
        <v>-51.6875</v>
      </c>
      <c r="L31" s="6">
        <f>L30-F33</f>
        <v>0.7178000000000111</v>
      </c>
      <c r="M31" s="18">
        <f>M30-G33</f>
        <v>-131.84297200000009</v>
      </c>
      <c r="N31" s="18">
        <f>(G33-M30)/G33</f>
        <v>0.2152691301790996</v>
      </c>
      <c r="P31" s="18">
        <f>P30-I33</f>
        <v>-1096</v>
      </c>
      <c r="Q31" s="19">
        <f>(I33-P30)/I33</f>
        <v>4.7109391790242851E-2</v>
      </c>
    </row>
    <row r="32" spans="1:17">
      <c r="A32" s="1" t="s">
        <v>14</v>
      </c>
      <c r="B32" s="4">
        <v>340524</v>
      </c>
      <c r="C32" s="4">
        <v>383092</v>
      </c>
      <c r="D32" s="4">
        <v>379533</v>
      </c>
      <c r="E32" s="4">
        <f t="shared" si="4"/>
        <v>354120.16666666669</v>
      </c>
      <c r="F32" s="11">
        <v>467.96800000000002</v>
      </c>
      <c r="G32" s="11">
        <v>446.67393099999998</v>
      </c>
    </row>
    <row r="33" spans="1:17">
      <c r="A33" s="1" t="s">
        <v>7</v>
      </c>
      <c r="B33" s="4">
        <f>AVERAGE(B25:B32)</f>
        <v>345040.5</v>
      </c>
      <c r="C33" s="4">
        <f t="shared" ref="C33:G33" si="5">AVERAGE(C25:C32)</f>
        <v>387488</v>
      </c>
      <c r="D33" s="4">
        <f t="shared" si="5"/>
        <v>385136.125</v>
      </c>
      <c r="E33" s="4">
        <f t="shared" si="5"/>
        <v>358797.6875</v>
      </c>
      <c r="F33" s="11">
        <f t="shared" si="5"/>
        <v>402.923</v>
      </c>
      <c r="G33" s="11">
        <f t="shared" si="5"/>
        <v>612.45647200000008</v>
      </c>
      <c r="H33" s="11" t="s">
        <v>172</v>
      </c>
      <c r="I33" s="1">
        <f>6*3600+27*60+45</f>
        <v>23265</v>
      </c>
      <c r="K33" s="1">
        <v>358746</v>
      </c>
      <c r="L33" s="11">
        <v>403.74</v>
      </c>
      <c r="M33" s="11">
        <v>474.01</v>
      </c>
      <c r="N33" s="11"/>
      <c r="O33" s="1" t="s">
        <v>155</v>
      </c>
      <c r="P33" s="1">
        <f>6*3600+8*60+32</f>
        <v>22112</v>
      </c>
    </row>
    <row r="34" spans="1:17">
      <c r="K34" s="6">
        <f>K33-E33</f>
        <v>-51.6875</v>
      </c>
      <c r="L34" s="6">
        <f>L33-F33</f>
        <v>0.81700000000000728</v>
      </c>
      <c r="M34" s="18">
        <f>M33-G33</f>
        <v>-138.44647200000009</v>
      </c>
      <c r="N34" s="18">
        <f>(G33-M33)/G33</f>
        <v>0.22605112090316856</v>
      </c>
      <c r="P34" s="18">
        <f>P33-I33</f>
        <v>-1153</v>
      </c>
      <c r="Q34" s="19">
        <f>(I33-P33)/I33</f>
        <v>4.9559424027509132E-2</v>
      </c>
    </row>
    <row r="35" spans="1:17">
      <c r="A35" s="1" t="s">
        <v>41</v>
      </c>
    </row>
    <row r="36" spans="1:17">
      <c r="A36" s="1" t="s">
        <v>4</v>
      </c>
      <c r="B36" s="4">
        <v>325328</v>
      </c>
      <c r="C36" s="4">
        <v>374860</v>
      </c>
      <c r="D36" s="4">
        <v>374015</v>
      </c>
      <c r="E36" s="4">
        <f>(B36*4+C36+D36)/6</f>
        <v>341697.83333333331</v>
      </c>
      <c r="F36" s="11">
        <v>311.98399999999998</v>
      </c>
      <c r="G36" s="11">
        <v>342.46884899999998</v>
      </c>
    </row>
    <row r="37" spans="1:17">
      <c r="A37" s="1" t="s">
        <v>5</v>
      </c>
      <c r="B37" s="4">
        <v>323476</v>
      </c>
      <c r="C37" s="4">
        <v>379130</v>
      </c>
      <c r="D37" s="4">
        <v>374363</v>
      </c>
      <c r="E37" s="4">
        <f t="shared" ref="E37:E43" si="6">(B37*4+C37+D37)/6</f>
        <v>341232.83333333331</v>
      </c>
      <c r="F37" s="11">
        <v>200.614</v>
      </c>
      <c r="G37" s="11">
        <v>834.67612499999996</v>
      </c>
    </row>
    <row r="38" spans="1:17">
      <c r="A38" s="1" t="s">
        <v>6</v>
      </c>
      <c r="B38" s="4">
        <v>325864</v>
      </c>
      <c r="C38" s="4">
        <v>379501</v>
      </c>
      <c r="D38" s="4">
        <v>376023</v>
      </c>
      <c r="E38" s="4">
        <f t="shared" si="6"/>
        <v>343163.33333333331</v>
      </c>
      <c r="F38" s="11">
        <v>255.58</v>
      </c>
      <c r="G38" s="11">
        <v>367.73822699999999</v>
      </c>
    </row>
    <row r="39" spans="1:17">
      <c r="A39" s="1" t="s">
        <v>10</v>
      </c>
      <c r="B39" s="4">
        <v>321653</v>
      </c>
      <c r="C39" s="4">
        <v>377139</v>
      </c>
      <c r="D39" s="4">
        <v>375774</v>
      </c>
      <c r="E39" s="4">
        <f t="shared" si="6"/>
        <v>339920.83333333331</v>
      </c>
      <c r="F39" s="11">
        <v>191.42400000000001</v>
      </c>
      <c r="G39" s="11">
        <v>821.60905200000002</v>
      </c>
    </row>
    <row r="40" spans="1:17">
      <c r="A40" s="1" t="s">
        <v>11</v>
      </c>
      <c r="B40" s="4">
        <v>319545</v>
      </c>
      <c r="C40" s="4">
        <v>372909</v>
      </c>
      <c r="D40" s="4">
        <v>370368</v>
      </c>
      <c r="E40" s="4">
        <f t="shared" si="6"/>
        <v>336909.5</v>
      </c>
      <c r="F40" s="11">
        <v>277.798</v>
      </c>
      <c r="G40" s="11">
        <v>374.80289299999998</v>
      </c>
    </row>
    <row r="41" spans="1:17">
      <c r="A41" s="1" t="s">
        <v>12</v>
      </c>
      <c r="B41" s="4">
        <v>327068</v>
      </c>
      <c r="C41" s="4">
        <v>376022</v>
      </c>
      <c r="D41" s="4">
        <v>377744</v>
      </c>
      <c r="E41" s="4">
        <f t="shared" si="6"/>
        <v>343673</v>
      </c>
      <c r="F41" s="11">
        <v>207.47399999999999</v>
      </c>
      <c r="G41" s="11">
        <v>849.39140499999996</v>
      </c>
      <c r="K41" s="1">
        <v>340024</v>
      </c>
      <c r="L41" s="1">
        <v>251.79</v>
      </c>
      <c r="M41" s="1">
        <v>402</v>
      </c>
      <c r="O41" s="1" t="s">
        <v>134</v>
      </c>
      <c r="P41" s="1">
        <f>5*3600+50*60+0</f>
        <v>21000</v>
      </c>
    </row>
    <row r="42" spans="1:17">
      <c r="A42" s="1" t="s">
        <v>13</v>
      </c>
      <c r="B42" s="4">
        <v>323052</v>
      </c>
      <c r="C42" s="4">
        <v>373024</v>
      </c>
      <c r="D42" s="4">
        <v>371616</v>
      </c>
      <c r="E42" s="4">
        <f t="shared" si="6"/>
        <v>339474.66666666669</v>
      </c>
      <c r="F42" s="11">
        <v>273.178</v>
      </c>
      <c r="G42" s="11">
        <v>379.83482900000001</v>
      </c>
      <c r="K42" s="6">
        <f>K41-E44</f>
        <v>-55.291666666686069</v>
      </c>
      <c r="L42" s="6">
        <f>L41-F44</f>
        <v>1.1572499999999764</v>
      </c>
      <c r="M42" s="18">
        <f>M41-G44</f>
        <v>-145.42389137499993</v>
      </c>
      <c r="N42" s="18">
        <f>(G44-M41)/G44</f>
        <v>0.26565134197875317</v>
      </c>
      <c r="P42" s="18">
        <f>P41-I44</f>
        <v>-1214</v>
      </c>
      <c r="Q42" s="19">
        <f>(I44-P41)/I44</f>
        <v>5.46502205816152E-2</v>
      </c>
    </row>
    <row r="43" spans="1:17">
      <c r="A43" s="1" t="s">
        <v>14</v>
      </c>
      <c r="B43" s="4">
        <v>317019</v>
      </c>
      <c r="C43" s="4">
        <v>370568</v>
      </c>
      <c r="D43" s="4">
        <v>368730</v>
      </c>
      <c r="E43" s="4">
        <f t="shared" si="6"/>
        <v>334562.33333333331</v>
      </c>
      <c r="F43" s="11">
        <v>287.01</v>
      </c>
      <c r="G43" s="11">
        <v>408.86975100000001</v>
      </c>
    </row>
    <row r="44" spans="1:17">
      <c r="A44" s="1" t="s">
        <v>7</v>
      </c>
      <c r="B44" s="4">
        <f>AVERAGE(B36:B43)</f>
        <v>322875.625</v>
      </c>
      <c r="C44" s="4">
        <f t="shared" ref="C44:G44" si="7">AVERAGE(C36:C43)</f>
        <v>375394.125</v>
      </c>
      <c r="D44" s="4">
        <f t="shared" si="7"/>
        <v>373579.125</v>
      </c>
      <c r="E44" s="4">
        <f t="shared" si="7"/>
        <v>340079.29166666669</v>
      </c>
      <c r="F44" s="11">
        <f t="shared" si="7"/>
        <v>250.63275000000002</v>
      </c>
      <c r="G44" s="11">
        <f t="shared" si="7"/>
        <v>547.42389137499993</v>
      </c>
      <c r="H44" s="11" t="s">
        <v>173</v>
      </c>
      <c r="I44" s="1">
        <f>6*3600+10*60+14</f>
        <v>22214</v>
      </c>
      <c r="K44" s="1">
        <v>340029</v>
      </c>
      <c r="L44" s="11">
        <v>252.07</v>
      </c>
      <c r="M44" s="11">
        <v>397.57</v>
      </c>
      <c r="N44" s="11"/>
      <c r="O44" s="1" t="s">
        <v>156</v>
      </c>
      <c r="P44" s="1">
        <f>5*3600+49*60+15</f>
        <v>20955</v>
      </c>
    </row>
    <row r="45" spans="1:17">
      <c r="K45" s="6">
        <f>K44-E44</f>
        <v>-50.291666666686069</v>
      </c>
      <c r="L45" s="6">
        <f>L44-F44</f>
        <v>1.4372499999999775</v>
      </c>
      <c r="M45" s="18">
        <f>M44-G44</f>
        <v>-149.85389137499993</v>
      </c>
      <c r="N45" s="18">
        <f>(G44-M44)/G44</f>
        <v>0.27374379112062908</v>
      </c>
      <c r="P45" s="18">
        <f>P44-I44</f>
        <v>-1259</v>
      </c>
      <c r="Q45" s="19">
        <f>(I44-P44)/I44</f>
        <v>5.6675970108940307E-2</v>
      </c>
    </row>
    <row r="46" spans="1:17">
      <c r="A46" s="1" t="s">
        <v>49</v>
      </c>
    </row>
    <row r="47" spans="1:17">
      <c r="A47" s="1" t="s">
        <v>4</v>
      </c>
      <c r="B47" s="4">
        <v>396984</v>
      </c>
      <c r="C47" s="4">
        <v>435685</v>
      </c>
      <c r="D47" s="4">
        <v>427600</v>
      </c>
      <c r="E47" s="4">
        <f>(B47*4+C47+D47)/6</f>
        <v>408536.83333333331</v>
      </c>
      <c r="F47" s="11">
        <v>529.87</v>
      </c>
      <c r="G47" s="11">
        <v>291.14273700000001</v>
      </c>
    </row>
    <row r="48" spans="1:17">
      <c r="A48" s="1" t="s">
        <v>5</v>
      </c>
      <c r="B48" s="4">
        <v>394951</v>
      </c>
      <c r="C48" s="4">
        <v>434992</v>
      </c>
      <c r="D48" s="4">
        <v>425926</v>
      </c>
      <c r="E48" s="4">
        <f t="shared" ref="E48:E54" si="8">(B48*4+C48+D48)/6</f>
        <v>406787</v>
      </c>
      <c r="F48" s="11">
        <v>439.25</v>
      </c>
      <c r="G48" s="11">
        <v>961.17375700000002</v>
      </c>
    </row>
    <row r="49" spans="1:17">
      <c r="A49" s="1" t="s">
        <v>6</v>
      </c>
      <c r="B49" s="4">
        <v>396793</v>
      </c>
      <c r="C49" s="4">
        <v>437614</v>
      </c>
      <c r="D49" s="4">
        <v>428272</v>
      </c>
      <c r="E49" s="4">
        <f t="shared" si="8"/>
        <v>408843</v>
      </c>
      <c r="F49" s="11">
        <v>508.87200000000001</v>
      </c>
      <c r="G49" s="11">
        <v>342.67716300000001</v>
      </c>
    </row>
    <row r="50" spans="1:17">
      <c r="A50" s="1" t="s">
        <v>10</v>
      </c>
      <c r="B50" s="4">
        <v>397878</v>
      </c>
      <c r="C50" s="4">
        <v>439286</v>
      </c>
      <c r="D50" s="4">
        <v>433214</v>
      </c>
      <c r="E50" s="4">
        <f t="shared" si="8"/>
        <v>410668.66666666669</v>
      </c>
      <c r="F50" s="11">
        <v>450.41199999999998</v>
      </c>
      <c r="G50" s="11">
        <v>1019.724875</v>
      </c>
    </row>
    <row r="51" spans="1:17">
      <c r="A51" s="1" t="s">
        <v>11</v>
      </c>
      <c r="B51" s="4">
        <v>393930</v>
      </c>
      <c r="C51" s="4">
        <v>436681</v>
      </c>
      <c r="D51" s="4">
        <v>427719</v>
      </c>
      <c r="E51" s="4">
        <f t="shared" si="8"/>
        <v>406686.66666666669</v>
      </c>
      <c r="F51" s="11">
        <v>591.85199999999998</v>
      </c>
      <c r="G51" s="11">
        <v>393.30911500000002</v>
      </c>
    </row>
    <row r="52" spans="1:17">
      <c r="A52" s="1" t="s">
        <v>12</v>
      </c>
      <c r="B52" s="4">
        <v>393976</v>
      </c>
      <c r="C52" s="4">
        <v>435481</v>
      </c>
      <c r="D52" s="4">
        <v>427671</v>
      </c>
      <c r="E52" s="4">
        <f t="shared" si="8"/>
        <v>406509.33333333331</v>
      </c>
      <c r="F52" s="11">
        <v>554.14800000000002</v>
      </c>
      <c r="G52" s="11">
        <v>1099.3865479999999</v>
      </c>
      <c r="K52" s="1">
        <v>406528</v>
      </c>
      <c r="L52" s="1">
        <v>573.14</v>
      </c>
      <c r="M52" s="1">
        <v>507.68</v>
      </c>
      <c r="O52" s="1" t="s">
        <v>135</v>
      </c>
      <c r="P52" s="1">
        <f>6*3600+20*60+59</f>
        <v>22859</v>
      </c>
    </row>
    <row r="53" spans="1:17">
      <c r="A53" s="1" t="s">
        <v>13</v>
      </c>
      <c r="B53" s="4">
        <v>387109</v>
      </c>
      <c r="C53" s="4">
        <v>427931</v>
      </c>
      <c r="D53" s="4">
        <v>420719</v>
      </c>
      <c r="E53" s="4">
        <f t="shared" si="8"/>
        <v>399514.33333333331</v>
      </c>
      <c r="F53" s="11">
        <v>781.48400000000004</v>
      </c>
      <c r="G53" s="11">
        <v>447.92216100000002</v>
      </c>
      <c r="K53" s="6">
        <f>K52-E55</f>
        <v>-9.5625</v>
      </c>
      <c r="L53" s="6">
        <f>L52-F55</f>
        <v>0.41724999999996726</v>
      </c>
      <c r="M53" s="18">
        <f>M52-G55</f>
        <v>-124.35887037500009</v>
      </c>
      <c r="N53" s="18">
        <f>(G55-M52)/G55</f>
        <v>0.19675826314482164</v>
      </c>
      <c r="P53" s="18">
        <f>P52-I55</f>
        <v>-1033</v>
      </c>
      <c r="Q53" s="19">
        <f>(I55-P52)/I55</f>
        <v>4.3236229700318096E-2</v>
      </c>
    </row>
    <row r="54" spans="1:17">
      <c r="A54" s="1" t="s">
        <v>14</v>
      </c>
      <c r="B54" s="4">
        <v>391685</v>
      </c>
      <c r="C54" s="4">
        <v>435453</v>
      </c>
      <c r="D54" s="4">
        <v>426335</v>
      </c>
      <c r="E54" s="4">
        <f t="shared" si="8"/>
        <v>404754.66666666669</v>
      </c>
      <c r="F54" s="11">
        <v>725.89400000000001</v>
      </c>
      <c r="G54" s="11">
        <v>500.97460699999999</v>
      </c>
    </row>
    <row r="55" spans="1:17">
      <c r="A55" s="1" t="s">
        <v>7</v>
      </c>
      <c r="B55" s="4">
        <f>AVERAGE(B47:B54)</f>
        <v>394163.25</v>
      </c>
      <c r="C55" s="4">
        <f t="shared" ref="C55:G55" si="9">AVERAGE(C47:C54)</f>
        <v>435390.375</v>
      </c>
      <c r="D55" s="4">
        <f t="shared" si="9"/>
        <v>427182</v>
      </c>
      <c r="E55" s="4">
        <f t="shared" si="9"/>
        <v>406537.5625</v>
      </c>
      <c r="F55" s="11">
        <f t="shared" si="9"/>
        <v>572.72275000000002</v>
      </c>
      <c r="G55" s="11">
        <f t="shared" si="9"/>
        <v>632.0388703750001</v>
      </c>
      <c r="H55" s="11" t="s">
        <v>174</v>
      </c>
      <c r="I55" s="1">
        <f>6*3600+38*60+12</f>
        <v>23892</v>
      </c>
      <c r="K55" s="1">
        <v>406529</v>
      </c>
      <c r="L55" s="11">
        <v>573.34</v>
      </c>
      <c r="M55" s="11">
        <v>503.41</v>
      </c>
      <c r="N55" s="11"/>
      <c r="O55" s="1" t="s">
        <v>157</v>
      </c>
      <c r="P55" s="1">
        <f>6*3600+20*60+4</f>
        <v>22804</v>
      </c>
    </row>
    <row r="56" spans="1:17">
      <c r="K56" s="6">
        <f>K55-E55</f>
        <v>-8.5625</v>
      </c>
      <c r="L56" s="6">
        <f>L55-F55</f>
        <v>0.61725000000001273</v>
      </c>
      <c r="M56" s="18">
        <f>M55-G55</f>
        <v>-128.62887037500008</v>
      </c>
      <c r="N56" s="18">
        <f>(G55-M55)/G55</f>
        <v>0.20351417674467115</v>
      </c>
      <c r="P56" s="18">
        <f>P55-I55</f>
        <v>-1088</v>
      </c>
      <c r="Q56" s="19">
        <f>(I55-P55)/I55</f>
        <v>4.5538255483006863E-2</v>
      </c>
    </row>
    <row r="57" spans="1:17">
      <c r="A57" s="1" t="s">
        <v>50</v>
      </c>
    </row>
    <row r="58" spans="1:17">
      <c r="A58" s="1" t="s">
        <v>4</v>
      </c>
      <c r="B58" s="4">
        <v>386180</v>
      </c>
      <c r="C58" s="4">
        <v>421137</v>
      </c>
      <c r="D58" s="4">
        <v>413847</v>
      </c>
      <c r="E58" s="4">
        <f>(B58*4+C58+D58)/6</f>
        <v>396617.33333333331</v>
      </c>
      <c r="F58" s="11">
        <v>293.096</v>
      </c>
      <c r="G58" s="11">
        <v>273.62920000000003</v>
      </c>
    </row>
    <row r="59" spans="1:17">
      <c r="A59" s="1" t="s">
        <v>5</v>
      </c>
      <c r="B59" s="4">
        <v>383834</v>
      </c>
      <c r="C59" s="4">
        <v>423168</v>
      </c>
      <c r="D59" s="4">
        <v>414242</v>
      </c>
      <c r="E59" s="4">
        <f t="shared" ref="E59:E65" si="10">(B59*4+C59+D59)/6</f>
        <v>395457.66666666669</v>
      </c>
      <c r="F59" s="11">
        <v>214.08</v>
      </c>
      <c r="G59" s="11">
        <v>863.156926</v>
      </c>
    </row>
    <row r="60" spans="1:17">
      <c r="A60" s="1" t="s">
        <v>6</v>
      </c>
      <c r="B60" s="4">
        <v>385520</v>
      </c>
      <c r="C60" s="4">
        <v>425332</v>
      </c>
      <c r="D60" s="4">
        <v>415704</v>
      </c>
      <c r="E60" s="4">
        <f t="shared" si="10"/>
        <v>397186</v>
      </c>
      <c r="F60" s="11">
        <v>265.49400000000003</v>
      </c>
      <c r="G60" s="11">
        <v>316.952043</v>
      </c>
    </row>
    <row r="61" spans="1:17">
      <c r="A61" s="1" t="s">
        <v>10</v>
      </c>
      <c r="B61" s="4">
        <v>385773</v>
      </c>
      <c r="C61" s="4">
        <v>427456</v>
      </c>
      <c r="D61" s="4">
        <v>421751</v>
      </c>
      <c r="E61" s="4">
        <f t="shared" si="10"/>
        <v>398716.5</v>
      </c>
      <c r="F61" s="11">
        <v>236.24199999999999</v>
      </c>
      <c r="G61" s="11">
        <v>913.16314999999997</v>
      </c>
    </row>
    <row r="62" spans="1:17">
      <c r="A62" s="1" t="s">
        <v>11</v>
      </c>
      <c r="B62" s="4">
        <v>381295</v>
      </c>
      <c r="C62" s="4">
        <v>424572</v>
      </c>
      <c r="D62" s="4">
        <v>415488</v>
      </c>
      <c r="E62" s="4">
        <f t="shared" si="10"/>
        <v>394206.66666666669</v>
      </c>
      <c r="F62" s="11">
        <v>315.19400000000002</v>
      </c>
      <c r="G62" s="11">
        <v>365.12530099999998</v>
      </c>
    </row>
    <row r="63" spans="1:17">
      <c r="A63" s="1" t="s">
        <v>12</v>
      </c>
      <c r="B63" s="4">
        <v>381456</v>
      </c>
      <c r="C63" s="4">
        <v>423522</v>
      </c>
      <c r="D63" s="4">
        <v>416947</v>
      </c>
      <c r="E63" s="4">
        <f t="shared" si="10"/>
        <v>394382.16666666669</v>
      </c>
      <c r="F63" s="11">
        <v>282.202</v>
      </c>
      <c r="G63" s="11">
        <v>988.30855899999995</v>
      </c>
      <c r="K63" s="1">
        <v>394484</v>
      </c>
      <c r="L63" s="1">
        <v>302.55</v>
      </c>
      <c r="M63" s="1">
        <v>443.99</v>
      </c>
      <c r="O63" s="1" t="s">
        <v>136</v>
      </c>
      <c r="P63" s="1">
        <f>5*3600+59*60+28</f>
        <v>21568</v>
      </c>
    </row>
    <row r="64" spans="1:17">
      <c r="A64" s="1" t="s">
        <v>13</v>
      </c>
      <c r="B64" s="4">
        <v>374679</v>
      </c>
      <c r="C64" s="4">
        <v>416665</v>
      </c>
      <c r="D64" s="4">
        <v>409576</v>
      </c>
      <c r="E64" s="4">
        <f t="shared" si="10"/>
        <v>387492.83333333331</v>
      </c>
      <c r="F64" s="11">
        <v>410.798</v>
      </c>
      <c r="G64" s="11">
        <v>414.20199500000001</v>
      </c>
      <c r="K64" s="6">
        <f>K63-E66</f>
        <v>18.312499999941792</v>
      </c>
      <c r="L64" s="6">
        <f>L63-F66</f>
        <v>1.1129999999999995</v>
      </c>
      <c r="M64" s="18">
        <f>M63-G66</f>
        <v>-130.63450962499996</v>
      </c>
      <c r="N64" s="18">
        <f>(G66-M63)/G66</f>
        <v>0.22733890990875427</v>
      </c>
      <c r="P64" s="18">
        <f>P63-I66</f>
        <v>-1092</v>
      </c>
      <c r="Q64" s="19">
        <f>(I66-P63)/I66</f>
        <v>4.8190644307149165E-2</v>
      </c>
    </row>
    <row r="65" spans="1:17">
      <c r="A65" s="1" t="s">
        <v>14</v>
      </c>
      <c r="B65" s="4">
        <v>377599</v>
      </c>
      <c r="C65" s="4">
        <v>423947</v>
      </c>
      <c r="D65" s="4">
        <v>415655</v>
      </c>
      <c r="E65" s="4">
        <f t="shared" si="10"/>
        <v>391666.33333333331</v>
      </c>
      <c r="F65" s="11">
        <v>394.39</v>
      </c>
      <c r="G65" s="11">
        <v>462.45890300000002</v>
      </c>
    </row>
    <row r="66" spans="1:17">
      <c r="A66" s="1" t="s">
        <v>7</v>
      </c>
      <c r="B66" s="4">
        <f>AVERAGE(B58:B65)</f>
        <v>382042</v>
      </c>
      <c r="C66" s="4">
        <f t="shared" ref="C66:G66" si="11">AVERAGE(C58:C65)</f>
        <v>423224.875</v>
      </c>
      <c r="D66" s="4">
        <f t="shared" si="11"/>
        <v>415401.25</v>
      </c>
      <c r="E66" s="4">
        <f t="shared" si="11"/>
        <v>394465.68750000006</v>
      </c>
      <c r="F66" s="11">
        <f t="shared" si="11"/>
        <v>301.43700000000001</v>
      </c>
      <c r="G66" s="11">
        <f t="shared" si="11"/>
        <v>574.62450962499997</v>
      </c>
      <c r="H66" s="11" t="s">
        <v>175</v>
      </c>
      <c r="I66" s="1">
        <f>6*3600+17*60+40</f>
        <v>22660</v>
      </c>
      <c r="K66" s="1">
        <v>394477</v>
      </c>
      <c r="L66" s="11">
        <v>301.93</v>
      </c>
      <c r="M66" s="11">
        <v>441.26</v>
      </c>
      <c r="N66" s="11"/>
      <c r="O66" s="1" t="s">
        <v>158</v>
      </c>
      <c r="P66" s="1">
        <f>5*3600+58*60+53</f>
        <v>21533</v>
      </c>
    </row>
    <row r="67" spans="1:17">
      <c r="K67" s="18">
        <f>K66-E66</f>
        <v>11.312499999941792</v>
      </c>
      <c r="L67" s="6">
        <f>L66-F66</f>
        <v>0.492999999999995</v>
      </c>
      <c r="M67" s="18">
        <f>M66-G66</f>
        <v>-133.36450962499998</v>
      </c>
      <c r="N67" s="18">
        <f>(G66-M66)/G66</f>
        <v>0.23208983847910294</v>
      </c>
      <c r="P67" s="18">
        <f>P66-I66</f>
        <v>-1127</v>
      </c>
      <c r="Q67" s="19">
        <f>(I66-P66)/I66</f>
        <v>4.9735216240070608E-2</v>
      </c>
    </row>
    <row r="68" spans="1:17">
      <c r="A68" s="1" t="s">
        <v>51</v>
      </c>
    </row>
    <row r="69" spans="1:17">
      <c r="A69" s="1" t="s">
        <v>4</v>
      </c>
      <c r="B69" s="4">
        <v>371789</v>
      </c>
      <c r="C69" s="4">
        <v>407903</v>
      </c>
      <c r="D69" s="4">
        <v>402921</v>
      </c>
      <c r="E69" s="4">
        <f>(B69*4+C69+D69)/6</f>
        <v>382996.66666666669</v>
      </c>
      <c r="F69" s="11">
        <v>179.91800000000001</v>
      </c>
      <c r="G69" s="11">
        <v>260.05080700000002</v>
      </c>
    </row>
    <row r="70" spans="1:17">
      <c r="A70" s="1" t="s">
        <v>5</v>
      </c>
      <c r="B70" s="4">
        <v>369088</v>
      </c>
      <c r="C70" s="4">
        <v>411936</v>
      </c>
      <c r="D70" s="4">
        <v>404470</v>
      </c>
      <c r="E70" s="4">
        <f t="shared" ref="E70:E76" si="12">(B70*4+C70+D70)/6</f>
        <v>382126.33333333331</v>
      </c>
      <c r="F70" s="11">
        <v>124.032</v>
      </c>
      <c r="G70" s="11">
        <v>772.59353499999997</v>
      </c>
    </row>
    <row r="71" spans="1:17">
      <c r="A71" s="1" t="s">
        <v>6</v>
      </c>
      <c r="B71" s="4">
        <v>370811</v>
      </c>
      <c r="C71" s="4">
        <v>414244</v>
      </c>
      <c r="D71" s="4">
        <v>404955</v>
      </c>
      <c r="E71" s="4">
        <f t="shared" si="12"/>
        <v>383740.5</v>
      </c>
      <c r="F71" s="11">
        <v>156.518</v>
      </c>
      <c r="G71" s="11">
        <v>295.61187999999999</v>
      </c>
    </row>
    <row r="72" spans="1:17">
      <c r="A72" s="1" t="s">
        <v>10</v>
      </c>
      <c r="B72" s="4">
        <v>369507</v>
      </c>
      <c r="C72" s="4">
        <v>417014</v>
      </c>
      <c r="D72" s="4">
        <v>411521</v>
      </c>
      <c r="E72" s="4">
        <f t="shared" si="12"/>
        <v>384427.16666666669</v>
      </c>
      <c r="F72" s="11">
        <v>141.934</v>
      </c>
      <c r="G72" s="11">
        <v>809.89613099999997</v>
      </c>
    </row>
    <row r="73" spans="1:17">
      <c r="A73" s="1" t="s">
        <v>11</v>
      </c>
      <c r="B73" s="4">
        <v>365553</v>
      </c>
      <c r="C73" s="4">
        <v>414427</v>
      </c>
      <c r="D73" s="4">
        <v>403895</v>
      </c>
      <c r="E73" s="4">
        <f t="shared" si="12"/>
        <v>380089</v>
      </c>
      <c r="F73" s="11">
        <v>188.51599999999999</v>
      </c>
      <c r="G73" s="11">
        <v>338.05075199999999</v>
      </c>
    </row>
    <row r="74" spans="1:17">
      <c r="A74" s="1" t="s">
        <v>12</v>
      </c>
      <c r="B74" s="4">
        <v>366093</v>
      </c>
      <c r="C74" s="4">
        <v>413811</v>
      </c>
      <c r="D74" s="4">
        <v>407084</v>
      </c>
      <c r="E74" s="4">
        <f t="shared" si="12"/>
        <v>380877.83333333331</v>
      </c>
      <c r="F74" s="11">
        <v>167.53800000000001</v>
      </c>
      <c r="G74" s="11">
        <v>877.81488100000001</v>
      </c>
      <c r="K74" s="1">
        <v>380613</v>
      </c>
      <c r="L74" s="1">
        <v>179.89</v>
      </c>
      <c r="M74" s="1">
        <v>378.21</v>
      </c>
      <c r="O74" t="s">
        <v>197</v>
      </c>
      <c r="P74" s="1">
        <f>5*3600+42*60+32</f>
        <v>20552</v>
      </c>
    </row>
    <row r="75" spans="1:17">
      <c r="A75" s="1" t="s">
        <v>13</v>
      </c>
      <c r="B75" s="4">
        <v>359818</v>
      </c>
      <c r="C75" s="4">
        <v>405059</v>
      </c>
      <c r="D75" s="4">
        <v>398836</v>
      </c>
      <c r="E75" s="4">
        <f t="shared" si="12"/>
        <v>373861.16666666669</v>
      </c>
      <c r="F75" s="11">
        <v>243.81</v>
      </c>
      <c r="G75" s="11">
        <v>382.601247</v>
      </c>
      <c r="K75" s="6">
        <f>K74-E77</f>
        <v>-16.833333333313931</v>
      </c>
      <c r="L75" s="6">
        <f>L74-F77</f>
        <v>0.30649999999999977</v>
      </c>
      <c r="M75" s="18">
        <f>M74-G77</f>
        <v>-141.90800250000001</v>
      </c>
      <c r="N75" s="18">
        <f>(G77-M74)/G77</f>
        <v>0.27283809023703232</v>
      </c>
      <c r="P75" s="18">
        <f>P74-I77</f>
        <v>-1187</v>
      </c>
      <c r="Q75" s="19">
        <f>(I77-P74)/I77</f>
        <v>5.4602327613965683E-2</v>
      </c>
    </row>
    <row r="76" spans="1:17">
      <c r="A76" s="1" t="s">
        <v>14</v>
      </c>
      <c r="B76" s="4">
        <v>360325</v>
      </c>
      <c r="C76" s="4">
        <v>414118</v>
      </c>
      <c r="D76" s="4">
        <v>406102</v>
      </c>
      <c r="E76" s="4">
        <f t="shared" si="12"/>
        <v>376920</v>
      </c>
      <c r="F76" s="11">
        <v>234.40199999999999</v>
      </c>
      <c r="G76" s="11">
        <v>424.32478700000001</v>
      </c>
    </row>
    <row r="77" spans="1:17">
      <c r="A77" s="1" t="s">
        <v>7</v>
      </c>
      <c r="B77" s="4">
        <f>AVERAGE(B69:B76)</f>
        <v>366623</v>
      </c>
      <c r="C77" s="4">
        <f t="shared" ref="C77:G77" si="13">AVERAGE(C69:C76)</f>
        <v>412314</v>
      </c>
      <c r="D77" s="4">
        <f t="shared" si="13"/>
        <v>404973</v>
      </c>
      <c r="E77" s="4">
        <f t="shared" si="13"/>
        <v>380629.83333333331</v>
      </c>
      <c r="F77" s="11">
        <f t="shared" si="13"/>
        <v>179.58349999999999</v>
      </c>
      <c r="G77" s="11">
        <f t="shared" si="13"/>
        <v>520.11800249999999</v>
      </c>
      <c r="H77" s="11" t="s">
        <v>176</v>
      </c>
      <c r="I77" s="1">
        <f>6*3600+2*60+19</f>
        <v>21739</v>
      </c>
      <c r="K77" s="1">
        <v>380633</v>
      </c>
      <c r="L77" s="11">
        <v>180.4</v>
      </c>
      <c r="M77" s="11">
        <v>377.77</v>
      </c>
      <c r="N77" s="11"/>
      <c r="O77" s="1" t="s">
        <v>159</v>
      </c>
      <c r="P77" s="1">
        <f>5*3600+42*60+17</f>
        <v>20537</v>
      </c>
    </row>
    <row r="78" spans="1:17">
      <c r="K78" s="18">
        <f>K77-E77</f>
        <v>3.1666666666860692</v>
      </c>
      <c r="L78" s="6">
        <f>L77-F77</f>
        <v>0.8165000000000191</v>
      </c>
      <c r="M78" s="18">
        <f>M77-G77</f>
        <v>-142.34800250000001</v>
      </c>
      <c r="N78" s="18">
        <f>(G77-M77)/G77</f>
        <v>0.27368405211084768</v>
      </c>
      <c r="P78" s="18">
        <f>P77-I77</f>
        <v>-1202</v>
      </c>
      <c r="Q78" s="19">
        <f>(I77-P77)/I77</f>
        <v>5.5292331753990523E-2</v>
      </c>
    </row>
    <row r="79" spans="1:17">
      <c r="A79" s="1" t="s">
        <v>52</v>
      </c>
    </row>
    <row r="80" spans="1:17">
      <c r="A80" s="1" t="s">
        <v>4</v>
      </c>
      <c r="B80" s="4">
        <v>355100</v>
      </c>
      <c r="C80" s="4">
        <v>393441</v>
      </c>
      <c r="D80" s="4">
        <v>391169</v>
      </c>
      <c r="E80" s="4">
        <f>(B80*4+C80+D80)/6</f>
        <v>367501.66666666669</v>
      </c>
      <c r="F80" s="11">
        <v>117.244</v>
      </c>
      <c r="G80" s="11">
        <v>245.71879999999999</v>
      </c>
    </row>
    <row r="81" spans="1:17">
      <c r="A81" s="1" t="s">
        <v>5</v>
      </c>
      <c r="B81" s="4">
        <v>351530</v>
      </c>
      <c r="C81" s="4">
        <v>399318</v>
      </c>
      <c r="D81" s="4">
        <v>392261</v>
      </c>
      <c r="E81" s="4">
        <f t="shared" ref="E81:E87" si="14">(B81*4+C81+D81)/6</f>
        <v>366283.16666666669</v>
      </c>
      <c r="F81" s="11">
        <v>78.123999999999995</v>
      </c>
      <c r="G81" s="11">
        <v>680.60554999999999</v>
      </c>
    </row>
    <row r="82" spans="1:17">
      <c r="A82" s="1" t="s">
        <v>6</v>
      </c>
      <c r="B82" s="4">
        <v>352276</v>
      </c>
      <c r="C82" s="4">
        <v>401521</v>
      </c>
      <c r="D82" s="4">
        <v>392207</v>
      </c>
      <c r="E82" s="4">
        <f t="shared" si="14"/>
        <v>367138.66666666669</v>
      </c>
      <c r="F82" s="11">
        <v>98.843999999999994</v>
      </c>
      <c r="G82" s="11">
        <v>274.99818699999997</v>
      </c>
    </row>
    <row r="83" spans="1:17">
      <c r="A83" s="1" t="s">
        <v>10</v>
      </c>
      <c r="B83" s="4">
        <v>350397</v>
      </c>
      <c r="C83" s="4">
        <v>404125</v>
      </c>
      <c r="D83" s="4">
        <v>399978</v>
      </c>
      <c r="E83" s="4">
        <f t="shared" si="14"/>
        <v>367615.16666666669</v>
      </c>
      <c r="F83" s="11">
        <v>91.817999999999998</v>
      </c>
      <c r="G83" s="11">
        <v>705.40750600000001</v>
      </c>
    </row>
    <row r="84" spans="1:17">
      <c r="A84" s="1" t="s">
        <v>11</v>
      </c>
      <c r="B84" s="4">
        <v>346793</v>
      </c>
      <c r="C84" s="4">
        <v>401518</v>
      </c>
      <c r="D84" s="4">
        <v>391233</v>
      </c>
      <c r="E84" s="4">
        <f t="shared" si="14"/>
        <v>363320.5</v>
      </c>
      <c r="F84" s="11">
        <v>121.41200000000001</v>
      </c>
      <c r="G84" s="11">
        <v>310.30910699999998</v>
      </c>
    </row>
    <row r="85" spans="1:17">
      <c r="A85" s="1" t="s">
        <v>12</v>
      </c>
      <c r="B85" s="4">
        <v>348001</v>
      </c>
      <c r="C85" s="4">
        <v>402044</v>
      </c>
      <c r="D85" s="4">
        <v>397033</v>
      </c>
      <c r="E85" s="4">
        <f t="shared" si="14"/>
        <v>365180.16666666669</v>
      </c>
      <c r="F85" s="11">
        <v>110.12</v>
      </c>
      <c r="G85" s="11">
        <v>761.179483</v>
      </c>
      <c r="K85" s="1">
        <v>364263</v>
      </c>
      <c r="L85" s="1">
        <v>115.39</v>
      </c>
      <c r="M85" s="1">
        <v>307.14999999999998</v>
      </c>
      <c r="O85" s="1" t="s">
        <v>137</v>
      </c>
      <c r="P85" s="1">
        <f>5*3600+25*60+29</f>
        <v>19529</v>
      </c>
    </row>
    <row r="86" spans="1:17">
      <c r="A86" s="1" t="s">
        <v>13</v>
      </c>
      <c r="B86" s="4">
        <v>341597</v>
      </c>
      <c r="C86" s="4">
        <v>393341</v>
      </c>
      <c r="D86" s="4">
        <v>385581</v>
      </c>
      <c r="E86" s="4">
        <f t="shared" si="14"/>
        <v>357551.66666666669</v>
      </c>
      <c r="F86" s="11">
        <v>156.92400000000001</v>
      </c>
      <c r="G86" s="11">
        <v>346.29488300000003</v>
      </c>
      <c r="K86" s="6">
        <f>K85-E88</f>
        <v>-112.66666666668607</v>
      </c>
      <c r="L86" s="6">
        <f>L85-F88</f>
        <v>0.30150000000000432</v>
      </c>
      <c r="M86" s="18">
        <f>M85-G88</f>
        <v>-156.179162125</v>
      </c>
      <c r="N86" s="18">
        <f>(G88-M85)/G88</f>
        <v>0.33708036292968102</v>
      </c>
      <c r="P86" s="18">
        <f>P85-I88</f>
        <v>-1330</v>
      </c>
      <c r="Q86" s="19">
        <f>(I88-P85)/I88</f>
        <v>6.376144589865286E-2</v>
      </c>
    </row>
    <row r="87" spans="1:17">
      <c r="A87" s="1" t="s">
        <v>14</v>
      </c>
      <c r="B87" s="4">
        <v>340895</v>
      </c>
      <c r="C87" s="4">
        <v>403645</v>
      </c>
      <c r="D87" s="4">
        <v>395261</v>
      </c>
      <c r="E87" s="4">
        <f t="shared" si="14"/>
        <v>360414.33333333331</v>
      </c>
      <c r="F87" s="11">
        <v>146.22200000000001</v>
      </c>
      <c r="G87" s="11">
        <v>382.11978099999999</v>
      </c>
    </row>
    <row r="88" spans="1:17">
      <c r="A88" s="1" t="s">
        <v>7</v>
      </c>
      <c r="B88" s="4">
        <f>AVERAGE(B80:B87)</f>
        <v>348323.625</v>
      </c>
      <c r="C88" s="4">
        <f t="shared" ref="C88:G88" si="15">AVERAGE(C80:C87)</f>
        <v>399869.125</v>
      </c>
      <c r="D88" s="4">
        <f t="shared" si="15"/>
        <v>393090.375</v>
      </c>
      <c r="E88" s="4">
        <f t="shared" si="15"/>
        <v>364375.66666666669</v>
      </c>
      <c r="F88" s="11">
        <f t="shared" si="15"/>
        <v>115.0885</v>
      </c>
      <c r="G88" s="11">
        <f t="shared" si="15"/>
        <v>463.32916212499998</v>
      </c>
      <c r="H88" s="11" t="s">
        <v>177</v>
      </c>
      <c r="I88" s="1">
        <f>5*3600+47*60+39</f>
        <v>20859</v>
      </c>
      <c r="K88" s="1">
        <v>364256</v>
      </c>
      <c r="L88" s="11">
        <v>115.63</v>
      </c>
      <c r="M88" s="11">
        <v>307.12</v>
      </c>
      <c r="N88" s="11"/>
      <c r="O88" s="1" t="s">
        <v>160</v>
      </c>
      <c r="P88" s="1">
        <f>5*3600+25*60+21</f>
        <v>19521</v>
      </c>
    </row>
    <row r="89" spans="1:17">
      <c r="K89" s="6">
        <f>K88-E88</f>
        <v>-119.66666666668607</v>
      </c>
      <c r="L89" s="6">
        <f>L88-F88</f>
        <v>0.5414999999999992</v>
      </c>
      <c r="M89" s="18">
        <f>M88-G88</f>
        <v>-156.20916212499998</v>
      </c>
      <c r="N89" s="18">
        <f>(G88-M88)/G88</f>
        <v>0.33714511171402772</v>
      </c>
      <c r="P89" s="18">
        <f>P88-I88</f>
        <v>-1338</v>
      </c>
      <c r="Q89" s="19">
        <f>(I88-P88)/I88</f>
        <v>6.4144973392780094E-2</v>
      </c>
    </row>
    <row r="90" spans="1:17">
      <c r="A90" s="1" t="s">
        <v>62</v>
      </c>
    </row>
    <row r="91" spans="1:17">
      <c r="A91" s="1" t="s">
        <v>4</v>
      </c>
      <c r="B91" s="4">
        <v>378982</v>
      </c>
      <c r="C91" s="4">
        <v>418612</v>
      </c>
      <c r="D91" s="4">
        <v>413395</v>
      </c>
      <c r="E91" s="4">
        <f>(B91*4+C91+D91)/6</f>
        <v>391322.5</v>
      </c>
      <c r="F91" s="11">
        <v>744.71799999999996</v>
      </c>
      <c r="G91" s="11">
        <v>239.607778</v>
      </c>
    </row>
    <row r="92" spans="1:17">
      <c r="A92" s="1" t="s">
        <v>5</v>
      </c>
      <c r="B92" s="4">
        <v>377742</v>
      </c>
      <c r="C92" s="4">
        <v>418745</v>
      </c>
      <c r="D92" s="4">
        <v>412257</v>
      </c>
      <c r="E92" s="4">
        <f t="shared" ref="E92:E98" si="16">(B92*4+C92+D92)/6</f>
        <v>390328.33333333331</v>
      </c>
      <c r="F92" s="11">
        <v>651.54999999999995</v>
      </c>
      <c r="G92" s="11">
        <v>783.06797900000004</v>
      </c>
    </row>
    <row r="93" spans="1:17">
      <c r="A93" s="1" t="s">
        <v>6</v>
      </c>
      <c r="B93" s="4">
        <v>381662</v>
      </c>
      <c r="C93" s="4">
        <v>423986</v>
      </c>
      <c r="D93" s="4">
        <v>415954</v>
      </c>
      <c r="E93" s="4">
        <f t="shared" si="16"/>
        <v>394431.33333333331</v>
      </c>
      <c r="F93" s="11">
        <v>651.38199999999995</v>
      </c>
      <c r="G93" s="11">
        <v>262.56993</v>
      </c>
    </row>
    <row r="94" spans="1:17">
      <c r="A94" s="1" t="s">
        <v>10</v>
      </c>
      <c r="B94" s="4">
        <v>381524</v>
      </c>
      <c r="C94" s="4">
        <v>421156</v>
      </c>
      <c r="D94" s="4">
        <v>419968</v>
      </c>
      <c r="E94" s="4">
        <f t="shared" si="16"/>
        <v>394536.66666666669</v>
      </c>
      <c r="F94" s="11">
        <v>576.61800000000005</v>
      </c>
      <c r="G94" s="11">
        <v>747.54274199999998</v>
      </c>
    </row>
    <row r="95" spans="1:17">
      <c r="A95" s="1" t="s">
        <v>11</v>
      </c>
      <c r="B95" s="4">
        <v>381157</v>
      </c>
      <c r="C95" s="4">
        <v>419841</v>
      </c>
      <c r="D95" s="4">
        <v>415862</v>
      </c>
      <c r="E95" s="4">
        <f t="shared" si="16"/>
        <v>393388.5</v>
      </c>
      <c r="F95" s="11">
        <v>687.01</v>
      </c>
      <c r="G95" s="11">
        <v>263.71778999999998</v>
      </c>
    </row>
    <row r="96" spans="1:17">
      <c r="A96" s="1" t="s">
        <v>12</v>
      </c>
      <c r="B96" s="4">
        <v>390370</v>
      </c>
      <c r="C96" s="4">
        <v>430807</v>
      </c>
      <c r="D96" s="4">
        <v>426142</v>
      </c>
      <c r="E96" s="4">
        <f t="shared" si="16"/>
        <v>403071.5</v>
      </c>
      <c r="F96" s="11">
        <v>492.50200000000001</v>
      </c>
      <c r="G96" s="11">
        <v>816.48076100000003</v>
      </c>
      <c r="K96" s="1">
        <v>393410</v>
      </c>
      <c r="L96" s="1">
        <v>667.14</v>
      </c>
      <c r="M96" s="1">
        <v>315.27</v>
      </c>
      <c r="O96" s="1" t="s">
        <v>138</v>
      </c>
      <c r="P96" s="1">
        <f>5*3600+57*60+12</f>
        <v>21432</v>
      </c>
    </row>
    <row r="97" spans="1:17">
      <c r="A97" s="1" t="s">
        <v>13</v>
      </c>
      <c r="B97" s="4">
        <v>374100</v>
      </c>
      <c r="C97" s="4">
        <v>416685</v>
      </c>
      <c r="D97" s="4">
        <v>409234</v>
      </c>
      <c r="E97" s="4">
        <f t="shared" si="16"/>
        <v>387053.16666666669</v>
      </c>
      <c r="F97" s="11">
        <v>822.68399999999997</v>
      </c>
      <c r="G97" s="11">
        <v>271.19388900000001</v>
      </c>
      <c r="K97" s="6">
        <f>K96-E99</f>
        <v>-16.708333333255723</v>
      </c>
      <c r="L97" s="18">
        <f>L96-F99</f>
        <v>-0.75200000000006639</v>
      </c>
      <c r="M97" s="18">
        <f>M96-G99</f>
        <v>-145.47003825000013</v>
      </c>
      <c r="N97" s="18">
        <f>(G99-M96)/G99</f>
        <v>0.31573127180900062</v>
      </c>
      <c r="P97" s="18">
        <f>P96-I99</f>
        <v>-1175</v>
      </c>
      <c r="Q97" s="19">
        <f>(I99-P96)/I99</f>
        <v>5.1975051975051978E-2</v>
      </c>
    </row>
    <row r="98" spans="1:17">
      <c r="A98" s="1" t="s">
        <v>14</v>
      </c>
      <c r="B98" s="4">
        <v>381532</v>
      </c>
      <c r="C98" s="4">
        <v>419134</v>
      </c>
      <c r="D98" s="4">
        <v>414428</v>
      </c>
      <c r="E98" s="4">
        <f t="shared" si="16"/>
        <v>393281.66666666669</v>
      </c>
      <c r="F98" s="11">
        <v>716.67200000000003</v>
      </c>
      <c r="G98" s="11">
        <v>301.73943700000001</v>
      </c>
    </row>
    <row r="99" spans="1:17">
      <c r="A99" s="1" t="s">
        <v>7</v>
      </c>
      <c r="B99" s="4">
        <f>AVERAGE(B91:B98)</f>
        <v>380883.625</v>
      </c>
      <c r="C99" s="4">
        <f t="shared" ref="C99:G99" si="17">AVERAGE(C91:C98)</f>
        <v>421120.75</v>
      </c>
      <c r="D99" s="4">
        <f t="shared" si="17"/>
        <v>415905</v>
      </c>
      <c r="E99" s="4">
        <f t="shared" si="17"/>
        <v>393426.70833333326</v>
      </c>
      <c r="F99" s="11">
        <f t="shared" si="17"/>
        <v>667.89200000000005</v>
      </c>
      <c r="G99" s="11">
        <f t="shared" si="17"/>
        <v>460.74003825000011</v>
      </c>
      <c r="H99" s="11" t="s">
        <v>178</v>
      </c>
      <c r="I99" s="1">
        <f>6*3600+16*60+47</f>
        <v>22607</v>
      </c>
      <c r="K99" s="1">
        <v>393407</v>
      </c>
      <c r="L99" s="11">
        <v>667.07</v>
      </c>
      <c r="M99" s="11">
        <v>311.95</v>
      </c>
      <c r="N99" s="11"/>
      <c r="O99" s="1" t="s">
        <v>161</v>
      </c>
      <c r="P99" s="1">
        <f>5*3600+56*60+34</f>
        <v>21394</v>
      </c>
    </row>
    <row r="100" spans="1:17">
      <c r="K100" s="6">
        <f>K99-E99</f>
        <v>-19.708333333255723</v>
      </c>
      <c r="L100" s="18">
        <f>L99-F99</f>
        <v>-0.82200000000000273</v>
      </c>
      <c r="M100" s="18">
        <f>M99-G99</f>
        <v>-148.79003825000012</v>
      </c>
      <c r="N100" s="18">
        <f>(G99-M99)/G99</f>
        <v>0.32293707057702203</v>
      </c>
      <c r="P100" s="18">
        <f>P99-I99</f>
        <v>-1213</v>
      </c>
      <c r="Q100" s="19">
        <f>(I99-P99)/I99</f>
        <v>5.3655947272968553E-2</v>
      </c>
    </row>
    <row r="101" spans="1:17">
      <c r="A101" s="1" t="s">
        <v>63</v>
      </c>
    </row>
    <row r="102" spans="1:17">
      <c r="A102" s="1" t="s">
        <v>4</v>
      </c>
      <c r="B102" s="4">
        <v>365248</v>
      </c>
      <c r="C102" s="4">
        <v>407675</v>
      </c>
      <c r="D102" s="4">
        <v>401029</v>
      </c>
      <c r="E102" s="4">
        <f>(B102*4+C102+D102)/6</f>
        <v>378282.66666666669</v>
      </c>
      <c r="F102" s="11">
        <v>366.28199999999998</v>
      </c>
      <c r="G102" s="11">
        <v>230.87526399999999</v>
      </c>
    </row>
    <row r="103" spans="1:17">
      <c r="A103" s="1" t="s">
        <v>5</v>
      </c>
      <c r="B103" s="4">
        <v>364435</v>
      </c>
      <c r="C103" s="4">
        <v>409435</v>
      </c>
      <c r="D103" s="4">
        <v>400621</v>
      </c>
      <c r="E103" s="4">
        <f t="shared" ref="E103:E109" si="18">(B103*4+C103+D103)/6</f>
        <v>377966</v>
      </c>
      <c r="F103" s="11">
        <v>267.87799999999999</v>
      </c>
      <c r="G103" s="11">
        <v>670.30150100000003</v>
      </c>
    </row>
    <row r="104" spans="1:17">
      <c r="A104" s="1" t="s">
        <v>6</v>
      </c>
      <c r="B104" s="4">
        <v>368209</v>
      </c>
      <c r="C104" s="4">
        <v>414883</v>
      </c>
      <c r="D104" s="4">
        <v>403315</v>
      </c>
      <c r="E104" s="4">
        <f t="shared" si="18"/>
        <v>381839</v>
      </c>
      <c r="F104" s="11">
        <v>284.226</v>
      </c>
      <c r="G104" s="11">
        <v>247.61158800000001</v>
      </c>
    </row>
    <row r="105" spans="1:17">
      <c r="A105" s="1" t="s">
        <v>10</v>
      </c>
      <c r="B105" s="4">
        <v>367873</v>
      </c>
      <c r="C105" s="4">
        <v>411216</v>
      </c>
      <c r="D105" s="4">
        <v>409475</v>
      </c>
      <c r="E105" s="4">
        <f t="shared" si="18"/>
        <v>382030.5</v>
      </c>
      <c r="F105" s="11">
        <v>234.02199999999999</v>
      </c>
      <c r="G105" s="11">
        <v>649.64456900000005</v>
      </c>
    </row>
    <row r="106" spans="1:17">
      <c r="A106" s="1" t="s">
        <v>11</v>
      </c>
      <c r="B106" s="4">
        <v>366661</v>
      </c>
      <c r="C106" s="4">
        <v>408819</v>
      </c>
      <c r="D106" s="4">
        <v>402516</v>
      </c>
      <c r="E106" s="4">
        <f t="shared" si="18"/>
        <v>379663.16666666669</v>
      </c>
      <c r="F106" s="11">
        <v>317.10000000000002</v>
      </c>
      <c r="G106" s="11">
        <v>249.82656900000001</v>
      </c>
    </row>
    <row r="107" spans="1:17">
      <c r="A107" s="1" t="s">
        <v>12</v>
      </c>
      <c r="B107" s="4">
        <v>376860</v>
      </c>
      <c r="C107" s="4">
        <v>421523</v>
      </c>
      <c r="D107" s="4">
        <v>415757</v>
      </c>
      <c r="E107" s="4">
        <f t="shared" si="18"/>
        <v>390786.66666666669</v>
      </c>
      <c r="F107" s="11">
        <v>225.76</v>
      </c>
      <c r="G107" s="11">
        <v>703.37862500000006</v>
      </c>
      <c r="K107" s="1">
        <v>380720</v>
      </c>
      <c r="L107" s="1">
        <v>299.97000000000003</v>
      </c>
      <c r="M107" s="1">
        <v>267.27999999999997</v>
      </c>
      <c r="O107" s="1" t="s">
        <v>139</v>
      </c>
      <c r="P107" s="1">
        <f>5*3600+35*60+20</f>
        <v>20120</v>
      </c>
    </row>
    <row r="108" spans="1:17">
      <c r="A108" s="1" t="s">
        <v>13</v>
      </c>
      <c r="B108" s="4">
        <v>361204</v>
      </c>
      <c r="C108" s="4">
        <v>408267</v>
      </c>
      <c r="D108" s="4">
        <v>398321</v>
      </c>
      <c r="E108" s="4">
        <f t="shared" si="18"/>
        <v>375234</v>
      </c>
      <c r="F108" s="11">
        <v>351.85</v>
      </c>
      <c r="G108" s="11">
        <v>254.39251400000001</v>
      </c>
      <c r="K108" s="6">
        <f>K107-E110</f>
        <v>-10.020833333313931</v>
      </c>
      <c r="L108" s="6">
        <f>L107-F110</f>
        <v>0.35375000000004775</v>
      </c>
      <c r="M108" s="18">
        <f>M107-G110</f>
        <v>-143.77534362500006</v>
      </c>
      <c r="N108" s="18">
        <f>(G110-M107)/G110</f>
        <v>0.34977125551289334</v>
      </c>
      <c r="P108" s="18">
        <f>P107-I110</f>
        <v>-1146</v>
      </c>
      <c r="Q108" s="19">
        <f>(I110-P107)/I110</f>
        <v>5.3888836640647045E-2</v>
      </c>
    </row>
    <row r="109" spans="1:17">
      <c r="A109" s="1" t="s">
        <v>14</v>
      </c>
      <c r="B109" s="4">
        <v>367275</v>
      </c>
      <c r="C109" s="4">
        <v>408540</v>
      </c>
      <c r="D109" s="4">
        <v>402589</v>
      </c>
      <c r="E109" s="4">
        <f t="shared" si="18"/>
        <v>380038.16666666669</v>
      </c>
      <c r="F109" s="11">
        <v>349.81200000000001</v>
      </c>
      <c r="G109" s="11">
        <v>282.41211900000002</v>
      </c>
    </row>
    <row r="110" spans="1:17">
      <c r="A110" s="1" t="s">
        <v>7</v>
      </c>
      <c r="B110" s="4">
        <f>AVERAGE(B102:B109)</f>
        <v>367220.625</v>
      </c>
      <c r="C110" s="4">
        <f t="shared" ref="C110:G110" si="19">AVERAGE(C102:C109)</f>
        <v>411294.75</v>
      </c>
      <c r="D110" s="4">
        <f t="shared" si="19"/>
        <v>404202.875</v>
      </c>
      <c r="E110" s="4">
        <f t="shared" si="19"/>
        <v>380730.02083333331</v>
      </c>
      <c r="F110" s="11">
        <f t="shared" si="19"/>
        <v>299.61624999999998</v>
      </c>
      <c r="G110" s="11">
        <f t="shared" si="19"/>
        <v>411.05534362500003</v>
      </c>
      <c r="H110" s="11" t="s">
        <v>179</v>
      </c>
      <c r="I110" s="1">
        <f>5*3600+54*60+26</f>
        <v>21266</v>
      </c>
      <c r="K110" s="1">
        <v>380713</v>
      </c>
      <c r="L110" s="11">
        <v>299.76</v>
      </c>
      <c r="M110" s="11">
        <v>265.68</v>
      </c>
      <c r="N110" s="11"/>
      <c r="O110" s="1" t="s">
        <v>162</v>
      </c>
      <c r="P110" s="1">
        <f>5*3600+35*60+43</f>
        <v>20143</v>
      </c>
    </row>
    <row r="111" spans="1:17">
      <c r="K111" s="6">
        <f>K110-E110</f>
        <v>-17.020833333313931</v>
      </c>
      <c r="L111" s="6">
        <f>L110-F110</f>
        <v>0.14375000000001137</v>
      </c>
      <c r="M111" s="18">
        <f>M110-G110</f>
        <v>-145.37534362500003</v>
      </c>
      <c r="N111" s="18">
        <f>(G110-M110)/G110</f>
        <v>0.35366367541404325</v>
      </c>
      <c r="P111" s="18">
        <f>P110-I110</f>
        <v>-1123</v>
      </c>
      <c r="Q111" s="19">
        <f>(I110-P110)/I110</f>
        <v>5.2807298034421142E-2</v>
      </c>
    </row>
    <row r="112" spans="1:17">
      <c r="A112" s="1" t="s">
        <v>64</v>
      </c>
    </row>
    <row r="113" spans="1:17">
      <c r="A113" s="1" t="s">
        <v>4</v>
      </c>
      <c r="B113" s="4">
        <v>350742</v>
      </c>
      <c r="C113" s="4">
        <v>399973</v>
      </c>
      <c r="D113" s="4">
        <v>392478</v>
      </c>
      <c r="E113" s="4">
        <f>(B113*4+C113+D113)/6</f>
        <v>365903.16666666669</v>
      </c>
      <c r="F113" s="11">
        <v>197.53</v>
      </c>
      <c r="G113" s="11">
        <v>224.255561</v>
      </c>
    </row>
    <row r="114" spans="1:17">
      <c r="A114" s="1" t="s">
        <v>5</v>
      </c>
      <c r="B114" s="4">
        <v>348399</v>
      </c>
      <c r="C114" s="4">
        <v>402567</v>
      </c>
      <c r="D114" s="4">
        <v>391633</v>
      </c>
      <c r="E114" s="4">
        <f t="shared" ref="E114:E120" si="20">(B114*4+C114+D114)/6</f>
        <v>364632.66666666669</v>
      </c>
      <c r="F114" s="11">
        <v>120.916</v>
      </c>
      <c r="G114" s="11">
        <v>588.70217200000002</v>
      </c>
    </row>
    <row r="115" spans="1:17">
      <c r="A115" s="1" t="s">
        <v>6</v>
      </c>
      <c r="B115" s="4">
        <v>352395</v>
      </c>
      <c r="C115" s="4">
        <v>407731</v>
      </c>
      <c r="D115" s="4">
        <v>393046</v>
      </c>
      <c r="E115" s="4">
        <f t="shared" si="20"/>
        <v>368392.83333333331</v>
      </c>
      <c r="F115" s="11">
        <v>138.89400000000001</v>
      </c>
      <c r="G115" s="11">
        <v>236.470179</v>
      </c>
    </row>
    <row r="116" spans="1:17">
      <c r="A116" s="1" t="s">
        <v>10</v>
      </c>
      <c r="B116" s="4">
        <v>352143</v>
      </c>
      <c r="C116" s="4">
        <v>404669</v>
      </c>
      <c r="D116" s="4">
        <v>402281</v>
      </c>
      <c r="E116" s="4">
        <f t="shared" si="20"/>
        <v>369253.66666666669</v>
      </c>
      <c r="F116" s="11">
        <v>108.67</v>
      </c>
      <c r="G116" s="11">
        <v>578.08825100000001</v>
      </c>
    </row>
    <row r="117" spans="1:17">
      <c r="A117" s="1" t="s">
        <v>11</v>
      </c>
      <c r="B117" s="4">
        <v>349989</v>
      </c>
      <c r="C117" s="4">
        <v>401212</v>
      </c>
      <c r="D117" s="4">
        <v>391303</v>
      </c>
      <c r="E117" s="4">
        <f t="shared" si="20"/>
        <v>365411.83333333331</v>
      </c>
      <c r="F117" s="11">
        <v>156.03200000000001</v>
      </c>
      <c r="G117" s="11">
        <v>238.75530699999999</v>
      </c>
    </row>
    <row r="118" spans="1:17">
      <c r="A118" s="1" t="s">
        <v>12</v>
      </c>
      <c r="B118" s="4">
        <v>360065</v>
      </c>
      <c r="C118" s="4">
        <v>414236</v>
      </c>
      <c r="D118" s="4">
        <v>408190</v>
      </c>
      <c r="E118" s="4">
        <f t="shared" si="20"/>
        <v>377114.33333333331</v>
      </c>
      <c r="F118" s="11">
        <v>114.64400000000001</v>
      </c>
      <c r="G118" s="11">
        <v>616.58015599999999</v>
      </c>
      <c r="K118" s="1">
        <v>367543</v>
      </c>
      <c r="L118" s="1">
        <v>149.22</v>
      </c>
      <c r="M118" s="1">
        <v>230.01</v>
      </c>
      <c r="O118" t="s">
        <v>195</v>
      </c>
      <c r="P118" s="1">
        <f>5*3600+21*60+40</f>
        <v>19300</v>
      </c>
    </row>
    <row r="119" spans="1:17">
      <c r="A119" s="1" t="s">
        <v>13</v>
      </c>
      <c r="B119" s="4">
        <v>346706</v>
      </c>
      <c r="C119" s="4">
        <v>402056</v>
      </c>
      <c r="D119" s="4">
        <v>389840</v>
      </c>
      <c r="E119" s="4">
        <f t="shared" si="20"/>
        <v>363120</v>
      </c>
      <c r="F119" s="11">
        <v>172.994</v>
      </c>
      <c r="G119" s="11">
        <v>242.514859</v>
      </c>
      <c r="K119" s="18">
        <f>K118-E121</f>
        <v>25.916666666686069</v>
      </c>
      <c r="L119" s="6">
        <f>L118-F121</f>
        <v>0.50100000000000477</v>
      </c>
      <c r="M119" s="18">
        <f>M118-G121</f>
        <v>-143.84667324999998</v>
      </c>
      <c r="N119" s="18">
        <f>(G121-M118)/G121</f>
        <v>0.3847642252832249</v>
      </c>
      <c r="P119" s="18">
        <f>P118-I121</f>
        <v>-1166</v>
      </c>
      <c r="Q119" s="19">
        <f>(I121-P118)/I121</f>
        <v>5.6972539822144043E-2</v>
      </c>
    </row>
    <row r="120" spans="1:17">
      <c r="A120" s="1" t="s">
        <v>14</v>
      </c>
      <c r="B120" s="4">
        <v>350352</v>
      </c>
      <c r="C120" s="4">
        <v>401386</v>
      </c>
      <c r="D120" s="4">
        <v>395055</v>
      </c>
      <c r="E120" s="4">
        <f t="shared" si="20"/>
        <v>366308.16666666669</v>
      </c>
      <c r="F120" s="11">
        <v>180.072</v>
      </c>
      <c r="G120" s="11">
        <v>265.48690099999999</v>
      </c>
    </row>
    <row r="121" spans="1:17">
      <c r="A121" s="1" t="s">
        <v>7</v>
      </c>
      <c r="B121" s="4">
        <f>AVERAGE(B113:B120)</f>
        <v>351348.875</v>
      </c>
      <c r="C121" s="4">
        <f t="shared" ref="C121:G121" si="21">AVERAGE(C113:C120)</f>
        <v>404228.75</v>
      </c>
      <c r="D121" s="4">
        <f t="shared" si="21"/>
        <v>395478.25</v>
      </c>
      <c r="E121" s="4">
        <f t="shared" si="21"/>
        <v>367517.08333333331</v>
      </c>
      <c r="F121" s="11">
        <f t="shared" si="21"/>
        <v>148.71899999999999</v>
      </c>
      <c r="G121" s="11">
        <f t="shared" si="21"/>
        <v>373.85667324999997</v>
      </c>
      <c r="H121" s="11" t="s">
        <v>180</v>
      </c>
      <c r="I121" s="1">
        <f>5*3600+41*60+6</f>
        <v>20466</v>
      </c>
      <c r="K121" s="1">
        <v>367514</v>
      </c>
      <c r="L121" s="11">
        <v>149.03</v>
      </c>
      <c r="M121" s="11">
        <v>229.11</v>
      </c>
      <c r="N121" s="11"/>
      <c r="O121" s="1" t="s">
        <v>163</v>
      </c>
      <c r="P121" s="1">
        <f>5*3600+21*60+28</f>
        <v>19288</v>
      </c>
    </row>
    <row r="122" spans="1:17">
      <c r="K122" s="6">
        <f>K121-E121</f>
        <v>-3.0833333333139308</v>
      </c>
      <c r="L122" s="6">
        <f>L121-F121</f>
        <v>0.31100000000000705</v>
      </c>
      <c r="M122" s="18">
        <f>M121-G121</f>
        <v>-144.74667324999996</v>
      </c>
      <c r="N122" s="18">
        <f>(G121-M121)/G121</f>
        <v>0.38717156495213095</v>
      </c>
      <c r="P122" s="18">
        <f>P121-I121</f>
        <v>-1178</v>
      </c>
      <c r="Q122" s="19">
        <f>(I121-P121)/I121</f>
        <v>5.7558878139353072E-2</v>
      </c>
    </row>
    <row r="123" spans="1:17">
      <c r="A123" s="1" t="s">
        <v>65</v>
      </c>
    </row>
    <row r="124" spans="1:17">
      <c r="A124" s="1" t="s">
        <v>4</v>
      </c>
      <c r="B124" s="4">
        <v>335991</v>
      </c>
      <c r="C124" s="4">
        <v>391599</v>
      </c>
      <c r="D124" s="4">
        <v>383073</v>
      </c>
      <c r="E124" s="4">
        <f>(B124*4+C124+D124)/6</f>
        <v>353106</v>
      </c>
      <c r="F124" s="11">
        <v>116.13800000000001</v>
      </c>
      <c r="G124" s="11">
        <v>217.60796999999999</v>
      </c>
    </row>
    <row r="125" spans="1:17">
      <c r="A125" s="1" t="s">
        <v>5</v>
      </c>
      <c r="B125" s="4">
        <v>330723</v>
      </c>
      <c r="C125" s="4">
        <v>395168</v>
      </c>
      <c r="D125" s="4">
        <v>382042</v>
      </c>
      <c r="E125" s="4">
        <f t="shared" ref="E125:E131" si="22">(B125*4+C125+D125)/6</f>
        <v>350017</v>
      </c>
      <c r="F125" s="11">
        <v>59.323999999999998</v>
      </c>
      <c r="G125" s="11">
        <v>521.15991699999995</v>
      </c>
    </row>
    <row r="126" spans="1:17">
      <c r="A126" s="1" t="s">
        <v>6</v>
      </c>
      <c r="B126" s="4">
        <v>335094</v>
      </c>
      <c r="C126" s="4">
        <v>399473</v>
      </c>
      <c r="D126" s="4">
        <v>382351</v>
      </c>
      <c r="E126" s="4">
        <f t="shared" si="22"/>
        <v>353700</v>
      </c>
      <c r="F126" s="11">
        <v>71.522000000000006</v>
      </c>
      <c r="G126" s="11">
        <v>225.845009</v>
      </c>
    </row>
    <row r="127" spans="1:17">
      <c r="A127" s="1" t="s">
        <v>10</v>
      </c>
      <c r="B127" s="4">
        <v>334952</v>
      </c>
      <c r="C127" s="4">
        <v>397594</v>
      </c>
      <c r="D127" s="4">
        <v>393858</v>
      </c>
      <c r="E127" s="4">
        <f t="shared" si="22"/>
        <v>355210</v>
      </c>
      <c r="F127" s="11">
        <v>54.436</v>
      </c>
      <c r="G127" s="11">
        <v>513.994281</v>
      </c>
    </row>
    <row r="128" spans="1:17">
      <c r="A128" s="1" t="s">
        <v>11</v>
      </c>
      <c r="B128" s="4">
        <v>332185</v>
      </c>
      <c r="C128" s="4">
        <v>393757</v>
      </c>
      <c r="D128" s="4">
        <v>378413</v>
      </c>
      <c r="E128" s="4">
        <f t="shared" si="22"/>
        <v>350151.66666666669</v>
      </c>
      <c r="F128" s="11">
        <v>80.697999999999993</v>
      </c>
      <c r="G128" s="11">
        <v>227.592837</v>
      </c>
    </row>
    <row r="129" spans="1:17">
      <c r="A129" s="1" t="s">
        <v>12</v>
      </c>
      <c r="B129" s="4">
        <v>340327</v>
      </c>
      <c r="C129" s="4">
        <v>406830</v>
      </c>
      <c r="D129" s="4">
        <v>397790</v>
      </c>
      <c r="E129" s="4">
        <f t="shared" si="22"/>
        <v>360988</v>
      </c>
      <c r="F129" s="11">
        <v>61.835999999999999</v>
      </c>
      <c r="G129" s="11">
        <v>537.97644300000002</v>
      </c>
      <c r="K129" s="1">
        <v>352913</v>
      </c>
      <c r="L129" s="1">
        <v>78.819999999999993</v>
      </c>
      <c r="M129" s="1">
        <v>196.52</v>
      </c>
      <c r="O129" s="1" t="s">
        <v>140</v>
      </c>
      <c r="P129" s="1">
        <f>5*3600+10*60+43</f>
        <v>18643</v>
      </c>
    </row>
    <row r="130" spans="1:17">
      <c r="A130" s="1" t="s">
        <v>13</v>
      </c>
      <c r="B130" s="4">
        <v>329788</v>
      </c>
      <c r="C130" s="4">
        <v>394769</v>
      </c>
      <c r="D130" s="4">
        <v>379751</v>
      </c>
      <c r="E130" s="4">
        <f t="shared" si="22"/>
        <v>348945.33333333331</v>
      </c>
      <c r="F130" s="11">
        <v>91.372</v>
      </c>
      <c r="G130" s="11">
        <v>231.49297200000001</v>
      </c>
      <c r="K130" s="18">
        <f>K129-E132</f>
        <v>18.270833333255723</v>
      </c>
      <c r="L130" s="6">
        <f>L129-F132</f>
        <v>0.18500000000000227</v>
      </c>
      <c r="M130" s="18">
        <f>M129-G132</f>
        <v>-144.18041087499992</v>
      </c>
      <c r="N130" s="18">
        <f>(G132-M129)/G132</f>
        <v>0.4231882506531478</v>
      </c>
      <c r="P130" s="18">
        <f>P129-I132</f>
        <v>-1168</v>
      </c>
      <c r="Q130" s="19">
        <f>(I132-P129)/I132</f>
        <v>5.8957145020443191E-2</v>
      </c>
    </row>
    <row r="131" spans="1:17">
      <c r="A131" s="1" t="s">
        <v>14</v>
      </c>
      <c r="B131" s="4">
        <v>331416</v>
      </c>
      <c r="C131" s="4">
        <v>393914</v>
      </c>
      <c r="D131" s="4">
        <v>386661</v>
      </c>
      <c r="E131" s="4">
        <f t="shared" si="22"/>
        <v>351039.83333333331</v>
      </c>
      <c r="F131" s="11">
        <v>93.754000000000005</v>
      </c>
      <c r="G131" s="11">
        <v>249.93385799999999</v>
      </c>
    </row>
    <row r="132" spans="1:17">
      <c r="A132" s="1" t="s">
        <v>7</v>
      </c>
      <c r="B132" s="4">
        <f>AVERAGE(B124:B131)</f>
        <v>333809.5</v>
      </c>
      <c r="C132" s="4">
        <f t="shared" ref="C132:G132" si="23">AVERAGE(C124:C131)</f>
        <v>396638</v>
      </c>
      <c r="D132" s="4">
        <f t="shared" si="23"/>
        <v>385492.375</v>
      </c>
      <c r="E132" s="4">
        <f t="shared" si="23"/>
        <v>352894.72916666674</v>
      </c>
      <c r="F132" s="11">
        <f t="shared" si="23"/>
        <v>78.634999999999991</v>
      </c>
      <c r="G132" s="11">
        <f t="shared" si="23"/>
        <v>340.70041087499993</v>
      </c>
      <c r="H132" s="11" t="s">
        <v>181</v>
      </c>
      <c r="I132" s="1">
        <f>5*3600+30*60+11</f>
        <v>19811</v>
      </c>
      <c r="K132" s="1">
        <v>352907</v>
      </c>
      <c r="L132" s="11">
        <v>78.819999999999993</v>
      </c>
      <c r="M132" s="11">
        <v>196.19</v>
      </c>
      <c r="N132" s="11"/>
      <c r="O132" s="1" t="s">
        <v>164</v>
      </c>
      <c r="P132" s="1">
        <f>5*3600+10*60+38</f>
        <v>18638</v>
      </c>
    </row>
    <row r="133" spans="1:17">
      <c r="K133" s="18">
        <f>K132-E132</f>
        <v>12.270833333255723</v>
      </c>
      <c r="L133" s="6">
        <f>L132-F132</f>
        <v>0.18500000000000227</v>
      </c>
      <c r="M133" s="18">
        <f>M132-G132</f>
        <v>-144.51041087499993</v>
      </c>
      <c r="N133" s="18">
        <f>(G132-M132)/G132</f>
        <v>0.42415684355608119</v>
      </c>
      <c r="P133" s="18">
        <f>P132-I132</f>
        <v>-1173</v>
      </c>
      <c r="Q133" s="19">
        <f>(I132-P132)/I132</f>
        <v>5.9209530059058102E-2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2"/>
  <sheetViews>
    <sheetView workbookViewId="0">
      <selection activeCell="I11" sqref="I11"/>
    </sheetView>
  </sheetViews>
  <sheetFormatPr defaultRowHeight="13.5"/>
  <cols>
    <col min="6" max="7" width="9.5" style="14" bestFit="1" customWidth="1"/>
    <col min="14" max="14" width="9.625" style="14" bestFit="1" customWidth="1"/>
    <col min="15" max="15" width="9.5" style="14" bestFit="1" customWidth="1"/>
  </cols>
  <sheetData>
    <row r="1" spans="1:16" ht="14.25">
      <c r="B1" s="2" t="s">
        <v>0</v>
      </c>
      <c r="C1" s="2" t="s">
        <v>1</v>
      </c>
      <c r="D1" s="2" t="s">
        <v>2</v>
      </c>
      <c r="E1" s="2" t="s">
        <v>17</v>
      </c>
      <c r="F1" s="12" t="s">
        <v>3</v>
      </c>
      <c r="G1" s="12" t="s">
        <v>38</v>
      </c>
      <c r="H1" s="3" t="s">
        <v>198</v>
      </c>
      <c r="J1" s="2" t="s">
        <v>0</v>
      </c>
      <c r="K1" s="2" t="s">
        <v>1</v>
      </c>
      <c r="L1" s="2" t="s">
        <v>2</v>
      </c>
      <c r="M1" s="2" t="s">
        <v>17</v>
      </c>
      <c r="N1" s="12" t="s">
        <v>3</v>
      </c>
      <c r="O1" s="12" t="s">
        <v>38</v>
      </c>
      <c r="P1" s="3" t="s">
        <v>8</v>
      </c>
    </row>
    <row r="2" spans="1:16">
      <c r="A2" s="1" t="s">
        <v>37</v>
      </c>
      <c r="B2" s="1"/>
      <c r="C2" s="1"/>
      <c r="D2" s="1"/>
      <c r="E2" s="1"/>
      <c r="F2" s="11"/>
      <c r="G2" s="11"/>
      <c r="H2" s="1"/>
    </row>
    <row r="3" spans="1:16">
      <c r="A3" s="1" t="s">
        <v>4</v>
      </c>
      <c r="B3" s="4">
        <v>385032</v>
      </c>
      <c r="C3" s="4">
        <v>414792</v>
      </c>
      <c r="D3" s="4">
        <v>413473</v>
      </c>
      <c r="E3" s="4">
        <f>(B3*4+C3+D3)/6</f>
        <v>394732.16666666669</v>
      </c>
      <c r="F3" s="11">
        <v>1276.982</v>
      </c>
      <c r="G3" s="11">
        <v>332.90144800000002</v>
      </c>
      <c r="H3" s="1"/>
      <c r="J3" s="4">
        <v>385024</v>
      </c>
      <c r="K3" s="4">
        <v>414773</v>
      </c>
      <c r="L3" s="4">
        <v>413552</v>
      </c>
      <c r="M3" s="4">
        <f>(J3*4+K3+L3)/6</f>
        <v>394736.83333333331</v>
      </c>
      <c r="N3" s="11">
        <v>1276.5619999999999</v>
      </c>
      <c r="O3" s="11">
        <v>327.88875200000001</v>
      </c>
    </row>
    <row r="4" spans="1:16">
      <c r="A4" s="1" t="s">
        <v>5</v>
      </c>
      <c r="B4" s="4">
        <v>383274</v>
      </c>
      <c r="C4" s="4">
        <v>415597</v>
      </c>
      <c r="D4" s="4">
        <v>412233</v>
      </c>
      <c r="E4" s="4">
        <f t="shared" ref="E4:E10" si="0">(B4*4+C4+D4)/6</f>
        <v>393487.66666666669</v>
      </c>
      <c r="F4" s="11">
        <v>1003.316</v>
      </c>
      <c r="G4" s="11">
        <v>1029.0610409999999</v>
      </c>
      <c r="H4" s="1"/>
      <c r="J4" s="4">
        <v>383271</v>
      </c>
      <c r="K4" s="4">
        <v>415678</v>
      </c>
      <c r="L4" s="4">
        <v>412272</v>
      </c>
      <c r="M4" s="4">
        <f t="shared" ref="M4:M10" si="1">(J4*4+K4+L4)/6</f>
        <v>393505.66666666669</v>
      </c>
      <c r="N4" s="11">
        <v>1004.6079999999999</v>
      </c>
      <c r="O4" s="11">
        <v>1012.114153</v>
      </c>
    </row>
    <row r="5" spans="1:16">
      <c r="A5" s="1" t="s">
        <v>6</v>
      </c>
      <c r="B5" s="4">
        <v>386374</v>
      </c>
      <c r="C5" s="4">
        <v>417788</v>
      </c>
      <c r="D5" s="4">
        <v>415213</v>
      </c>
      <c r="E5" s="4">
        <f t="shared" si="0"/>
        <v>396416.16666666669</v>
      </c>
      <c r="F5" s="11">
        <v>1156.732</v>
      </c>
      <c r="G5" s="11">
        <v>371.486763</v>
      </c>
      <c r="H5" s="1"/>
      <c r="J5" s="4">
        <v>386375</v>
      </c>
      <c r="K5" s="4">
        <v>417819</v>
      </c>
      <c r="L5" s="4">
        <v>415199</v>
      </c>
      <c r="M5" s="4">
        <f t="shared" si="1"/>
        <v>396419.66666666669</v>
      </c>
      <c r="N5" s="11">
        <v>1157.4780000000001</v>
      </c>
      <c r="O5" s="11">
        <v>366.59492399999999</v>
      </c>
    </row>
    <row r="6" spans="1:16">
      <c r="A6" s="1" t="s">
        <v>10</v>
      </c>
      <c r="B6" s="4">
        <v>385032</v>
      </c>
      <c r="C6" s="4">
        <v>414324</v>
      </c>
      <c r="D6" s="4">
        <v>413776</v>
      </c>
      <c r="E6" s="4">
        <f t="shared" si="0"/>
        <v>394704.66666666669</v>
      </c>
      <c r="F6" s="11">
        <v>973.49800000000005</v>
      </c>
      <c r="G6" s="11">
        <v>980.10028499999999</v>
      </c>
      <c r="H6" s="1"/>
      <c r="J6" s="4">
        <v>385035</v>
      </c>
      <c r="K6" s="4">
        <v>414370</v>
      </c>
      <c r="L6" s="4">
        <v>413695</v>
      </c>
      <c r="M6" s="4">
        <f t="shared" si="1"/>
        <v>394700.83333333331</v>
      </c>
      <c r="N6" s="11">
        <v>972.65</v>
      </c>
      <c r="O6" s="11">
        <v>966.21868900000004</v>
      </c>
    </row>
    <row r="7" spans="1:16">
      <c r="A7" s="1" t="s">
        <v>11</v>
      </c>
      <c r="B7" s="4">
        <v>383782</v>
      </c>
      <c r="C7" s="4">
        <v>413224</v>
      </c>
      <c r="D7" s="4">
        <v>410386</v>
      </c>
      <c r="E7" s="4">
        <f t="shared" si="0"/>
        <v>393123</v>
      </c>
      <c r="F7" s="11">
        <v>1272.806</v>
      </c>
      <c r="G7" s="11">
        <v>377.61302699999999</v>
      </c>
      <c r="H7" s="1"/>
      <c r="J7" s="4">
        <v>383812</v>
      </c>
      <c r="K7" s="4">
        <v>413187</v>
      </c>
      <c r="L7" s="4">
        <v>410287</v>
      </c>
      <c r="M7" s="4">
        <f t="shared" si="1"/>
        <v>393120.33333333331</v>
      </c>
      <c r="N7" s="11">
        <v>1274.1659999999999</v>
      </c>
      <c r="O7" s="11">
        <v>372.01764900000001</v>
      </c>
    </row>
    <row r="8" spans="1:16">
      <c r="A8" s="1" t="s">
        <v>12</v>
      </c>
      <c r="B8" s="4">
        <v>390741</v>
      </c>
      <c r="C8" s="4">
        <v>418512</v>
      </c>
      <c r="D8" s="4">
        <v>417454</v>
      </c>
      <c r="E8" s="4">
        <f t="shared" si="0"/>
        <v>399821.66666666669</v>
      </c>
      <c r="F8" s="11">
        <v>934.00199999999995</v>
      </c>
      <c r="G8" s="11">
        <v>1018.242031</v>
      </c>
      <c r="H8" s="1"/>
      <c r="J8" s="4">
        <v>390772</v>
      </c>
      <c r="K8" s="4">
        <v>418534</v>
      </c>
      <c r="L8" s="4">
        <v>417359</v>
      </c>
      <c r="M8" s="4">
        <f t="shared" si="1"/>
        <v>399830.16666666669</v>
      </c>
      <c r="N8" s="11">
        <v>933.10400000000004</v>
      </c>
      <c r="O8" s="11">
        <v>1004.964365</v>
      </c>
    </row>
    <row r="9" spans="1:16">
      <c r="A9" s="1" t="s">
        <v>13</v>
      </c>
      <c r="B9" s="4">
        <v>379911</v>
      </c>
      <c r="C9" s="4">
        <v>412617</v>
      </c>
      <c r="D9" s="4">
        <v>410564</v>
      </c>
      <c r="E9" s="4">
        <f t="shared" si="0"/>
        <v>390470.83333333331</v>
      </c>
      <c r="F9" s="11">
        <v>1271.46</v>
      </c>
      <c r="G9" s="11">
        <v>386.97415599999999</v>
      </c>
      <c r="H9" s="1"/>
      <c r="J9" s="4">
        <v>379917</v>
      </c>
      <c r="K9" s="4">
        <v>412607</v>
      </c>
      <c r="L9" s="4">
        <v>410581</v>
      </c>
      <c r="M9" s="4">
        <f t="shared" si="1"/>
        <v>390476</v>
      </c>
      <c r="N9" s="11">
        <v>1270.912</v>
      </c>
      <c r="O9" s="11">
        <v>380.716386</v>
      </c>
    </row>
    <row r="10" spans="1:16">
      <c r="A10" s="1" t="s">
        <v>14</v>
      </c>
      <c r="B10" s="4">
        <v>382911</v>
      </c>
      <c r="C10" s="4">
        <v>411383</v>
      </c>
      <c r="D10" s="4">
        <v>408194</v>
      </c>
      <c r="E10" s="4">
        <f t="shared" si="0"/>
        <v>391870.16666666669</v>
      </c>
      <c r="F10" s="11">
        <v>1338.6980000000001</v>
      </c>
      <c r="G10" s="11">
        <v>419.40444100000002</v>
      </c>
      <c r="H10" s="1"/>
      <c r="J10" s="4">
        <v>382918</v>
      </c>
      <c r="K10" s="4">
        <v>411381</v>
      </c>
      <c r="L10" s="4">
        <v>408103</v>
      </c>
      <c r="M10" s="4">
        <f t="shared" si="1"/>
        <v>391859.33333333331</v>
      </c>
      <c r="N10" s="11">
        <v>1338.2</v>
      </c>
      <c r="O10" s="11">
        <v>412.42402199999998</v>
      </c>
    </row>
    <row r="11" spans="1:16">
      <c r="A11" s="1" t="s">
        <v>7</v>
      </c>
      <c r="B11" s="4">
        <f>AVERAGE(B3:B10)</f>
        <v>384632.125</v>
      </c>
      <c r="C11" s="4">
        <f t="shared" ref="C11:G11" si="2">AVERAGE(C3:C10)</f>
        <v>414779.625</v>
      </c>
      <c r="D11" s="4">
        <f t="shared" si="2"/>
        <v>412661.625</v>
      </c>
      <c r="E11" s="4">
        <f t="shared" si="2"/>
        <v>394328.29166666669</v>
      </c>
      <c r="F11" s="11">
        <f t="shared" si="2"/>
        <v>1153.4367500000001</v>
      </c>
      <c r="G11" s="11">
        <f t="shared" si="2"/>
        <v>614.47289899999998</v>
      </c>
      <c r="H11" s="1" t="s">
        <v>131</v>
      </c>
      <c r="I11">
        <f>G11/F11</f>
        <v>0.53273220139725908</v>
      </c>
      <c r="J11" s="4">
        <f>AVERAGE(J3:J10)</f>
        <v>384640.5</v>
      </c>
      <c r="K11" s="4">
        <f t="shared" ref="K11:O11" si="3">AVERAGE(K3:K10)</f>
        <v>414793.625</v>
      </c>
      <c r="L11" s="4">
        <f t="shared" si="3"/>
        <v>412631</v>
      </c>
      <c r="M11" s="4">
        <f t="shared" si="3"/>
        <v>394331.10416666669</v>
      </c>
      <c r="N11" s="11">
        <f t="shared" si="3"/>
        <v>1153.46</v>
      </c>
      <c r="O11" s="11">
        <f t="shared" si="3"/>
        <v>605.3673675</v>
      </c>
      <c r="P11" t="s">
        <v>153</v>
      </c>
    </row>
    <row r="13" spans="1:16">
      <c r="A13" s="1" t="s">
        <v>39</v>
      </c>
      <c r="B13" s="1"/>
      <c r="C13" s="1"/>
      <c r="D13" s="1"/>
      <c r="E13" s="1"/>
      <c r="F13" s="11"/>
      <c r="G13" s="11"/>
      <c r="H13" s="1"/>
    </row>
    <row r="14" spans="1:16">
      <c r="A14" s="1" t="s">
        <v>4</v>
      </c>
      <c r="B14" s="4">
        <v>366575</v>
      </c>
      <c r="C14" s="4">
        <v>399427</v>
      </c>
      <c r="D14" s="4">
        <v>397629</v>
      </c>
      <c r="E14" s="4">
        <f>(B14*4+C14+D14)/6</f>
        <v>377226</v>
      </c>
      <c r="F14" s="11">
        <v>787.85400000000004</v>
      </c>
      <c r="G14" s="11">
        <v>304.447294</v>
      </c>
      <c r="H14" s="1"/>
      <c r="J14" s="4">
        <v>366577</v>
      </c>
      <c r="K14" s="4">
        <v>399440</v>
      </c>
      <c r="L14" s="4">
        <v>397732</v>
      </c>
      <c r="M14" s="4">
        <f>(J14*4+K14+L14)/6</f>
        <v>377246.66666666669</v>
      </c>
      <c r="N14" s="11">
        <v>787.98400000000004</v>
      </c>
      <c r="O14" s="11">
        <v>299.61719799999997</v>
      </c>
    </row>
    <row r="15" spans="1:16">
      <c r="A15" s="1" t="s">
        <v>5</v>
      </c>
      <c r="B15" s="4">
        <v>366332</v>
      </c>
      <c r="C15" s="4">
        <v>402147</v>
      </c>
      <c r="D15" s="4">
        <v>397537</v>
      </c>
      <c r="E15" s="4">
        <f t="shared" ref="E15:E21" si="4">(B15*4+C15+D15)/6</f>
        <v>377502</v>
      </c>
      <c r="F15" s="11">
        <v>564.6</v>
      </c>
      <c r="G15" s="11">
        <v>906.43112099999996</v>
      </c>
      <c r="H15" s="1"/>
      <c r="J15" s="4">
        <v>366307</v>
      </c>
      <c r="K15" s="4">
        <v>402113</v>
      </c>
      <c r="L15" s="4">
        <v>397530</v>
      </c>
      <c r="M15" s="4">
        <f t="shared" ref="M15:M21" si="5">(J15*4+K15+L15)/6</f>
        <v>377478.5</v>
      </c>
      <c r="N15" s="11">
        <v>563.64</v>
      </c>
      <c r="O15" s="11">
        <v>892.31636200000003</v>
      </c>
    </row>
    <row r="16" spans="1:16">
      <c r="A16" s="1" t="s">
        <v>6</v>
      </c>
      <c r="B16" s="4">
        <v>368924</v>
      </c>
      <c r="C16" s="4">
        <v>403423</v>
      </c>
      <c r="D16" s="4">
        <v>400408</v>
      </c>
      <c r="E16" s="4">
        <f t="shared" si="4"/>
        <v>379921.16666666669</v>
      </c>
      <c r="F16" s="11">
        <v>682.26</v>
      </c>
      <c r="G16" s="11">
        <v>339.39979</v>
      </c>
      <c r="H16" s="1"/>
      <c r="J16" s="4">
        <v>368927</v>
      </c>
      <c r="K16" s="4">
        <v>403380</v>
      </c>
      <c r="L16" s="4">
        <v>400449</v>
      </c>
      <c r="M16" s="4">
        <f t="shared" si="5"/>
        <v>379922.83333333331</v>
      </c>
      <c r="N16" s="11">
        <v>683.93200000000002</v>
      </c>
      <c r="O16" s="11">
        <v>335.26698199999998</v>
      </c>
    </row>
    <row r="17" spans="1:16">
      <c r="A17" s="1" t="s">
        <v>10</v>
      </c>
      <c r="B17" s="4">
        <v>365691</v>
      </c>
      <c r="C17" s="4">
        <v>399797</v>
      </c>
      <c r="D17" s="4">
        <v>398559</v>
      </c>
      <c r="E17" s="4">
        <f t="shared" si="4"/>
        <v>376853.33333333331</v>
      </c>
      <c r="F17" s="11">
        <v>541.55799999999999</v>
      </c>
      <c r="G17" s="11">
        <v>869.76297399999999</v>
      </c>
      <c r="H17" s="1"/>
      <c r="J17" s="4">
        <v>365728</v>
      </c>
      <c r="K17" s="4">
        <v>399706</v>
      </c>
      <c r="L17" s="4">
        <v>398483</v>
      </c>
      <c r="M17" s="4">
        <f t="shared" si="5"/>
        <v>376850.16666666669</v>
      </c>
      <c r="N17" s="11">
        <v>543.07600000000002</v>
      </c>
      <c r="O17" s="11">
        <v>857.04572499999995</v>
      </c>
    </row>
    <row r="18" spans="1:16">
      <c r="A18" s="1" t="s">
        <v>11</v>
      </c>
      <c r="B18" s="4">
        <v>364462</v>
      </c>
      <c r="C18" s="4">
        <v>397519</v>
      </c>
      <c r="D18" s="4">
        <v>394668</v>
      </c>
      <c r="E18" s="4">
        <f t="shared" si="4"/>
        <v>375005.83333333331</v>
      </c>
      <c r="F18" s="11">
        <v>749.71199999999999</v>
      </c>
      <c r="G18" s="11">
        <v>346.03714500000001</v>
      </c>
      <c r="H18" s="1"/>
      <c r="J18" s="4">
        <v>364412</v>
      </c>
      <c r="K18" s="4">
        <v>397303</v>
      </c>
      <c r="L18" s="4">
        <v>394600</v>
      </c>
      <c r="M18" s="4">
        <f t="shared" si="5"/>
        <v>374925.16666666669</v>
      </c>
      <c r="N18" s="11">
        <v>749.88</v>
      </c>
      <c r="O18" s="11">
        <v>340.55428000000001</v>
      </c>
    </row>
    <row r="19" spans="1:16">
      <c r="A19" s="1" t="s">
        <v>12</v>
      </c>
      <c r="B19" s="4">
        <v>371783</v>
      </c>
      <c r="C19" s="4">
        <v>402341</v>
      </c>
      <c r="D19" s="4">
        <v>402150</v>
      </c>
      <c r="E19" s="4">
        <f t="shared" si="4"/>
        <v>381937.16666666669</v>
      </c>
      <c r="F19" s="11">
        <v>533.774</v>
      </c>
      <c r="G19" s="11">
        <v>904.20534699999996</v>
      </c>
      <c r="H19" s="1"/>
      <c r="J19" s="4">
        <v>371733</v>
      </c>
      <c r="K19" s="4">
        <v>402244</v>
      </c>
      <c r="L19" s="4">
        <v>402101</v>
      </c>
      <c r="M19" s="4">
        <f t="shared" si="5"/>
        <v>381879.5</v>
      </c>
      <c r="N19" s="11">
        <v>533.71</v>
      </c>
      <c r="O19" s="11">
        <v>892.66093000000001</v>
      </c>
    </row>
    <row r="20" spans="1:16">
      <c r="A20" s="1" t="s">
        <v>13</v>
      </c>
      <c r="B20" s="4">
        <v>363892</v>
      </c>
      <c r="C20" s="4">
        <v>399161</v>
      </c>
      <c r="D20" s="4">
        <v>396465</v>
      </c>
      <c r="E20" s="4">
        <f t="shared" si="4"/>
        <v>375199</v>
      </c>
      <c r="F20" s="11">
        <v>727.47</v>
      </c>
      <c r="G20" s="11">
        <v>353.41132299999998</v>
      </c>
      <c r="H20" s="1"/>
      <c r="J20" s="4">
        <v>363925</v>
      </c>
      <c r="K20" s="4">
        <v>398979</v>
      </c>
      <c r="L20" s="4">
        <v>396385</v>
      </c>
      <c r="M20" s="4">
        <f t="shared" si="5"/>
        <v>375177.33333333331</v>
      </c>
      <c r="N20" s="11">
        <v>727.67600000000004</v>
      </c>
      <c r="O20" s="11">
        <v>347.86777000000001</v>
      </c>
    </row>
    <row r="21" spans="1:16">
      <c r="A21" s="1" t="s">
        <v>14</v>
      </c>
      <c r="B21" s="4">
        <v>363274</v>
      </c>
      <c r="C21" s="4">
        <v>395612</v>
      </c>
      <c r="D21" s="4">
        <v>392234</v>
      </c>
      <c r="E21" s="4">
        <f t="shared" si="4"/>
        <v>373490.33333333331</v>
      </c>
      <c r="F21" s="11">
        <v>782.27200000000005</v>
      </c>
      <c r="G21" s="11">
        <v>384.04122899999999</v>
      </c>
      <c r="H21" s="1"/>
      <c r="J21" s="4">
        <v>363313</v>
      </c>
      <c r="K21" s="4">
        <v>395515</v>
      </c>
      <c r="L21" s="4">
        <v>392293</v>
      </c>
      <c r="M21" s="4">
        <f t="shared" si="5"/>
        <v>373510</v>
      </c>
      <c r="N21" s="11">
        <v>782.678</v>
      </c>
      <c r="O21" s="11">
        <v>379.14551299999999</v>
      </c>
    </row>
    <row r="22" spans="1:16">
      <c r="A22" s="1" t="s">
        <v>7</v>
      </c>
      <c r="B22" s="4">
        <f>AVERAGE(B14:B21)</f>
        <v>366366.625</v>
      </c>
      <c r="C22" s="4">
        <f t="shared" ref="C22:G22" si="6">AVERAGE(C14:C21)</f>
        <v>399928.375</v>
      </c>
      <c r="D22" s="4">
        <f t="shared" si="6"/>
        <v>397456.25</v>
      </c>
      <c r="E22" s="4">
        <f t="shared" si="6"/>
        <v>377141.85416666669</v>
      </c>
      <c r="F22" s="11">
        <f t="shared" si="6"/>
        <v>671.1875</v>
      </c>
      <c r="G22" s="11">
        <f t="shared" si="6"/>
        <v>550.96702787499999</v>
      </c>
      <c r="H22" s="1" t="s">
        <v>132</v>
      </c>
      <c r="I22">
        <f>G22/F22</f>
        <v>0.82088392271161181</v>
      </c>
      <c r="J22" s="4">
        <f>AVERAGE(J14:J21)</f>
        <v>366365.25</v>
      </c>
      <c r="K22" s="4">
        <f t="shared" ref="K22:O22" si="7">AVERAGE(K14:K21)</f>
        <v>399835</v>
      </c>
      <c r="L22" s="4">
        <f t="shared" si="7"/>
        <v>397446.625</v>
      </c>
      <c r="M22" s="4">
        <f t="shared" si="7"/>
        <v>377123.77083333337</v>
      </c>
      <c r="N22" s="11">
        <f t="shared" si="7"/>
        <v>671.572</v>
      </c>
      <c r="O22" s="11">
        <f t="shared" si="7"/>
        <v>543.05934500000001</v>
      </c>
      <c r="P22" t="s">
        <v>154</v>
      </c>
    </row>
    <row r="24" spans="1:16">
      <c r="A24" s="1" t="s">
        <v>40</v>
      </c>
      <c r="B24" s="1"/>
      <c r="C24" s="1"/>
      <c r="D24" s="1"/>
      <c r="E24" s="1"/>
      <c r="F24" s="11"/>
      <c r="G24" s="11"/>
      <c r="H24" s="1"/>
    </row>
    <row r="25" spans="1:16">
      <c r="A25" s="1" t="s">
        <v>4</v>
      </c>
      <c r="B25" s="4">
        <v>346105</v>
      </c>
      <c r="C25" s="4">
        <v>386641</v>
      </c>
      <c r="D25" s="4">
        <v>385345</v>
      </c>
      <c r="E25" s="4">
        <f>(B25*4+C25+D25)/6</f>
        <v>359401</v>
      </c>
      <c r="F25" s="11">
        <v>491.80599999999998</v>
      </c>
      <c r="G25" s="11">
        <v>273.065674</v>
      </c>
      <c r="H25" s="1"/>
      <c r="J25" s="4">
        <v>346091</v>
      </c>
      <c r="K25" s="4">
        <v>386605</v>
      </c>
      <c r="L25" s="4">
        <v>385371</v>
      </c>
      <c r="M25" s="4">
        <f>(J25*4+K25+L25)/6</f>
        <v>359390</v>
      </c>
      <c r="N25" s="11">
        <v>491.55599999999998</v>
      </c>
      <c r="O25" s="11">
        <v>270.20317399999999</v>
      </c>
    </row>
    <row r="26" spans="1:16">
      <c r="A26" s="1" t="s">
        <v>5</v>
      </c>
      <c r="B26" s="4">
        <v>345522</v>
      </c>
      <c r="C26" s="4">
        <v>390635</v>
      </c>
      <c r="D26" s="4">
        <v>385833</v>
      </c>
      <c r="E26" s="4">
        <f t="shared" ref="E26:E32" si="8">(B26*4+C26+D26)/6</f>
        <v>359759.33333333331</v>
      </c>
      <c r="F26" s="11">
        <v>328.84800000000001</v>
      </c>
      <c r="G26" s="11">
        <v>770.85168999999996</v>
      </c>
      <c r="H26" s="1"/>
      <c r="J26" s="4">
        <v>345519</v>
      </c>
      <c r="K26" s="4">
        <v>390599</v>
      </c>
      <c r="L26" s="4">
        <v>385913</v>
      </c>
      <c r="M26" s="4">
        <f t="shared" ref="M26:M32" si="9">(J26*4+K26+L26)/6</f>
        <v>359764.66666666669</v>
      </c>
      <c r="N26" s="11">
        <v>329.858</v>
      </c>
      <c r="O26" s="11">
        <v>760.06979999999999</v>
      </c>
    </row>
    <row r="27" spans="1:16">
      <c r="A27" s="1" t="s">
        <v>6</v>
      </c>
      <c r="B27" s="4">
        <v>347966</v>
      </c>
      <c r="C27" s="4">
        <v>391140</v>
      </c>
      <c r="D27" s="4">
        <v>388047</v>
      </c>
      <c r="E27" s="4">
        <f t="shared" si="8"/>
        <v>361841.83333333331</v>
      </c>
      <c r="F27" s="11">
        <v>412.24400000000003</v>
      </c>
      <c r="G27" s="11">
        <v>303.77443699999998</v>
      </c>
      <c r="H27" s="1"/>
      <c r="J27" s="4">
        <v>347945</v>
      </c>
      <c r="K27" s="4">
        <v>391099</v>
      </c>
      <c r="L27" s="4">
        <v>388078</v>
      </c>
      <c r="M27" s="4">
        <f t="shared" si="9"/>
        <v>361826.16666666669</v>
      </c>
      <c r="N27" s="11">
        <v>413.05799999999999</v>
      </c>
      <c r="O27" s="11">
        <v>299.48643399999997</v>
      </c>
    </row>
    <row r="28" spans="1:16">
      <c r="A28" s="1" t="s">
        <v>10</v>
      </c>
      <c r="B28" s="4">
        <v>343475</v>
      </c>
      <c r="C28" s="4">
        <v>388027</v>
      </c>
      <c r="D28" s="4">
        <v>386713</v>
      </c>
      <c r="E28" s="4">
        <f t="shared" si="8"/>
        <v>358106.66666666669</v>
      </c>
      <c r="F28" s="11">
        <v>312.83800000000002</v>
      </c>
      <c r="G28" s="11">
        <v>745.93809899999997</v>
      </c>
      <c r="H28" s="1"/>
      <c r="J28" s="4">
        <v>343497</v>
      </c>
      <c r="K28" s="4">
        <v>388011</v>
      </c>
      <c r="L28" s="4">
        <v>386614</v>
      </c>
      <c r="M28" s="4">
        <f t="shared" si="9"/>
        <v>358102.16666666669</v>
      </c>
      <c r="N28" s="11">
        <v>313.35399999999998</v>
      </c>
      <c r="O28" s="11">
        <v>734.16644599999995</v>
      </c>
    </row>
    <row r="29" spans="1:16">
      <c r="A29" s="1" t="s">
        <v>11</v>
      </c>
      <c r="B29" s="4">
        <v>342265</v>
      </c>
      <c r="C29" s="4">
        <v>384425</v>
      </c>
      <c r="D29" s="4">
        <v>381954</v>
      </c>
      <c r="E29" s="4">
        <f t="shared" si="8"/>
        <v>355906.5</v>
      </c>
      <c r="F29" s="11">
        <v>450.94600000000003</v>
      </c>
      <c r="G29" s="11">
        <v>311.01309800000001</v>
      </c>
      <c r="H29" s="1"/>
      <c r="J29" s="4">
        <v>342254</v>
      </c>
      <c r="K29" s="4">
        <v>384618</v>
      </c>
      <c r="L29" s="4">
        <v>381933</v>
      </c>
      <c r="M29" s="4">
        <f t="shared" si="9"/>
        <v>355927.83333333331</v>
      </c>
      <c r="N29" s="11">
        <v>451.00599999999997</v>
      </c>
      <c r="O29" s="11">
        <v>307.093253</v>
      </c>
    </row>
    <row r="30" spans="1:16">
      <c r="A30" s="1" t="s">
        <v>12</v>
      </c>
      <c r="B30" s="4">
        <v>349740</v>
      </c>
      <c r="C30" s="4">
        <v>388832</v>
      </c>
      <c r="D30" s="4">
        <v>389518</v>
      </c>
      <c r="E30" s="4">
        <f t="shared" si="8"/>
        <v>362885</v>
      </c>
      <c r="F30" s="11">
        <v>325.34199999999998</v>
      </c>
      <c r="G30" s="11">
        <v>776.68952400000001</v>
      </c>
      <c r="H30" s="1"/>
      <c r="J30" s="4">
        <v>349836</v>
      </c>
      <c r="K30" s="4">
        <v>389034</v>
      </c>
      <c r="L30" s="4">
        <v>389548</v>
      </c>
      <c r="M30" s="4">
        <f t="shared" si="9"/>
        <v>362987.66666666669</v>
      </c>
      <c r="N30" s="11">
        <v>325.34199999999998</v>
      </c>
      <c r="O30" s="11">
        <v>766.85071700000003</v>
      </c>
    </row>
    <row r="31" spans="1:16">
      <c r="A31" s="1" t="s">
        <v>13</v>
      </c>
      <c r="B31" s="4">
        <v>344342</v>
      </c>
      <c r="C31" s="4">
        <v>386282</v>
      </c>
      <c r="D31" s="4">
        <v>383954</v>
      </c>
      <c r="E31" s="4">
        <f t="shared" si="8"/>
        <v>357934</v>
      </c>
      <c r="F31" s="11">
        <v>438.154</v>
      </c>
      <c r="G31" s="11">
        <v>317.510605</v>
      </c>
      <c r="H31" s="1"/>
      <c r="J31" s="4">
        <v>344353</v>
      </c>
      <c r="K31" s="4">
        <v>386411</v>
      </c>
      <c r="L31" s="4">
        <v>383768</v>
      </c>
      <c r="M31" s="4">
        <f t="shared" si="9"/>
        <v>357931.83333333331</v>
      </c>
      <c r="N31" s="11">
        <v>437.39</v>
      </c>
      <c r="O31" s="11">
        <v>312.50685499999997</v>
      </c>
    </row>
    <row r="32" spans="1:16">
      <c r="A32" s="1" t="s">
        <v>14</v>
      </c>
      <c r="B32" s="4">
        <v>340551</v>
      </c>
      <c r="C32" s="4">
        <v>383166</v>
      </c>
      <c r="D32" s="4">
        <v>379443</v>
      </c>
      <c r="E32" s="4">
        <f t="shared" si="8"/>
        <v>354135.5</v>
      </c>
      <c r="F32" s="11">
        <v>468.94799999999998</v>
      </c>
      <c r="G32" s="11">
        <v>346.06502699999999</v>
      </c>
      <c r="H32" s="1"/>
      <c r="J32" s="4">
        <v>340496</v>
      </c>
      <c r="K32" s="4">
        <v>382989</v>
      </c>
      <c r="L32" s="4">
        <v>379377</v>
      </c>
      <c r="M32" s="4">
        <f t="shared" si="9"/>
        <v>354058.33333333331</v>
      </c>
      <c r="N32" s="11">
        <v>468.31599999999997</v>
      </c>
      <c r="O32" s="11">
        <v>341.66880200000003</v>
      </c>
    </row>
    <row r="33" spans="1:16">
      <c r="A33" s="1" t="s">
        <v>7</v>
      </c>
      <c r="B33" s="4">
        <f>AVERAGE(B25:B32)</f>
        <v>344995.75</v>
      </c>
      <c r="C33" s="4">
        <f t="shared" ref="C33:G33" si="10">AVERAGE(C25:C32)</f>
        <v>387393.5</v>
      </c>
      <c r="D33" s="4">
        <f t="shared" si="10"/>
        <v>385100.875</v>
      </c>
      <c r="E33" s="4">
        <f t="shared" si="10"/>
        <v>358746.22916666663</v>
      </c>
      <c r="F33" s="11">
        <f t="shared" si="10"/>
        <v>403.64075000000003</v>
      </c>
      <c r="G33" s="11">
        <f t="shared" si="10"/>
        <v>480.61351924999997</v>
      </c>
      <c r="H33" s="1" t="s">
        <v>133</v>
      </c>
      <c r="I33">
        <f>G33/F33</f>
        <v>1.190696229877682</v>
      </c>
      <c r="J33" s="4">
        <f>AVERAGE(J25:J32)</f>
        <v>344998.875</v>
      </c>
      <c r="K33" s="4">
        <f t="shared" ref="K33:O33" si="11">AVERAGE(K25:K32)</f>
        <v>387420.75</v>
      </c>
      <c r="L33" s="4">
        <f t="shared" si="11"/>
        <v>385075.25</v>
      </c>
      <c r="M33" s="4">
        <f t="shared" si="11"/>
        <v>358748.58333333337</v>
      </c>
      <c r="N33" s="11">
        <f t="shared" si="11"/>
        <v>403.73499999999996</v>
      </c>
      <c r="O33" s="11">
        <f t="shared" si="11"/>
        <v>474.00568512500007</v>
      </c>
      <c r="P33" t="s">
        <v>155</v>
      </c>
    </row>
    <row r="35" spans="1:16">
      <c r="A35" s="1" t="s">
        <v>41</v>
      </c>
      <c r="B35" s="1"/>
      <c r="C35" s="1"/>
      <c r="D35" s="1"/>
      <c r="E35" s="1"/>
      <c r="F35" s="11"/>
      <c r="G35" s="11"/>
      <c r="H35" s="1"/>
    </row>
    <row r="36" spans="1:16">
      <c r="A36" s="1" t="s">
        <v>4</v>
      </c>
      <c r="B36" s="4">
        <v>325289</v>
      </c>
      <c r="C36" s="4">
        <v>374892</v>
      </c>
      <c r="D36" s="4">
        <v>373914</v>
      </c>
      <c r="E36" s="4">
        <f>(B36*4+C36+D36)/6</f>
        <v>341660.33333333331</v>
      </c>
      <c r="F36" s="11">
        <v>312.76</v>
      </c>
      <c r="G36" s="11">
        <v>237.07866000000001</v>
      </c>
      <c r="H36" s="1"/>
      <c r="J36" s="4">
        <v>325256</v>
      </c>
      <c r="K36" s="4">
        <v>374853</v>
      </c>
      <c r="L36" s="4">
        <v>373895</v>
      </c>
      <c r="M36" s="4">
        <f>(J36*4+K36+L36)/6</f>
        <v>341628.66666666669</v>
      </c>
      <c r="N36" s="11">
        <v>312.64600000000002</v>
      </c>
      <c r="O36" s="11">
        <v>234.25927899999999</v>
      </c>
    </row>
    <row r="37" spans="1:16">
      <c r="A37" s="1" t="s">
        <v>5</v>
      </c>
      <c r="B37" s="4">
        <v>323512</v>
      </c>
      <c r="C37" s="4">
        <v>378927</v>
      </c>
      <c r="D37" s="4">
        <v>374334</v>
      </c>
      <c r="E37" s="4">
        <f t="shared" ref="E37:E43" si="12">(B37*4+C37+D37)/6</f>
        <v>341218.16666666669</v>
      </c>
      <c r="F37" s="11">
        <v>200.94800000000001</v>
      </c>
      <c r="G37" s="11">
        <v>624.180384</v>
      </c>
      <c r="H37" s="1"/>
      <c r="J37" s="4">
        <v>323490</v>
      </c>
      <c r="K37" s="4">
        <v>379010</v>
      </c>
      <c r="L37" s="4">
        <v>374265</v>
      </c>
      <c r="M37" s="4">
        <f t="shared" ref="M37:M43" si="13">(J37*4+K37+L37)/6</f>
        <v>341205.83333333331</v>
      </c>
      <c r="N37" s="11">
        <v>202.114</v>
      </c>
      <c r="O37" s="11">
        <v>615.89516100000003</v>
      </c>
    </row>
    <row r="38" spans="1:16">
      <c r="A38" s="1" t="s">
        <v>6</v>
      </c>
      <c r="B38" s="4">
        <v>325937</v>
      </c>
      <c r="C38" s="4">
        <v>379332</v>
      </c>
      <c r="D38" s="4">
        <v>376016</v>
      </c>
      <c r="E38" s="4">
        <f t="shared" si="12"/>
        <v>343182.66666666669</v>
      </c>
      <c r="F38" s="11">
        <v>256.93400000000003</v>
      </c>
      <c r="G38" s="11">
        <v>262.86499099999997</v>
      </c>
      <c r="H38" s="1"/>
      <c r="J38" s="4">
        <v>325923</v>
      </c>
      <c r="K38" s="4">
        <v>379301</v>
      </c>
      <c r="L38" s="4">
        <v>375839</v>
      </c>
      <c r="M38" s="4">
        <f t="shared" si="13"/>
        <v>343138.66666666669</v>
      </c>
      <c r="N38" s="11">
        <v>256.73</v>
      </c>
      <c r="O38" s="11">
        <v>260.704005</v>
      </c>
    </row>
    <row r="39" spans="1:16">
      <c r="A39" s="1" t="s">
        <v>10</v>
      </c>
      <c r="B39" s="4">
        <v>321602</v>
      </c>
      <c r="C39" s="4">
        <v>377149</v>
      </c>
      <c r="D39" s="4">
        <v>375625</v>
      </c>
      <c r="E39" s="4">
        <f t="shared" si="12"/>
        <v>339863.66666666669</v>
      </c>
      <c r="F39" s="11">
        <v>192.892</v>
      </c>
      <c r="G39" s="11">
        <v>610.38206200000002</v>
      </c>
      <c r="H39" s="1"/>
      <c r="J39" s="4">
        <v>321598</v>
      </c>
      <c r="K39" s="4">
        <v>377093</v>
      </c>
      <c r="L39" s="4">
        <v>375591</v>
      </c>
      <c r="M39" s="4">
        <f t="shared" si="13"/>
        <v>339846</v>
      </c>
      <c r="N39" s="11">
        <v>192.78200000000001</v>
      </c>
      <c r="O39" s="11">
        <v>601.86447899999996</v>
      </c>
    </row>
    <row r="40" spans="1:16">
      <c r="A40" s="1" t="s">
        <v>11</v>
      </c>
      <c r="B40" s="4">
        <v>319497</v>
      </c>
      <c r="C40" s="4">
        <v>372887</v>
      </c>
      <c r="D40" s="4">
        <v>370184</v>
      </c>
      <c r="E40" s="4">
        <f t="shared" si="12"/>
        <v>336843.16666666669</v>
      </c>
      <c r="F40" s="11">
        <v>279.24200000000002</v>
      </c>
      <c r="G40" s="11">
        <v>270.51468199999999</v>
      </c>
      <c r="H40" s="1"/>
      <c r="J40" s="4">
        <v>319463</v>
      </c>
      <c r="K40" s="4">
        <v>372924</v>
      </c>
      <c r="L40" s="4">
        <v>370197</v>
      </c>
      <c r="M40" s="4">
        <f t="shared" si="13"/>
        <v>336828.83333333331</v>
      </c>
      <c r="N40" s="11">
        <v>280.12599999999998</v>
      </c>
      <c r="O40" s="11">
        <v>268.38000699999998</v>
      </c>
    </row>
    <row r="41" spans="1:16">
      <c r="A41" s="1" t="s">
        <v>12</v>
      </c>
      <c r="B41" s="4">
        <v>326970</v>
      </c>
      <c r="C41" s="4">
        <v>375989</v>
      </c>
      <c r="D41" s="4">
        <v>377748</v>
      </c>
      <c r="E41" s="4">
        <f t="shared" si="12"/>
        <v>343602.83333333331</v>
      </c>
      <c r="F41" s="11">
        <v>209.74199999999999</v>
      </c>
      <c r="G41" s="11">
        <v>635.28108999999995</v>
      </c>
      <c r="H41" s="1"/>
      <c r="J41" s="4">
        <v>326977</v>
      </c>
      <c r="K41" s="4">
        <v>376130</v>
      </c>
      <c r="L41" s="4">
        <v>377767</v>
      </c>
      <c r="M41" s="4">
        <f t="shared" si="13"/>
        <v>343634.16666666669</v>
      </c>
      <c r="N41" s="11">
        <v>209.40799999999999</v>
      </c>
      <c r="O41" s="11">
        <v>629.08325000000002</v>
      </c>
    </row>
    <row r="42" spans="1:16">
      <c r="A42" s="1" t="s">
        <v>13</v>
      </c>
      <c r="B42" s="4">
        <v>322855</v>
      </c>
      <c r="C42" s="4">
        <v>372717</v>
      </c>
      <c r="D42" s="4">
        <v>371597</v>
      </c>
      <c r="E42" s="4">
        <f t="shared" si="12"/>
        <v>339289</v>
      </c>
      <c r="F42" s="11">
        <v>273.71800000000002</v>
      </c>
      <c r="G42" s="11">
        <v>275.548295</v>
      </c>
      <c r="H42" s="1"/>
      <c r="J42" s="4">
        <v>322921</v>
      </c>
      <c r="K42" s="4">
        <v>372930</v>
      </c>
      <c r="L42" s="4">
        <v>371677</v>
      </c>
      <c r="M42" s="4">
        <f t="shared" si="13"/>
        <v>339381.83333333331</v>
      </c>
      <c r="N42" s="11">
        <v>274.642</v>
      </c>
      <c r="O42" s="11">
        <v>272.84371700000003</v>
      </c>
    </row>
    <row r="43" spans="1:16">
      <c r="A43" s="1" t="s">
        <v>14</v>
      </c>
      <c r="B43" s="4">
        <v>317012</v>
      </c>
      <c r="C43" s="4">
        <v>370636</v>
      </c>
      <c r="D43" s="4">
        <v>368501</v>
      </c>
      <c r="E43" s="4">
        <f t="shared" si="12"/>
        <v>334530.83333333331</v>
      </c>
      <c r="F43" s="11">
        <v>288.05599999999998</v>
      </c>
      <c r="G43" s="11">
        <v>300.18312700000001</v>
      </c>
      <c r="H43" s="1"/>
      <c r="J43" s="4">
        <v>317013</v>
      </c>
      <c r="K43" s="4">
        <v>370781</v>
      </c>
      <c r="L43" s="4">
        <v>368585</v>
      </c>
      <c r="M43" s="4">
        <f t="shared" si="13"/>
        <v>334569.66666666669</v>
      </c>
      <c r="N43" s="11">
        <v>288.14400000000001</v>
      </c>
      <c r="O43" s="11">
        <v>297.534918</v>
      </c>
    </row>
    <row r="44" spans="1:16">
      <c r="A44" s="1" t="s">
        <v>7</v>
      </c>
      <c r="B44" s="4">
        <f>AVERAGE(B36:B43)</f>
        <v>322834.25</v>
      </c>
      <c r="C44" s="4">
        <f t="shared" ref="C44:G44" si="14">AVERAGE(C36:C43)</f>
        <v>375316.125</v>
      </c>
      <c r="D44" s="4">
        <f t="shared" si="14"/>
        <v>373489.875</v>
      </c>
      <c r="E44" s="4">
        <f t="shared" si="14"/>
        <v>340023.83333333337</v>
      </c>
      <c r="F44" s="11">
        <f t="shared" si="14"/>
        <v>251.78650000000002</v>
      </c>
      <c r="G44" s="11">
        <f t="shared" si="14"/>
        <v>402.00416137499997</v>
      </c>
      <c r="H44" s="1" t="s">
        <v>134</v>
      </c>
      <c r="I44">
        <f>G44/F44</f>
        <v>1.5966072898070387</v>
      </c>
      <c r="J44" s="4">
        <f>AVERAGE(J36:J43)</f>
        <v>322830.125</v>
      </c>
      <c r="K44" s="4">
        <f t="shared" ref="K44:O44" si="15">AVERAGE(K36:K43)</f>
        <v>375377.75</v>
      </c>
      <c r="L44" s="4">
        <f t="shared" si="15"/>
        <v>373477</v>
      </c>
      <c r="M44" s="4">
        <f t="shared" si="15"/>
        <v>340029.20833333331</v>
      </c>
      <c r="N44" s="11">
        <f t="shared" si="15"/>
        <v>252.07400000000001</v>
      </c>
      <c r="O44" s="11">
        <f t="shared" si="15"/>
        <v>397.57060200000001</v>
      </c>
      <c r="P44" t="s">
        <v>156</v>
      </c>
    </row>
    <row r="46" spans="1:16">
      <c r="A46" s="1" t="s">
        <v>49</v>
      </c>
      <c r="B46" s="1"/>
      <c r="C46" s="1"/>
      <c r="D46" s="1"/>
      <c r="E46" s="1"/>
      <c r="F46" s="11"/>
      <c r="G46" s="11"/>
      <c r="H46" s="1"/>
    </row>
    <row r="47" spans="1:16">
      <c r="A47" s="1" t="s">
        <v>4</v>
      </c>
      <c r="B47" s="4">
        <v>396974</v>
      </c>
      <c r="C47" s="4">
        <v>435709</v>
      </c>
      <c r="D47" s="4">
        <v>427601</v>
      </c>
      <c r="E47" s="4">
        <f>(B47*4+C47+D47)/6</f>
        <v>408534.33333333331</v>
      </c>
      <c r="F47" s="11">
        <v>529.43600000000004</v>
      </c>
      <c r="G47" s="11">
        <v>188.77687700000001</v>
      </c>
      <c r="H47" s="1"/>
      <c r="J47" s="4">
        <v>396971</v>
      </c>
      <c r="K47" s="4">
        <v>435706</v>
      </c>
      <c r="L47" s="4">
        <v>427567</v>
      </c>
      <c r="M47" s="4">
        <f>(J47*4+K47+L47)/6</f>
        <v>408526.16666666669</v>
      </c>
      <c r="N47" s="11">
        <v>529.41999999999996</v>
      </c>
      <c r="O47" s="11">
        <v>187.503015</v>
      </c>
      <c r="P47" s="1"/>
    </row>
    <row r="48" spans="1:16">
      <c r="A48" s="1" t="s">
        <v>5</v>
      </c>
      <c r="B48" s="4">
        <v>394881</v>
      </c>
      <c r="C48" s="4">
        <v>435023</v>
      </c>
      <c r="D48" s="4">
        <v>425995</v>
      </c>
      <c r="E48" s="4">
        <f t="shared" ref="E48:E54" si="16">(B48*4+C48+D48)/6</f>
        <v>406757</v>
      </c>
      <c r="F48" s="11">
        <v>440.85399999999998</v>
      </c>
      <c r="G48" s="11">
        <v>761.54380300000003</v>
      </c>
      <c r="H48" s="1"/>
      <c r="J48" s="4">
        <v>394931</v>
      </c>
      <c r="K48" s="4">
        <v>435111</v>
      </c>
      <c r="L48" s="4">
        <v>425795</v>
      </c>
      <c r="M48" s="4">
        <f t="shared" ref="M48:M54" si="17">(J48*4+K48+L48)/6</f>
        <v>406771.66666666669</v>
      </c>
      <c r="N48" s="11">
        <v>440.416</v>
      </c>
      <c r="O48" s="11">
        <v>755.80460000000005</v>
      </c>
      <c r="P48" s="1"/>
    </row>
    <row r="49" spans="1:16">
      <c r="A49" s="1" t="s">
        <v>6</v>
      </c>
      <c r="B49" s="4">
        <v>396723</v>
      </c>
      <c r="C49" s="4">
        <v>437635</v>
      </c>
      <c r="D49" s="4">
        <v>428162</v>
      </c>
      <c r="E49" s="4">
        <f t="shared" si="16"/>
        <v>408781.5</v>
      </c>
      <c r="F49" s="11">
        <v>509.95400000000001</v>
      </c>
      <c r="G49" s="11">
        <v>244.83060699999999</v>
      </c>
      <c r="H49" s="1"/>
      <c r="J49" s="4">
        <v>396694</v>
      </c>
      <c r="K49" s="4">
        <v>437596</v>
      </c>
      <c r="L49" s="4">
        <v>428168</v>
      </c>
      <c r="M49" s="4">
        <f t="shared" si="17"/>
        <v>408756.66666666669</v>
      </c>
      <c r="N49" s="11">
        <v>510.05799999999999</v>
      </c>
      <c r="O49" s="11">
        <v>243.13366099999999</v>
      </c>
      <c r="P49" s="1"/>
    </row>
    <row r="50" spans="1:16">
      <c r="A50" s="1" t="s">
        <v>10</v>
      </c>
      <c r="B50" s="4">
        <v>397878</v>
      </c>
      <c r="C50" s="4">
        <v>439393</v>
      </c>
      <c r="D50" s="4">
        <v>433298</v>
      </c>
      <c r="E50" s="4">
        <f t="shared" si="16"/>
        <v>410700.5</v>
      </c>
      <c r="F50" s="11">
        <v>451.07799999999997</v>
      </c>
      <c r="G50" s="11">
        <v>828.92744100000004</v>
      </c>
      <c r="H50" s="1"/>
      <c r="J50" s="4">
        <v>397820</v>
      </c>
      <c r="K50" s="4">
        <v>439340</v>
      </c>
      <c r="L50" s="4">
        <v>433297</v>
      </c>
      <c r="M50" s="4">
        <f t="shared" si="17"/>
        <v>410652.83333333331</v>
      </c>
      <c r="N50" s="11">
        <v>451.95800000000003</v>
      </c>
      <c r="O50" s="11">
        <v>824.85151800000006</v>
      </c>
      <c r="P50" s="1"/>
    </row>
    <row r="51" spans="1:16">
      <c r="A51" s="1" t="s">
        <v>11</v>
      </c>
      <c r="B51" s="4">
        <v>393877</v>
      </c>
      <c r="C51" s="4">
        <v>436655</v>
      </c>
      <c r="D51" s="4">
        <v>427815</v>
      </c>
      <c r="E51" s="4">
        <f t="shared" si="16"/>
        <v>406663</v>
      </c>
      <c r="F51" s="11">
        <v>590.98</v>
      </c>
      <c r="G51" s="11">
        <v>305.87076999999999</v>
      </c>
      <c r="H51" s="1"/>
      <c r="J51" s="4">
        <v>393953</v>
      </c>
      <c r="K51" s="4">
        <v>436629</v>
      </c>
      <c r="L51" s="4">
        <v>427879</v>
      </c>
      <c r="M51" s="4">
        <f t="shared" si="17"/>
        <v>406720</v>
      </c>
      <c r="N51" s="11">
        <v>592.57600000000002</v>
      </c>
      <c r="O51" s="11">
        <v>302.532557</v>
      </c>
      <c r="P51" s="1"/>
    </row>
    <row r="52" spans="1:16">
      <c r="A52" s="1" t="s">
        <v>12</v>
      </c>
      <c r="B52" s="4">
        <v>393953</v>
      </c>
      <c r="C52" s="4">
        <v>435485</v>
      </c>
      <c r="D52" s="4">
        <v>427677</v>
      </c>
      <c r="E52" s="4">
        <f t="shared" si="16"/>
        <v>406495.66666666669</v>
      </c>
      <c r="F52" s="11">
        <v>553.42399999999998</v>
      </c>
      <c r="G52" s="11">
        <v>934.38746000000003</v>
      </c>
      <c r="H52" s="1"/>
      <c r="J52" s="4">
        <v>393936</v>
      </c>
      <c r="K52" s="4">
        <v>435369</v>
      </c>
      <c r="L52" s="4">
        <v>427723</v>
      </c>
      <c r="M52" s="4">
        <f t="shared" si="17"/>
        <v>406472.66666666669</v>
      </c>
      <c r="N52" s="11">
        <v>555.22799999999995</v>
      </c>
      <c r="O52" s="11">
        <v>927.93237599999998</v>
      </c>
      <c r="P52" s="1"/>
    </row>
    <row r="53" spans="1:16">
      <c r="A53" s="1" t="s">
        <v>13</v>
      </c>
      <c r="B53" s="4">
        <v>387093</v>
      </c>
      <c r="C53" s="4">
        <v>427832</v>
      </c>
      <c r="D53" s="4">
        <v>420740</v>
      </c>
      <c r="E53" s="4">
        <f t="shared" si="16"/>
        <v>399490.66666666669</v>
      </c>
      <c r="F53" s="11">
        <v>782.56399999999996</v>
      </c>
      <c r="G53" s="11">
        <v>372.42979400000002</v>
      </c>
      <c r="H53" s="1"/>
      <c r="J53" s="4">
        <v>387125</v>
      </c>
      <c r="K53" s="4">
        <v>427757</v>
      </c>
      <c r="L53" s="4">
        <v>420759</v>
      </c>
      <c r="M53" s="4">
        <f t="shared" si="17"/>
        <v>399502.66666666669</v>
      </c>
      <c r="N53" s="11">
        <v>779.59799999999996</v>
      </c>
      <c r="O53" s="11">
        <v>367.15414099999998</v>
      </c>
      <c r="P53" s="1"/>
    </row>
    <row r="54" spans="1:16">
      <c r="A54" s="1" t="s">
        <v>14</v>
      </c>
      <c r="B54" s="4">
        <v>391734</v>
      </c>
      <c r="C54" s="4">
        <v>435483</v>
      </c>
      <c r="D54" s="4">
        <v>426397</v>
      </c>
      <c r="E54" s="4">
        <f t="shared" si="16"/>
        <v>404802.66666666669</v>
      </c>
      <c r="F54" s="11">
        <v>726.81799999999998</v>
      </c>
      <c r="G54" s="11">
        <v>424.66598699999997</v>
      </c>
      <c r="H54" s="1"/>
      <c r="J54" s="4">
        <v>391783</v>
      </c>
      <c r="K54" s="4">
        <v>435602</v>
      </c>
      <c r="L54" s="4">
        <v>426240</v>
      </c>
      <c r="M54" s="4">
        <f t="shared" si="17"/>
        <v>404829</v>
      </c>
      <c r="N54" s="11">
        <v>727.44399999999996</v>
      </c>
      <c r="O54" s="11">
        <v>418.35677099999998</v>
      </c>
      <c r="P54" s="1"/>
    </row>
    <row r="55" spans="1:16">
      <c r="A55" s="1" t="s">
        <v>7</v>
      </c>
      <c r="B55" s="4">
        <f>AVERAGE(B47:B54)</f>
        <v>394139.125</v>
      </c>
      <c r="C55" s="4">
        <f t="shared" ref="C55:G55" si="18">AVERAGE(C47:C54)</f>
        <v>435401.875</v>
      </c>
      <c r="D55" s="4">
        <f t="shared" si="18"/>
        <v>427210.625</v>
      </c>
      <c r="E55" s="4">
        <f t="shared" si="18"/>
        <v>406528.16666666663</v>
      </c>
      <c r="F55" s="11">
        <f t="shared" si="18"/>
        <v>573.13849999999991</v>
      </c>
      <c r="G55" s="11">
        <f t="shared" si="18"/>
        <v>507.67909237499998</v>
      </c>
      <c r="H55" s="1" t="s">
        <v>135</v>
      </c>
      <c r="J55" s="4">
        <f>AVERAGE(J47:J54)</f>
        <v>394151.625</v>
      </c>
      <c r="K55" s="4">
        <f t="shared" ref="K55:O55" si="19">AVERAGE(K47:K54)</f>
        <v>435388.75</v>
      </c>
      <c r="L55" s="4">
        <f t="shared" si="19"/>
        <v>427178.5</v>
      </c>
      <c r="M55" s="4">
        <f t="shared" si="19"/>
        <v>406528.95833333331</v>
      </c>
      <c r="N55" s="11">
        <f t="shared" si="19"/>
        <v>573.33725000000004</v>
      </c>
      <c r="O55" s="11">
        <f t="shared" si="19"/>
        <v>503.40857987499999</v>
      </c>
      <c r="P55" s="1" t="s">
        <v>157</v>
      </c>
    </row>
    <row r="57" spans="1:16">
      <c r="A57" s="1" t="s">
        <v>50</v>
      </c>
      <c r="B57" s="1"/>
      <c r="C57" s="1"/>
      <c r="D57" s="1"/>
      <c r="E57" s="1"/>
      <c r="F57" s="11"/>
      <c r="G57" s="11"/>
      <c r="H57" s="1"/>
    </row>
    <row r="58" spans="1:16">
      <c r="A58" s="1" t="s">
        <v>4</v>
      </c>
      <c r="B58" s="4">
        <v>386188</v>
      </c>
      <c r="C58" s="4">
        <v>421071</v>
      </c>
      <c r="D58" s="4">
        <v>413855</v>
      </c>
      <c r="E58" s="4">
        <f>(B58*4+C58+D58)/6</f>
        <v>396613</v>
      </c>
      <c r="F58" s="11">
        <v>293.18200000000002</v>
      </c>
      <c r="G58" s="11">
        <v>170.81756300000001</v>
      </c>
      <c r="H58" s="1"/>
      <c r="J58" s="4">
        <v>386190</v>
      </c>
      <c r="K58" s="4">
        <v>421092</v>
      </c>
      <c r="L58" s="4">
        <v>413823</v>
      </c>
      <c r="M58" s="4">
        <f>(J58*4+K58+L58)/6</f>
        <v>396612.5</v>
      </c>
      <c r="N58" s="11">
        <v>293.50799999999998</v>
      </c>
      <c r="O58" s="11">
        <v>169.852542</v>
      </c>
      <c r="P58" s="1"/>
    </row>
    <row r="59" spans="1:16">
      <c r="A59" s="1" t="s">
        <v>5</v>
      </c>
      <c r="B59" s="4">
        <v>383887</v>
      </c>
      <c r="C59" s="4">
        <v>423350</v>
      </c>
      <c r="D59" s="4">
        <v>414232</v>
      </c>
      <c r="E59" s="4">
        <f t="shared" ref="E59:E65" si="20">(B59*4+C59+D59)/6</f>
        <v>395521.66666666669</v>
      </c>
      <c r="F59" s="11">
        <v>215.80600000000001</v>
      </c>
      <c r="G59" s="11">
        <v>654.41968699999995</v>
      </c>
      <c r="H59" s="1"/>
      <c r="J59" s="4">
        <v>383801</v>
      </c>
      <c r="K59" s="4">
        <v>423380</v>
      </c>
      <c r="L59" s="4">
        <v>414104</v>
      </c>
      <c r="M59" s="4">
        <f t="shared" ref="M59:M65" si="21">(J59*4+K59+L59)/6</f>
        <v>395448</v>
      </c>
      <c r="N59" s="11">
        <v>215.19200000000001</v>
      </c>
      <c r="O59" s="11">
        <v>650.39178000000004</v>
      </c>
      <c r="P59" s="1"/>
    </row>
    <row r="60" spans="1:16">
      <c r="A60" s="1" t="s">
        <v>6</v>
      </c>
      <c r="B60" s="4">
        <v>385532</v>
      </c>
      <c r="C60" s="4">
        <v>425363</v>
      </c>
      <c r="D60" s="4">
        <v>415934</v>
      </c>
      <c r="E60" s="4">
        <f t="shared" si="20"/>
        <v>397237.5</v>
      </c>
      <c r="F60" s="11">
        <v>265.91800000000001</v>
      </c>
      <c r="G60" s="11">
        <v>216.97219899999999</v>
      </c>
      <c r="H60" s="1"/>
      <c r="J60" s="4">
        <v>385537</v>
      </c>
      <c r="K60" s="4">
        <v>425480</v>
      </c>
      <c r="L60" s="4">
        <v>415922</v>
      </c>
      <c r="M60" s="4">
        <f t="shared" si="21"/>
        <v>397258.33333333331</v>
      </c>
      <c r="N60" s="11">
        <v>266.02999999999997</v>
      </c>
      <c r="O60" s="11">
        <v>215.38307800000001</v>
      </c>
      <c r="P60" s="1"/>
    </row>
    <row r="61" spans="1:16">
      <c r="A61" s="1" t="s">
        <v>10</v>
      </c>
      <c r="B61" s="4">
        <v>385797</v>
      </c>
      <c r="C61" s="4">
        <v>427384</v>
      </c>
      <c r="D61" s="4">
        <v>421895</v>
      </c>
      <c r="E61" s="4">
        <f t="shared" si="20"/>
        <v>398744.5</v>
      </c>
      <c r="F61" s="11">
        <v>237.68799999999999</v>
      </c>
      <c r="G61" s="11">
        <v>713.60791099999994</v>
      </c>
      <c r="H61" s="1"/>
      <c r="J61" s="4">
        <v>385773</v>
      </c>
      <c r="K61" s="4">
        <v>427211</v>
      </c>
      <c r="L61" s="4">
        <v>421743</v>
      </c>
      <c r="M61" s="4">
        <f t="shared" si="21"/>
        <v>398674.33333333331</v>
      </c>
      <c r="N61" s="11">
        <v>236.572</v>
      </c>
      <c r="O61" s="11">
        <v>712.13144</v>
      </c>
      <c r="P61" s="1"/>
    </row>
    <row r="62" spans="1:16">
      <c r="A62" s="1" t="s">
        <v>11</v>
      </c>
      <c r="B62" s="4">
        <v>381216</v>
      </c>
      <c r="C62" s="4">
        <v>424881</v>
      </c>
      <c r="D62" s="4">
        <v>415527</v>
      </c>
      <c r="E62" s="4">
        <f t="shared" si="20"/>
        <v>394212</v>
      </c>
      <c r="F62" s="11">
        <v>316.18599999999998</v>
      </c>
      <c r="G62" s="11">
        <v>273.22425700000002</v>
      </c>
      <c r="H62" s="1"/>
      <c r="J62" s="4">
        <v>381289</v>
      </c>
      <c r="K62" s="4">
        <v>424787</v>
      </c>
      <c r="L62" s="4">
        <v>415509</v>
      </c>
      <c r="M62" s="4">
        <f t="shared" si="21"/>
        <v>394242</v>
      </c>
      <c r="N62" s="11">
        <v>314.97199999999998</v>
      </c>
      <c r="O62" s="11">
        <v>270.16785800000002</v>
      </c>
      <c r="P62" s="1"/>
    </row>
    <row r="63" spans="1:16">
      <c r="A63" s="1" t="s">
        <v>12</v>
      </c>
      <c r="B63" s="4">
        <v>381502</v>
      </c>
      <c r="C63" s="4">
        <v>423593</v>
      </c>
      <c r="D63" s="4">
        <v>416865</v>
      </c>
      <c r="E63" s="4">
        <f t="shared" si="20"/>
        <v>394411</v>
      </c>
      <c r="F63" s="11">
        <v>284.02600000000001</v>
      </c>
      <c r="G63" s="11">
        <v>811.255269</v>
      </c>
      <c r="H63" s="1"/>
      <c r="J63" s="4">
        <v>381462</v>
      </c>
      <c r="K63" s="4">
        <v>423637</v>
      </c>
      <c r="L63" s="4">
        <v>416869</v>
      </c>
      <c r="M63" s="4">
        <f t="shared" si="21"/>
        <v>394392.33333333331</v>
      </c>
      <c r="N63" s="11">
        <v>282.39400000000001</v>
      </c>
      <c r="O63" s="11">
        <v>807.59583799999996</v>
      </c>
      <c r="P63" s="1"/>
    </row>
    <row r="64" spans="1:16">
      <c r="A64" s="1" t="s">
        <v>13</v>
      </c>
      <c r="B64" s="4">
        <v>374696</v>
      </c>
      <c r="C64" s="4">
        <v>416904</v>
      </c>
      <c r="D64" s="4">
        <v>409632</v>
      </c>
      <c r="E64" s="4">
        <f t="shared" si="20"/>
        <v>387553.33333333331</v>
      </c>
      <c r="F64" s="11">
        <v>410.79199999999997</v>
      </c>
      <c r="G64" s="11">
        <v>332.16057999999998</v>
      </c>
      <c r="H64" s="1"/>
      <c r="J64" s="4">
        <v>374721</v>
      </c>
      <c r="K64" s="4">
        <v>416875</v>
      </c>
      <c r="L64" s="4">
        <v>409721</v>
      </c>
      <c r="M64" s="4">
        <f t="shared" si="21"/>
        <v>387580</v>
      </c>
      <c r="N64" s="11">
        <v>411.62400000000002</v>
      </c>
      <c r="O64" s="11">
        <v>329.71563800000001</v>
      </c>
      <c r="P64" s="1"/>
    </row>
    <row r="65" spans="1:16">
      <c r="A65" s="1" t="s">
        <v>14</v>
      </c>
      <c r="B65" s="4">
        <v>377530</v>
      </c>
      <c r="C65" s="4">
        <v>424046</v>
      </c>
      <c r="D65" s="4">
        <v>415291</v>
      </c>
      <c r="E65" s="4">
        <f t="shared" si="20"/>
        <v>391576.16666666669</v>
      </c>
      <c r="F65" s="11">
        <v>396.77</v>
      </c>
      <c r="G65" s="11">
        <v>379.426984</v>
      </c>
      <c r="H65" s="1"/>
      <c r="J65" s="4">
        <v>377520</v>
      </c>
      <c r="K65" s="4">
        <v>424020</v>
      </c>
      <c r="L65" s="4">
        <v>415531</v>
      </c>
      <c r="M65" s="4">
        <f t="shared" si="21"/>
        <v>391605.16666666669</v>
      </c>
      <c r="N65" s="11">
        <v>395.12400000000002</v>
      </c>
      <c r="O65" s="11">
        <v>374.82046800000001</v>
      </c>
      <c r="P65" s="1"/>
    </row>
    <row r="66" spans="1:16">
      <c r="A66" s="1" t="s">
        <v>7</v>
      </c>
      <c r="B66" s="4">
        <f>AVERAGE(B58:B65)</f>
        <v>382043.5</v>
      </c>
      <c r="C66" s="4">
        <f t="shared" ref="C66:G66" si="22">AVERAGE(C58:C65)</f>
        <v>423324</v>
      </c>
      <c r="D66" s="4">
        <f t="shared" si="22"/>
        <v>415403.875</v>
      </c>
      <c r="E66" s="4">
        <f t="shared" si="22"/>
        <v>394483.64583333337</v>
      </c>
      <c r="F66" s="11">
        <f t="shared" si="22"/>
        <v>302.54599999999999</v>
      </c>
      <c r="G66" s="11">
        <f t="shared" si="22"/>
        <v>443.98555625</v>
      </c>
      <c r="H66" s="1" t="s">
        <v>136</v>
      </c>
      <c r="J66" s="4">
        <f>AVERAGE(J58:J65)</f>
        <v>382036.625</v>
      </c>
      <c r="K66" s="4">
        <f t="shared" ref="K66:L66" si="23">AVERAGE(K58:K65)</f>
        <v>423310.25</v>
      </c>
      <c r="L66" s="4">
        <f t="shared" si="23"/>
        <v>415402.75</v>
      </c>
      <c r="M66" s="4">
        <f t="shared" ref="M66:O66" si="24">AVERAGE(M58:M65)</f>
        <v>394476.58333333331</v>
      </c>
      <c r="N66" s="11">
        <f t="shared" si="24"/>
        <v>301.92700000000002</v>
      </c>
      <c r="O66" s="11">
        <f t="shared" si="24"/>
        <v>441.25733025</v>
      </c>
      <c r="P66" s="1" t="s">
        <v>158</v>
      </c>
    </row>
    <row r="68" spans="1:16">
      <c r="A68" s="1" t="s">
        <v>51</v>
      </c>
      <c r="B68" s="1"/>
      <c r="C68" s="1"/>
      <c r="D68" s="1"/>
      <c r="E68" s="1"/>
      <c r="F68" s="11"/>
      <c r="G68" s="11"/>
      <c r="H68" s="1"/>
    </row>
    <row r="69" spans="1:16">
      <c r="A69" s="1" t="s">
        <v>4</v>
      </c>
      <c r="B69" s="4">
        <v>371776</v>
      </c>
      <c r="C69" s="4">
        <v>407853</v>
      </c>
      <c r="D69" s="4">
        <v>402892</v>
      </c>
      <c r="E69" s="4">
        <f>(B69*4+C69+D69)/6</f>
        <v>382974.83333333331</v>
      </c>
      <c r="F69" s="11">
        <v>179.98</v>
      </c>
      <c r="G69" s="11">
        <v>154.51995299999999</v>
      </c>
      <c r="H69" s="1"/>
      <c r="J69" s="4">
        <v>371813</v>
      </c>
      <c r="K69" s="4">
        <v>407870</v>
      </c>
      <c r="L69" s="4">
        <v>402863</v>
      </c>
      <c r="M69" s="4">
        <f>(J69*4+K69+L69)/6</f>
        <v>382997.5</v>
      </c>
      <c r="N69" s="11">
        <v>180.10599999999999</v>
      </c>
      <c r="O69" s="11">
        <v>153.973083</v>
      </c>
      <c r="P69" s="1"/>
    </row>
    <row r="70" spans="1:16">
      <c r="A70" s="1" t="s">
        <v>5</v>
      </c>
      <c r="B70" s="4">
        <v>369185</v>
      </c>
      <c r="C70" s="4">
        <v>411552</v>
      </c>
      <c r="D70" s="4">
        <v>404366</v>
      </c>
      <c r="E70" s="4">
        <f t="shared" ref="E70:E76" si="25">(B70*4+C70+D70)/6</f>
        <v>382109.66666666669</v>
      </c>
      <c r="F70" s="11">
        <v>123.92</v>
      </c>
      <c r="G70" s="11">
        <v>548.95524599999999</v>
      </c>
      <c r="H70" s="1"/>
      <c r="J70" s="4">
        <v>369216</v>
      </c>
      <c r="K70" s="4">
        <v>411987</v>
      </c>
      <c r="L70" s="4">
        <v>404473</v>
      </c>
      <c r="M70" s="4">
        <f t="shared" ref="M70:M76" si="26">(J70*4+K70+L70)/6</f>
        <v>382220.66666666669</v>
      </c>
      <c r="N70" s="11">
        <v>124.33</v>
      </c>
      <c r="O70" s="11">
        <v>548.15980400000001</v>
      </c>
      <c r="P70" s="1"/>
    </row>
    <row r="71" spans="1:16">
      <c r="A71" s="1" t="s">
        <v>6</v>
      </c>
      <c r="B71" s="4">
        <v>370820</v>
      </c>
      <c r="C71" s="4">
        <v>414164</v>
      </c>
      <c r="D71" s="4">
        <v>404752</v>
      </c>
      <c r="E71" s="4">
        <f t="shared" si="25"/>
        <v>383699.33333333331</v>
      </c>
      <c r="F71" s="11">
        <v>157.86000000000001</v>
      </c>
      <c r="G71" s="11">
        <v>191.27111400000001</v>
      </c>
      <c r="H71" s="1"/>
      <c r="J71" s="4">
        <v>370805</v>
      </c>
      <c r="K71" s="4">
        <v>414186</v>
      </c>
      <c r="L71" s="4">
        <v>404773</v>
      </c>
      <c r="M71" s="4">
        <f t="shared" si="26"/>
        <v>383696.5</v>
      </c>
      <c r="N71" s="11">
        <v>157.696</v>
      </c>
      <c r="O71" s="11">
        <v>190.51485400000001</v>
      </c>
      <c r="P71" s="1"/>
    </row>
    <row r="72" spans="1:16">
      <c r="A72" s="1" t="s">
        <v>10</v>
      </c>
      <c r="B72" s="4">
        <v>369533</v>
      </c>
      <c r="C72" s="4">
        <v>416744</v>
      </c>
      <c r="D72" s="4">
        <v>411502</v>
      </c>
      <c r="E72" s="4">
        <f t="shared" si="25"/>
        <v>384396.33333333331</v>
      </c>
      <c r="F72" s="11">
        <v>141.738</v>
      </c>
      <c r="G72" s="11">
        <v>595.29852500000004</v>
      </c>
      <c r="H72" s="1"/>
      <c r="J72" s="4">
        <v>369617</v>
      </c>
      <c r="K72" s="4">
        <v>416713</v>
      </c>
      <c r="L72" s="4">
        <v>411340</v>
      </c>
      <c r="M72" s="4">
        <f t="shared" si="26"/>
        <v>384420.16666666669</v>
      </c>
      <c r="N72" s="11">
        <v>142.54599999999999</v>
      </c>
      <c r="O72" s="11">
        <v>596.73239100000001</v>
      </c>
      <c r="P72" s="1"/>
    </row>
    <row r="73" spans="1:16">
      <c r="A73" s="1" t="s">
        <v>11</v>
      </c>
      <c r="B73" s="4">
        <v>365550</v>
      </c>
      <c r="C73" s="4">
        <v>414468</v>
      </c>
      <c r="D73" s="4">
        <v>403844</v>
      </c>
      <c r="E73" s="4">
        <f t="shared" si="25"/>
        <v>380085.33333333331</v>
      </c>
      <c r="F73" s="11">
        <v>188.29</v>
      </c>
      <c r="G73" s="11">
        <v>238.454509</v>
      </c>
      <c r="H73" s="1"/>
      <c r="J73" s="4">
        <v>365529</v>
      </c>
      <c r="K73" s="4">
        <v>414191</v>
      </c>
      <c r="L73" s="4">
        <v>403768</v>
      </c>
      <c r="M73" s="4">
        <f t="shared" si="26"/>
        <v>380012.5</v>
      </c>
      <c r="N73" s="11">
        <v>188.03200000000001</v>
      </c>
      <c r="O73" s="11">
        <v>237.08826300000001</v>
      </c>
      <c r="P73" s="1"/>
    </row>
    <row r="74" spans="1:16">
      <c r="A74" s="1" t="s">
        <v>12</v>
      </c>
      <c r="B74" s="4">
        <v>366137</v>
      </c>
      <c r="C74" s="4">
        <v>413678</v>
      </c>
      <c r="D74" s="4">
        <v>407220</v>
      </c>
      <c r="E74" s="4">
        <f t="shared" si="25"/>
        <v>380907.66666666669</v>
      </c>
      <c r="F74" s="11">
        <v>168.864</v>
      </c>
      <c r="G74" s="11">
        <v>678.51472200000001</v>
      </c>
      <c r="H74" s="1"/>
      <c r="J74" s="4">
        <v>366096</v>
      </c>
      <c r="K74" s="4">
        <v>413627</v>
      </c>
      <c r="L74" s="4">
        <v>407103</v>
      </c>
      <c r="M74" s="4">
        <f t="shared" si="26"/>
        <v>380852.33333333331</v>
      </c>
      <c r="N74" s="11">
        <v>169.488</v>
      </c>
      <c r="O74" s="11">
        <v>678.92297199999996</v>
      </c>
      <c r="P74" s="1"/>
    </row>
    <row r="75" spans="1:16">
      <c r="A75" s="1" t="s">
        <v>13</v>
      </c>
      <c r="B75" s="4">
        <v>359833</v>
      </c>
      <c r="C75" s="4">
        <v>405066</v>
      </c>
      <c r="D75" s="4">
        <v>398584</v>
      </c>
      <c r="E75" s="4">
        <f t="shared" si="25"/>
        <v>373830.33333333331</v>
      </c>
      <c r="F75" s="11">
        <v>244.096</v>
      </c>
      <c r="G75" s="11">
        <v>290.30996299999998</v>
      </c>
      <c r="H75" s="1"/>
      <c r="J75" s="4">
        <v>359777</v>
      </c>
      <c r="K75" s="4">
        <v>405279</v>
      </c>
      <c r="L75" s="4">
        <v>398706</v>
      </c>
      <c r="M75" s="4">
        <f t="shared" si="26"/>
        <v>373848.83333333331</v>
      </c>
      <c r="N75" s="11">
        <v>245.99600000000001</v>
      </c>
      <c r="O75" s="11">
        <v>288.87102599999997</v>
      </c>
      <c r="P75" s="1"/>
    </row>
    <row r="76" spans="1:16">
      <c r="A76" s="1" t="s">
        <v>14</v>
      </c>
      <c r="B76" s="4">
        <v>360274</v>
      </c>
      <c r="C76" s="4">
        <v>414118</v>
      </c>
      <c r="D76" s="4">
        <v>406184</v>
      </c>
      <c r="E76" s="4">
        <f t="shared" si="25"/>
        <v>376899.66666666669</v>
      </c>
      <c r="F76" s="11">
        <v>234.37200000000001</v>
      </c>
      <c r="G76" s="11">
        <v>328.38403799999998</v>
      </c>
      <c r="H76" s="1"/>
      <c r="J76" s="4">
        <v>360398</v>
      </c>
      <c r="K76" s="4">
        <v>414296</v>
      </c>
      <c r="L76" s="4">
        <v>406205</v>
      </c>
      <c r="M76" s="4">
        <f t="shared" si="26"/>
        <v>377015.5</v>
      </c>
      <c r="N76" s="11">
        <v>234.994</v>
      </c>
      <c r="O76" s="11">
        <v>327.89004599999998</v>
      </c>
      <c r="P76" s="1"/>
    </row>
    <row r="77" spans="1:16">
      <c r="A77" s="1" t="s">
        <v>7</v>
      </c>
      <c r="B77" s="4">
        <f>AVERAGE(B69:B76)</f>
        <v>366638.5</v>
      </c>
      <c r="C77" s="4">
        <f t="shared" ref="C77:G77" si="27">AVERAGE(C69:C76)</f>
        <v>412205.375</v>
      </c>
      <c r="D77" s="4">
        <f t="shared" si="27"/>
        <v>404918</v>
      </c>
      <c r="E77" s="4">
        <f t="shared" si="27"/>
        <v>380612.89583333331</v>
      </c>
      <c r="F77" s="11">
        <f t="shared" si="27"/>
        <v>179.89000000000001</v>
      </c>
      <c r="G77" s="11">
        <f t="shared" si="27"/>
        <v>378.21350875000002</v>
      </c>
      <c r="H77" t="s">
        <v>197</v>
      </c>
      <c r="J77" s="4">
        <f>AVERAGE(J69:J76)</f>
        <v>366656.375</v>
      </c>
      <c r="K77" s="4">
        <f t="shared" ref="K77:O77" si="28">AVERAGE(K69:K76)</f>
        <v>412268.625</v>
      </c>
      <c r="L77" s="4">
        <f t="shared" si="28"/>
        <v>404903.875</v>
      </c>
      <c r="M77" s="4">
        <f t="shared" si="28"/>
        <v>380633.00000000006</v>
      </c>
      <c r="N77" s="11">
        <f t="shared" si="28"/>
        <v>180.39849999999998</v>
      </c>
      <c r="O77" s="11">
        <f t="shared" si="28"/>
        <v>377.76905487499999</v>
      </c>
      <c r="P77" s="1" t="s">
        <v>159</v>
      </c>
    </row>
    <row r="79" spans="1:16">
      <c r="A79" s="1" t="s">
        <v>52</v>
      </c>
      <c r="B79" s="1"/>
      <c r="C79" s="1"/>
      <c r="D79" s="1"/>
      <c r="E79" s="1"/>
      <c r="F79" s="11"/>
      <c r="G79" s="11"/>
      <c r="H79" s="1"/>
    </row>
    <row r="80" spans="1:16">
      <c r="A80" s="1" t="s">
        <v>4</v>
      </c>
      <c r="B80" s="4">
        <v>355101</v>
      </c>
      <c r="C80" s="4">
        <v>393417</v>
      </c>
      <c r="D80" s="4">
        <v>391237</v>
      </c>
      <c r="E80" s="4">
        <f>(B80*4+C80+D80)/6</f>
        <v>367509.66666666669</v>
      </c>
      <c r="F80" s="11">
        <v>117.27800000000001</v>
      </c>
      <c r="G80" s="11">
        <v>135.80310700000001</v>
      </c>
      <c r="H80" s="1"/>
      <c r="J80" s="4">
        <v>355109</v>
      </c>
      <c r="K80" s="4">
        <v>393402</v>
      </c>
      <c r="L80" s="4">
        <v>391223</v>
      </c>
      <c r="M80" s="4">
        <f>(J80*4+K80+L80)/6</f>
        <v>367510.16666666669</v>
      </c>
      <c r="N80" s="11">
        <v>117.366</v>
      </c>
      <c r="O80" s="11">
        <v>135.69203300000001</v>
      </c>
    </row>
    <row r="81" spans="1:16">
      <c r="A81" s="1" t="s">
        <v>5</v>
      </c>
      <c r="B81" s="4">
        <v>351396</v>
      </c>
      <c r="C81" s="4">
        <v>399293</v>
      </c>
      <c r="D81" s="4">
        <v>392127</v>
      </c>
      <c r="E81" s="4">
        <f t="shared" ref="E81:E87" si="29">(B81*4+C81+D81)/6</f>
        <v>366167.33333333331</v>
      </c>
      <c r="F81" s="11">
        <v>78.489999999999995</v>
      </c>
      <c r="G81" s="11">
        <v>438.620181</v>
      </c>
      <c r="H81" s="1"/>
      <c r="J81" s="4">
        <v>351454</v>
      </c>
      <c r="K81" s="4">
        <v>399284</v>
      </c>
      <c r="L81" s="4">
        <v>392222</v>
      </c>
      <c r="M81" s="4">
        <f t="shared" ref="M81:M87" si="30">(J81*4+K81+L81)/6</f>
        <v>366220.33333333331</v>
      </c>
      <c r="N81" s="11">
        <v>78.811999999999998</v>
      </c>
      <c r="O81" s="11">
        <v>436.08415200000002</v>
      </c>
    </row>
    <row r="82" spans="1:16">
      <c r="A82" s="1" t="s">
        <v>6</v>
      </c>
      <c r="B82" s="4">
        <v>352280</v>
      </c>
      <c r="C82" s="4">
        <v>401477</v>
      </c>
      <c r="D82" s="4">
        <v>392149</v>
      </c>
      <c r="E82" s="4">
        <f t="shared" si="29"/>
        <v>367124.33333333331</v>
      </c>
      <c r="F82" s="11">
        <v>99.126000000000005</v>
      </c>
      <c r="G82" s="11">
        <v>163.72907900000001</v>
      </c>
      <c r="H82" s="1"/>
      <c r="J82" s="4">
        <v>352282</v>
      </c>
      <c r="K82" s="4">
        <v>401466</v>
      </c>
      <c r="L82" s="4">
        <v>392025</v>
      </c>
      <c r="M82" s="4">
        <f t="shared" si="30"/>
        <v>367103.16666666669</v>
      </c>
      <c r="N82" s="11">
        <v>98.95</v>
      </c>
      <c r="O82" s="11">
        <v>164.08843400000001</v>
      </c>
    </row>
    <row r="83" spans="1:16">
      <c r="A83" s="1" t="s">
        <v>10</v>
      </c>
      <c r="B83" s="4">
        <v>350224</v>
      </c>
      <c r="C83" s="4">
        <v>404204</v>
      </c>
      <c r="D83" s="4">
        <v>399791</v>
      </c>
      <c r="E83" s="4">
        <f t="shared" si="29"/>
        <v>367481.83333333331</v>
      </c>
      <c r="F83" s="11">
        <v>92.33</v>
      </c>
      <c r="G83" s="11">
        <v>470.717671</v>
      </c>
      <c r="H83" s="1"/>
      <c r="J83" s="4">
        <v>350288</v>
      </c>
      <c r="K83" s="4">
        <v>404115</v>
      </c>
      <c r="L83" s="4">
        <v>399547</v>
      </c>
      <c r="M83" s="4">
        <f t="shared" si="30"/>
        <v>367469</v>
      </c>
      <c r="N83" s="11">
        <v>92.676000000000002</v>
      </c>
      <c r="O83" s="11">
        <v>470.32639699999999</v>
      </c>
    </row>
    <row r="84" spans="1:16">
      <c r="A84" s="1" t="s">
        <v>11</v>
      </c>
      <c r="B84" s="4">
        <v>346540</v>
      </c>
      <c r="C84" s="4">
        <v>401331</v>
      </c>
      <c r="D84" s="4">
        <v>391219</v>
      </c>
      <c r="E84" s="4">
        <f t="shared" si="29"/>
        <v>363118.33333333331</v>
      </c>
      <c r="F84" s="11">
        <v>120.604</v>
      </c>
      <c r="G84" s="11">
        <v>200.33164600000001</v>
      </c>
      <c r="H84" s="1"/>
      <c r="J84" s="4">
        <v>346669</v>
      </c>
      <c r="K84" s="4">
        <v>401391</v>
      </c>
      <c r="L84" s="4">
        <v>391269</v>
      </c>
      <c r="M84" s="4">
        <f t="shared" si="30"/>
        <v>363222.66666666669</v>
      </c>
      <c r="N84" s="11">
        <v>121.416</v>
      </c>
      <c r="O84" s="11">
        <v>200.38767799999999</v>
      </c>
    </row>
    <row r="85" spans="1:16">
      <c r="A85" s="1" t="s">
        <v>12</v>
      </c>
      <c r="B85" s="4">
        <v>347789</v>
      </c>
      <c r="C85" s="4">
        <v>402056</v>
      </c>
      <c r="D85" s="4">
        <v>396610</v>
      </c>
      <c r="E85" s="4">
        <f t="shared" si="29"/>
        <v>364970.33333333331</v>
      </c>
      <c r="F85" s="11">
        <v>110.316</v>
      </c>
      <c r="G85" s="11">
        <v>533.17710099999999</v>
      </c>
      <c r="H85" s="1"/>
      <c r="J85" s="4">
        <v>347895</v>
      </c>
      <c r="K85" s="4">
        <v>401286</v>
      </c>
      <c r="L85" s="4">
        <v>396560</v>
      </c>
      <c r="M85" s="4">
        <f t="shared" si="30"/>
        <v>364904.33333333331</v>
      </c>
      <c r="N85" s="11">
        <v>110.752</v>
      </c>
      <c r="O85" s="11">
        <v>537.75737800000002</v>
      </c>
    </row>
    <row r="86" spans="1:16">
      <c r="A86" s="1" t="s">
        <v>13</v>
      </c>
      <c r="B86" s="4">
        <v>341638</v>
      </c>
      <c r="C86" s="4">
        <v>392869</v>
      </c>
      <c r="D86" s="4">
        <v>385134</v>
      </c>
      <c r="E86" s="4">
        <f t="shared" si="29"/>
        <v>357425.83333333331</v>
      </c>
      <c r="F86" s="11">
        <v>158.096</v>
      </c>
      <c r="G86" s="11">
        <v>242.05361600000001</v>
      </c>
      <c r="H86" s="1"/>
      <c r="J86" s="4">
        <v>341516</v>
      </c>
      <c r="K86" s="4">
        <v>392939</v>
      </c>
      <c r="L86" s="4">
        <v>385407</v>
      </c>
      <c r="M86" s="4">
        <f t="shared" si="30"/>
        <v>357401.66666666669</v>
      </c>
      <c r="N86" s="11">
        <v>158.70599999999999</v>
      </c>
      <c r="O86" s="11">
        <v>240.64352600000001</v>
      </c>
    </row>
    <row r="87" spans="1:16">
      <c r="A87" s="1" t="s">
        <v>14</v>
      </c>
      <c r="B87" s="4">
        <v>340809</v>
      </c>
      <c r="C87" s="4">
        <v>403231</v>
      </c>
      <c r="D87" s="4">
        <v>395358</v>
      </c>
      <c r="E87" s="4">
        <f t="shared" si="29"/>
        <v>360304.16666666669</v>
      </c>
      <c r="F87" s="11">
        <v>146.84</v>
      </c>
      <c r="G87" s="11">
        <v>272.748783</v>
      </c>
      <c r="H87" s="1"/>
      <c r="J87" s="4">
        <v>340729</v>
      </c>
      <c r="K87" s="4">
        <v>403238</v>
      </c>
      <c r="L87" s="4">
        <v>395157</v>
      </c>
      <c r="M87" s="4">
        <f t="shared" si="30"/>
        <v>360218.5</v>
      </c>
      <c r="N87" s="11">
        <v>146.37799999999999</v>
      </c>
      <c r="O87" s="11">
        <v>271.97869900000001</v>
      </c>
    </row>
    <row r="88" spans="1:16">
      <c r="A88" s="1" t="s">
        <v>7</v>
      </c>
      <c r="B88" s="4">
        <f>AVERAGE(B80:B87)</f>
        <v>348222.125</v>
      </c>
      <c r="C88" s="4">
        <f t="shared" ref="C88:G88" si="31">AVERAGE(C80:C87)</f>
        <v>399734.75</v>
      </c>
      <c r="D88" s="4">
        <f t="shared" si="31"/>
        <v>392953.125</v>
      </c>
      <c r="E88" s="4">
        <f t="shared" si="31"/>
        <v>364262.72916666663</v>
      </c>
      <c r="F88" s="11">
        <f t="shared" si="31"/>
        <v>115.38500000000001</v>
      </c>
      <c r="G88" s="11">
        <f t="shared" si="31"/>
        <v>307.147648</v>
      </c>
      <c r="H88" s="1" t="s">
        <v>137</v>
      </c>
      <c r="J88" s="4">
        <f>AVERAGE(J80:J87)</f>
        <v>348242.75</v>
      </c>
      <c r="K88" s="4">
        <f t="shared" ref="K88:O88" si="32">AVERAGE(K80:K87)</f>
        <v>399640.125</v>
      </c>
      <c r="L88" s="4">
        <f t="shared" si="32"/>
        <v>392926.25</v>
      </c>
      <c r="M88" s="4">
        <f t="shared" si="32"/>
        <v>364256.22916666669</v>
      </c>
      <c r="N88" s="11">
        <f t="shared" si="32"/>
        <v>115.63200000000001</v>
      </c>
      <c r="O88" s="11">
        <f t="shared" si="32"/>
        <v>307.11978712500002</v>
      </c>
      <c r="P88" t="s">
        <v>160</v>
      </c>
    </row>
    <row r="90" spans="1:16">
      <c r="A90" s="1" t="s">
        <v>62</v>
      </c>
      <c r="B90" s="1"/>
      <c r="C90" s="1"/>
      <c r="D90" s="1"/>
      <c r="E90" s="1"/>
      <c r="F90" s="11"/>
      <c r="G90" s="11"/>
      <c r="H90" s="1"/>
    </row>
    <row r="91" spans="1:16">
      <c r="A91" s="1" t="s">
        <v>4</v>
      </c>
      <c r="B91" s="4">
        <v>378968</v>
      </c>
      <c r="C91" s="4">
        <v>418627</v>
      </c>
      <c r="D91" s="4">
        <v>413356</v>
      </c>
      <c r="E91" s="4">
        <f>(B91*4+C91+D91)/6</f>
        <v>391309.16666666669</v>
      </c>
      <c r="F91" s="11">
        <v>744.19200000000001</v>
      </c>
      <c r="G91" s="11">
        <v>122.172522</v>
      </c>
      <c r="H91" s="1"/>
      <c r="J91" s="4">
        <v>378963</v>
      </c>
      <c r="K91" s="4">
        <v>418613</v>
      </c>
      <c r="L91" s="4">
        <v>413370</v>
      </c>
      <c r="M91" s="4">
        <f>(J91*4+K91+L91)/6</f>
        <v>391305.83333333331</v>
      </c>
      <c r="N91" s="11">
        <v>743.96</v>
      </c>
      <c r="O91" s="11">
        <v>122.018479</v>
      </c>
    </row>
    <row r="92" spans="1:16">
      <c r="A92" s="1" t="s">
        <v>5</v>
      </c>
      <c r="B92" s="4">
        <v>377687</v>
      </c>
      <c r="C92" s="4">
        <v>418796</v>
      </c>
      <c r="D92" s="4">
        <v>412180</v>
      </c>
      <c r="E92" s="4">
        <f t="shared" ref="E92:E98" si="33">(B92*4+C92+D92)/6</f>
        <v>390287.33333333331</v>
      </c>
      <c r="F92" s="11">
        <v>651.03599999999994</v>
      </c>
      <c r="G92" s="11">
        <v>595.45774900000004</v>
      </c>
      <c r="H92" s="1"/>
      <c r="J92" s="4">
        <v>377677</v>
      </c>
      <c r="K92" s="4">
        <v>418827</v>
      </c>
      <c r="L92" s="4">
        <v>412176</v>
      </c>
      <c r="M92" s="4">
        <f t="shared" ref="M92:M98" si="34">(J92*4+K92+L92)/6</f>
        <v>390285.16666666669</v>
      </c>
      <c r="N92" s="11">
        <v>651.56600000000003</v>
      </c>
      <c r="O92" s="11">
        <v>587.93884800000001</v>
      </c>
    </row>
    <row r="93" spans="1:16">
      <c r="A93" s="1" t="s">
        <v>6</v>
      </c>
      <c r="B93" s="4">
        <v>381660</v>
      </c>
      <c r="C93" s="4">
        <v>423963</v>
      </c>
      <c r="D93" s="4">
        <v>415967</v>
      </c>
      <c r="E93" s="4">
        <f t="shared" si="33"/>
        <v>394428.33333333331</v>
      </c>
      <c r="F93" s="11">
        <v>649.57600000000002</v>
      </c>
      <c r="G93" s="11">
        <v>145.949251</v>
      </c>
      <c r="H93" s="1"/>
      <c r="J93" s="4">
        <v>381645</v>
      </c>
      <c r="K93" s="4">
        <v>423965</v>
      </c>
      <c r="L93" s="4">
        <v>415917</v>
      </c>
      <c r="M93" s="4">
        <f t="shared" si="34"/>
        <v>394410.33333333331</v>
      </c>
      <c r="N93" s="11">
        <v>648.98800000000006</v>
      </c>
      <c r="O93" s="11">
        <v>145.41076899999999</v>
      </c>
    </row>
    <row r="94" spans="1:16">
      <c r="A94" s="1" t="s">
        <v>10</v>
      </c>
      <c r="B94" s="4">
        <v>381499</v>
      </c>
      <c r="C94" s="4">
        <v>421097</v>
      </c>
      <c r="D94" s="4">
        <v>419924</v>
      </c>
      <c r="E94" s="4">
        <f t="shared" si="33"/>
        <v>394502.83333333331</v>
      </c>
      <c r="F94" s="11">
        <v>576.726</v>
      </c>
      <c r="G94" s="11">
        <v>564.58723099999997</v>
      </c>
      <c r="H94" s="1"/>
      <c r="J94" s="4">
        <v>381527</v>
      </c>
      <c r="K94" s="4">
        <v>421127</v>
      </c>
      <c r="L94" s="4">
        <v>419991</v>
      </c>
      <c r="M94" s="4">
        <f t="shared" si="34"/>
        <v>394537.66666666669</v>
      </c>
      <c r="N94" s="11">
        <v>576.49199999999996</v>
      </c>
      <c r="O94" s="11">
        <v>557.19875000000002</v>
      </c>
    </row>
    <row r="95" spans="1:16">
      <c r="A95" s="1" t="s">
        <v>11</v>
      </c>
      <c r="B95" s="4">
        <v>381145</v>
      </c>
      <c r="C95" s="4">
        <v>419862</v>
      </c>
      <c r="D95" s="4">
        <v>415859</v>
      </c>
      <c r="E95" s="4">
        <f t="shared" si="33"/>
        <v>393383.5</v>
      </c>
      <c r="F95" s="11">
        <v>686.59199999999998</v>
      </c>
      <c r="G95" s="11">
        <v>145.73465999999999</v>
      </c>
      <c r="H95" s="1"/>
      <c r="J95" s="4">
        <v>381174</v>
      </c>
      <c r="K95" s="4">
        <v>419755</v>
      </c>
      <c r="L95" s="4">
        <v>415856</v>
      </c>
      <c r="M95" s="4">
        <f t="shared" si="34"/>
        <v>393384.5</v>
      </c>
      <c r="N95" s="11">
        <v>686.702</v>
      </c>
      <c r="O95" s="11">
        <v>145.61308700000001</v>
      </c>
    </row>
    <row r="96" spans="1:16">
      <c r="A96" s="1" t="s">
        <v>12</v>
      </c>
      <c r="B96" s="4">
        <v>390379</v>
      </c>
      <c r="C96" s="4">
        <v>430749</v>
      </c>
      <c r="D96" s="4">
        <v>426120</v>
      </c>
      <c r="E96" s="4">
        <f t="shared" si="33"/>
        <v>403064.16666666669</v>
      </c>
      <c r="F96" s="11">
        <v>492.50599999999997</v>
      </c>
      <c r="G96" s="11">
        <v>613.10822299999995</v>
      </c>
      <c r="H96" s="1"/>
      <c r="J96" s="4">
        <v>390322</v>
      </c>
      <c r="K96" s="4">
        <v>430758</v>
      </c>
      <c r="L96" s="4">
        <v>426248</v>
      </c>
      <c r="M96" s="4">
        <f t="shared" si="34"/>
        <v>403049</v>
      </c>
      <c r="N96" s="11">
        <v>491.64800000000002</v>
      </c>
      <c r="O96" s="11">
        <v>603.27528700000005</v>
      </c>
    </row>
    <row r="97" spans="1:16">
      <c r="A97" s="1" t="s">
        <v>13</v>
      </c>
      <c r="B97" s="4">
        <v>374071</v>
      </c>
      <c r="C97" s="4">
        <v>416794</v>
      </c>
      <c r="D97" s="4">
        <v>409161</v>
      </c>
      <c r="E97" s="4">
        <f t="shared" si="33"/>
        <v>387039.83333333331</v>
      </c>
      <c r="F97" s="11">
        <v>820.83799999999997</v>
      </c>
      <c r="G97" s="11">
        <v>153.91140899999999</v>
      </c>
      <c r="H97" s="1"/>
      <c r="J97" s="4">
        <v>374074</v>
      </c>
      <c r="K97" s="4">
        <v>416718</v>
      </c>
      <c r="L97" s="4">
        <v>409159</v>
      </c>
      <c r="M97" s="4">
        <f t="shared" si="34"/>
        <v>387028.83333333331</v>
      </c>
      <c r="N97" s="11">
        <v>821.32600000000002</v>
      </c>
      <c r="O97" s="11">
        <v>153.41013799999999</v>
      </c>
    </row>
    <row r="98" spans="1:16">
      <c r="A98" s="1" t="s">
        <v>14</v>
      </c>
      <c r="B98" s="4">
        <v>381495</v>
      </c>
      <c r="C98" s="4">
        <v>419083</v>
      </c>
      <c r="D98" s="4">
        <v>414508</v>
      </c>
      <c r="E98" s="4">
        <f t="shared" si="33"/>
        <v>393261.83333333331</v>
      </c>
      <c r="F98" s="11">
        <v>715.69</v>
      </c>
      <c r="G98" s="11">
        <v>181.23905999999999</v>
      </c>
      <c r="H98" s="1"/>
      <c r="J98" s="4">
        <v>381529</v>
      </c>
      <c r="K98" s="4">
        <v>419024</v>
      </c>
      <c r="L98" s="4">
        <v>414407</v>
      </c>
      <c r="M98" s="4">
        <f t="shared" si="34"/>
        <v>393257.83333333331</v>
      </c>
      <c r="N98" s="11">
        <v>715.904</v>
      </c>
      <c r="O98" s="11">
        <v>180.72160299999999</v>
      </c>
    </row>
    <row r="99" spans="1:16">
      <c r="A99" s="1" t="s">
        <v>7</v>
      </c>
      <c r="B99" s="4">
        <f>AVERAGE(B91:B98)</f>
        <v>380863</v>
      </c>
      <c r="C99" s="4">
        <f t="shared" ref="C99:G99" si="35">AVERAGE(C91:C98)</f>
        <v>421121.375</v>
      </c>
      <c r="D99" s="4">
        <f t="shared" si="35"/>
        <v>415884.375</v>
      </c>
      <c r="E99" s="4">
        <f t="shared" si="35"/>
        <v>393409.625</v>
      </c>
      <c r="F99" s="11">
        <f t="shared" si="35"/>
        <v>667.14450000000011</v>
      </c>
      <c r="G99" s="11">
        <f t="shared" si="35"/>
        <v>315.27001312499993</v>
      </c>
      <c r="H99" s="1" t="s">
        <v>138</v>
      </c>
      <c r="J99" s="4">
        <f>AVERAGE(J91:J98)</f>
        <v>380863.875</v>
      </c>
      <c r="K99" s="4">
        <f t="shared" ref="K99:O99" si="36">AVERAGE(K91:K98)</f>
        <v>421098.375</v>
      </c>
      <c r="L99" s="4">
        <f t="shared" si="36"/>
        <v>415890.5</v>
      </c>
      <c r="M99" s="4">
        <f t="shared" si="36"/>
        <v>393407.39583333337</v>
      </c>
      <c r="N99" s="11">
        <f t="shared" si="36"/>
        <v>667.07325000000014</v>
      </c>
      <c r="O99" s="11">
        <f t="shared" si="36"/>
        <v>311.948370125</v>
      </c>
      <c r="P99" t="s">
        <v>161</v>
      </c>
    </row>
    <row r="101" spans="1:16">
      <c r="A101" s="1" t="s">
        <v>63</v>
      </c>
      <c r="B101" s="1"/>
      <c r="C101" s="1"/>
      <c r="D101" s="1"/>
      <c r="E101" s="1"/>
      <c r="F101" s="11"/>
      <c r="G101" s="11"/>
      <c r="H101" s="1"/>
    </row>
    <row r="102" spans="1:16">
      <c r="A102" s="1" t="s">
        <v>4</v>
      </c>
      <c r="B102" s="4">
        <v>365235</v>
      </c>
      <c r="C102" s="4">
        <v>407687</v>
      </c>
      <c r="D102" s="4">
        <v>401009</v>
      </c>
      <c r="E102" s="4">
        <f>(B102*4+C102+D102)/6</f>
        <v>378272.66666666669</v>
      </c>
      <c r="F102" s="11">
        <v>366.43599999999998</v>
      </c>
      <c r="G102" s="11">
        <v>117.2478</v>
      </c>
      <c r="H102" s="1"/>
      <c r="J102" s="4">
        <v>365236</v>
      </c>
      <c r="K102" s="4">
        <v>407672</v>
      </c>
      <c r="L102" s="4">
        <v>401009</v>
      </c>
      <c r="M102" s="4">
        <f>(J102*4+K102+L102)/6</f>
        <v>378270.83333333331</v>
      </c>
      <c r="N102" s="11">
        <v>366.44799999999998</v>
      </c>
      <c r="O102" s="11">
        <v>117.11673</v>
      </c>
    </row>
    <row r="103" spans="1:16">
      <c r="A103" s="1" t="s">
        <v>5</v>
      </c>
      <c r="B103" s="4">
        <v>364526</v>
      </c>
      <c r="C103" s="4">
        <v>409573</v>
      </c>
      <c r="D103" s="4">
        <v>400671</v>
      </c>
      <c r="E103" s="4">
        <f t="shared" ref="E103:E109" si="37">(B103*4+C103+D103)/6</f>
        <v>378058</v>
      </c>
      <c r="F103" s="11">
        <v>267.75799999999998</v>
      </c>
      <c r="G103" s="11">
        <v>483.829204</v>
      </c>
      <c r="H103" s="1"/>
      <c r="J103" s="4">
        <v>364421</v>
      </c>
      <c r="K103" s="4">
        <v>409567</v>
      </c>
      <c r="L103" s="4">
        <v>400527</v>
      </c>
      <c r="M103" s="4">
        <f t="shared" ref="M103:M109" si="38">(J103*4+K103+L103)/6</f>
        <v>377963</v>
      </c>
      <c r="N103" s="11">
        <v>267.13</v>
      </c>
      <c r="O103" s="11">
        <v>479.65058199999999</v>
      </c>
    </row>
    <row r="104" spans="1:16">
      <c r="A104" s="1" t="s">
        <v>6</v>
      </c>
      <c r="B104" s="4">
        <v>368257</v>
      </c>
      <c r="C104" s="4">
        <v>414911</v>
      </c>
      <c r="D104" s="4">
        <v>403330</v>
      </c>
      <c r="E104" s="4">
        <f t="shared" si="37"/>
        <v>381878.16666666669</v>
      </c>
      <c r="F104" s="11">
        <v>284.84199999999998</v>
      </c>
      <c r="G104" s="11">
        <v>134.08356599999999</v>
      </c>
      <c r="H104" s="1"/>
      <c r="J104" s="4">
        <v>368268</v>
      </c>
      <c r="K104" s="4">
        <v>414880</v>
      </c>
      <c r="L104" s="4">
        <v>403332</v>
      </c>
      <c r="M104" s="4">
        <f t="shared" si="38"/>
        <v>381880.66666666669</v>
      </c>
      <c r="N104" s="11">
        <v>285.25599999999997</v>
      </c>
      <c r="O104" s="11">
        <v>133.88379499999999</v>
      </c>
    </row>
    <row r="105" spans="1:16">
      <c r="A105" s="1" t="s">
        <v>10</v>
      </c>
      <c r="B105" s="4">
        <v>367722</v>
      </c>
      <c r="C105" s="4">
        <v>411296</v>
      </c>
      <c r="D105" s="4">
        <v>409441</v>
      </c>
      <c r="E105" s="4">
        <f t="shared" si="37"/>
        <v>381937.5</v>
      </c>
      <c r="F105" s="11">
        <v>235.06399999999999</v>
      </c>
      <c r="G105" s="11">
        <v>463.54189000000002</v>
      </c>
      <c r="H105" s="1"/>
      <c r="J105" s="4">
        <v>367782</v>
      </c>
      <c r="K105" s="4">
        <v>411225</v>
      </c>
      <c r="L105" s="4">
        <v>409602</v>
      </c>
      <c r="M105" s="4">
        <f t="shared" si="38"/>
        <v>381992.5</v>
      </c>
      <c r="N105" s="11">
        <v>234.53399999999999</v>
      </c>
      <c r="O105" s="11">
        <v>459.61136299999998</v>
      </c>
    </row>
    <row r="106" spans="1:16">
      <c r="A106" s="1" t="s">
        <v>11</v>
      </c>
      <c r="B106" s="4">
        <v>366576</v>
      </c>
      <c r="C106" s="4">
        <v>408745</v>
      </c>
      <c r="D106" s="4">
        <v>402390</v>
      </c>
      <c r="E106" s="4">
        <f t="shared" si="37"/>
        <v>379573.16666666669</v>
      </c>
      <c r="F106" s="11">
        <v>316.52600000000001</v>
      </c>
      <c r="G106" s="11">
        <v>135.65875800000001</v>
      </c>
      <c r="H106" s="1"/>
      <c r="J106" s="4">
        <v>366653</v>
      </c>
      <c r="K106" s="4">
        <v>408818</v>
      </c>
      <c r="L106" s="4">
        <v>402453</v>
      </c>
      <c r="M106" s="4">
        <f t="shared" si="38"/>
        <v>379647.16666666669</v>
      </c>
      <c r="N106" s="11">
        <v>316.56</v>
      </c>
      <c r="O106" s="11">
        <v>137.17533900000001</v>
      </c>
    </row>
    <row r="107" spans="1:16">
      <c r="A107" s="1" t="s">
        <v>12</v>
      </c>
      <c r="B107" s="4">
        <v>376953</v>
      </c>
      <c r="C107" s="4">
        <v>421536</v>
      </c>
      <c r="D107" s="4">
        <v>415802</v>
      </c>
      <c r="E107" s="4">
        <f t="shared" si="37"/>
        <v>390858.33333333331</v>
      </c>
      <c r="F107" s="11">
        <v>225.52</v>
      </c>
      <c r="G107" s="11">
        <v>500.255944</v>
      </c>
      <c r="H107" s="1"/>
      <c r="J107" s="4">
        <v>376968</v>
      </c>
      <c r="K107" s="4">
        <v>421554</v>
      </c>
      <c r="L107" s="4">
        <v>415953</v>
      </c>
      <c r="M107" s="4">
        <f t="shared" si="38"/>
        <v>390896.5</v>
      </c>
      <c r="N107" s="11">
        <v>225.95</v>
      </c>
      <c r="O107" s="11">
        <v>494.27531099999999</v>
      </c>
    </row>
    <row r="108" spans="1:16">
      <c r="A108" s="1" t="s">
        <v>13</v>
      </c>
      <c r="B108" s="4">
        <v>361159</v>
      </c>
      <c r="C108" s="4">
        <v>408193</v>
      </c>
      <c r="D108" s="4">
        <v>398321</v>
      </c>
      <c r="E108" s="4">
        <f t="shared" si="37"/>
        <v>375191.66666666669</v>
      </c>
      <c r="F108" s="11">
        <v>351.83600000000001</v>
      </c>
      <c r="G108" s="11">
        <v>139.39278400000001</v>
      </c>
      <c r="H108" s="1"/>
      <c r="J108" s="4">
        <v>361145</v>
      </c>
      <c r="K108" s="4">
        <v>408218</v>
      </c>
      <c r="L108" s="4">
        <v>398364</v>
      </c>
      <c r="M108" s="4">
        <f t="shared" si="38"/>
        <v>375193.66666666669</v>
      </c>
      <c r="N108" s="11">
        <v>350.96800000000002</v>
      </c>
      <c r="O108" s="11">
        <v>139.58440200000001</v>
      </c>
    </row>
    <row r="109" spans="1:16">
      <c r="A109" s="1" t="s">
        <v>14</v>
      </c>
      <c r="B109" s="4">
        <v>367259</v>
      </c>
      <c r="C109" s="4">
        <v>408458</v>
      </c>
      <c r="D109" s="4">
        <v>402454</v>
      </c>
      <c r="E109" s="4">
        <f t="shared" si="37"/>
        <v>379991.33333333331</v>
      </c>
      <c r="F109" s="11">
        <v>351.75200000000001</v>
      </c>
      <c r="G109" s="11">
        <v>164.210767</v>
      </c>
      <c r="H109" s="1"/>
      <c r="J109" s="4">
        <v>367277</v>
      </c>
      <c r="K109" s="4">
        <v>408420</v>
      </c>
      <c r="L109" s="4">
        <v>402482</v>
      </c>
      <c r="M109" s="4">
        <f t="shared" si="38"/>
        <v>380001.66666666669</v>
      </c>
      <c r="N109" s="11">
        <v>351.25200000000001</v>
      </c>
      <c r="O109" s="11">
        <v>164.13361499999999</v>
      </c>
    </row>
    <row r="110" spans="1:16">
      <c r="A110" s="1" t="s">
        <v>7</v>
      </c>
      <c r="B110" s="4">
        <f>AVERAGE(B102:B109)</f>
        <v>367210.875</v>
      </c>
      <c r="C110" s="4">
        <f t="shared" ref="C110:G110" si="39">AVERAGE(C102:C109)</f>
        <v>411299.875</v>
      </c>
      <c r="D110" s="4">
        <f t="shared" si="39"/>
        <v>404177.25</v>
      </c>
      <c r="E110" s="4">
        <f t="shared" si="39"/>
        <v>380720.10416666669</v>
      </c>
      <c r="F110" s="11">
        <f t="shared" si="39"/>
        <v>299.96674999999999</v>
      </c>
      <c r="G110" s="11">
        <f t="shared" si="39"/>
        <v>267.27758912500002</v>
      </c>
      <c r="H110" s="1" t="s">
        <v>139</v>
      </c>
      <c r="J110" s="4">
        <f>AVERAGE(J102:J109)</f>
        <v>367218.75</v>
      </c>
      <c r="K110" s="4">
        <f t="shared" ref="K110:O110" si="40">AVERAGE(K102:K109)</f>
        <v>411294.25</v>
      </c>
      <c r="L110" s="4">
        <f t="shared" si="40"/>
        <v>404215.25</v>
      </c>
      <c r="M110" s="4">
        <f t="shared" si="40"/>
        <v>380730.75</v>
      </c>
      <c r="N110" s="11">
        <f t="shared" si="40"/>
        <v>299.76224999999999</v>
      </c>
      <c r="O110" s="11">
        <f t="shared" si="40"/>
        <v>265.678892125</v>
      </c>
      <c r="P110" t="s">
        <v>162</v>
      </c>
    </row>
    <row r="111" spans="1:16">
      <c r="H111" t="s">
        <v>196</v>
      </c>
    </row>
    <row r="112" spans="1:16">
      <c r="A112" s="1" t="s">
        <v>64</v>
      </c>
      <c r="B112" s="1"/>
      <c r="C112" s="1"/>
      <c r="D112" s="1"/>
      <c r="E112" s="1"/>
      <c r="F112" s="11"/>
      <c r="G112" s="11"/>
      <c r="H112" s="1"/>
    </row>
    <row r="113" spans="1:16">
      <c r="A113" s="1" t="s">
        <v>4</v>
      </c>
      <c r="B113" s="4">
        <v>350763</v>
      </c>
      <c r="C113" s="4">
        <v>399981</v>
      </c>
      <c r="D113" s="4">
        <v>392475</v>
      </c>
      <c r="E113" s="4">
        <f>(B113*4+C113+D113)/6</f>
        <v>365918</v>
      </c>
      <c r="F113" s="11">
        <v>197.94399999999999</v>
      </c>
      <c r="G113" s="11">
        <v>113.252206</v>
      </c>
      <c r="H113" s="1"/>
      <c r="J113" s="4">
        <v>350741</v>
      </c>
      <c r="K113" s="4">
        <v>399972</v>
      </c>
      <c r="L113" s="4">
        <v>392471</v>
      </c>
      <c r="M113" s="4">
        <f>(J113*4+K113+L113)/6</f>
        <v>365901.16666666669</v>
      </c>
      <c r="N113" s="11">
        <v>197.934</v>
      </c>
      <c r="O113" s="11">
        <v>113.25871100000001</v>
      </c>
    </row>
    <row r="114" spans="1:16">
      <c r="A114" s="1" t="s">
        <v>5</v>
      </c>
      <c r="B114" s="4">
        <v>348409</v>
      </c>
      <c r="C114" s="4">
        <v>402443</v>
      </c>
      <c r="D114" s="4">
        <v>391657</v>
      </c>
      <c r="E114" s="4">
        <f t="shared" ref="E114:E120" si="41">(B114*4+C114+D114)/6</f>
        <v>364622.66666666669</v>
      </c>
      <c r="F114" s="11">
        <v>121.23</v>
      </c>
      <c r="G114" s="11">
        <v>398.65349099999997</v>
      </c>
      <c r="H114" s="1"/>
      <c r="J114" s="4">
        <v>348388</v>
      </c>
      <c r="K114" s="4">
        <v>402486</v>
      </c>
      <c r="L114" s="4">
        <v>391742</v>
      </c>
      <c r="M114" s="4">
        <f t="shared" ref="M114:M120" si="42">(J114*4+K114+L114)/6</f>
        <v>364630</v>
      </c>
      <c r="N114" s="11">
        <v>121.47</v>
      </c>
      <c r="O114" s="11">
        <v>397.14162800000003</v>
      </c>
    </row>
    <row r="115" spans="1:16">
      <c r="A115" s="1" t="s">
        <v>6</v>
      </c>
      <c r="B115" s="4">
        <v>352428</v>
      </c>
      <c r="C115" s="4">
        <v>407725</v>
      </c>
      <c r="D115" s="4">
        <v>393054</v>
      </c>
      <c r="E115" s="4">
        <f t="shared" si="41"/>
        <v>368415.16666666669</v>
      </c>
      <c r="F115" s="11">
        <v>139.34200000000001</v>
      </c>
      <c r="G115" s="11">
        <v>125.65030299999999</v>
      </c>
      <c r="H115" s="1"/>
      <c r="J115" s="4">
        <v>352421</v>
      </c>
      <c r="K115" s="4">
        <v>407745</v>
      </c>
      <c r="L115" s="4">
        <v>393022</v>
      </c>
      <c r="M115" s="4">
        <f t="shared" si="42"/>
        <v>368408.5</v>
      </c>
      <c r="N115" s="11">
        <v>139.47999999999999</v>
      </c>
      <c r="O115" s="11">
        <v>125.763486</v>
      </c>
    </row>
    <row r="116" spans="1:16">
      <c r="A116" s="1" t="s">
        <v>10</v>
      </c>
      <c r="B116" s="4">
        <v>352270</v>
      </c>
      <c r="C116" s="4">
        <v>404416</v>
      </c>
      <c r="D116" s="4">
        <v>402527</v>
      </c>
      <c r="E116" s="4">
        <f t="shared" si="41"/>
        <v>369337.16666666669</v>
      </c>
      <c r="F116" s="11">
        <v>108.806</v>
      </c>
      <c r="G116" s="11">
        <v>385.53749699999997</v>
      </c>
      <c r="H116" s="1"/>
      <c r="J116" s="4">
        <v>352287</v>
      </c>
      <c r="K116" s="4">
        <v>404382</v>
      </c>
      <c r="L116" s="4">
        <v>402309</v>
      </c>
      <c r="M116" s="4">
        <f t="shared" si="42"/>
        <v>369306.5</v>
      </c>
      <c r="N116" s="11">
        <v>108.57</v>
      </c>
      <c r="O116" s="11">
        <v>383.62118600000002</v>
      </c>
    </row>
    <row r="117" spans="1:16">
      <c r="A117" s="1" t="s">
        <v>11</v>
      </c>
      <c r="B117" s="4">
        <v>350041</v>
      </c>
      <c r="C117" s="4">
        <v>401309</v>
      </c>
      <c r="D117" s="4">
        <v>391486</v>
      </c>
      <c r="E117" s="4">
        <f t="shared" si="41"/>
        <v>365493.16666666669</v>
      </c>
      <c r="F117" s="11">
        <v>156.63800000000001</v>
      </c>
      <c r="G117" s="11">
        <v>127.31073600000001</v>
      </c>
      <c r="H117" s="1"/>
      <c r="J117" s="4">
        <v>350014</v>
      </c>
      <c r="K117" s="4">
        <v>401371</v>
      </c>
      <c r="L117" s="4">
        <v>391388</v>
      </c>
      <c r="M117" s="4">
        <f t="shared" si="42"/>
        <v>365469.16666666669</v>
      </c>
      <c r="N117" s="11">
        <v>156.02199999999999</v>
      </c>
      <c r="O117" s="11">
        <v>127.155805</v>
      </c>
    </row>
    <row r="118" spans="1:16">
      <c r="A118" s="1" t="s">
        <v>12</v>
      </c>
      <c r="B118" s="4">
        <v>360060</v>
      </c>
      <c r="C118" s="4">
        <v>414290</v>
      </c>
      <c r="D118" s="4">
        <v>408182</v>
      </c>
      <c r="E118" s="4">
        <f t="shared" si="41"/>
        <v>377118.66666666669</v>
      </c>
      <c r="F118" s="11">
        <v>114.974</v>
      </c>
      <c r="G118" s="11">
        <v>409.38649099999998</v>
      </c>
      <c r="H118" s="1"/>
      <c r="J118" s="4">
        <v>360092</v>
      </c>
      <c r="K118" s="4">
        <v>414214</v>
      </c>
      <c r="L118" s="4">
        <v>408196</v>
      </c>
      <c r="M118" s="4">
        <f t="shared" si="42"/>
        <v>377129.66666666669</v>
      </c>
      <c r="N118" s="11">
        <v>114.94199999999999</v>
      </c>
      <c r="O118" s="11">
        <v>405.78093100000001</v>
      </c>
    </row>
    <row r="119" spans="1:16">
      <c r="A119" s="1" t="s">
        <v>13</v>
      </c>
      <c r="B119" s="4">
        <v>346716</v>
      </c>
      <c r="C119" s="4">
        <v>401704</v>
      </c>
      <c r="D119" s="4">
        <v>389934</v>
      </c>
      <c r="E119" s="4">
        <f t="shared" si="41"/>
        <v>363083.66666666669</v>
      </c>
      <c r="F119" s="11">
        <v>173.96199999999999</v>
      </c>
      <c r="G119" s="11">
        <v>130.70217299999999</v>
      </c>
      <c r="H119" s="1"/>
      <c r="J119" s="4">
        <v>346686</v>
      </c>
      <c r="K119" s="4">
        <v>401836</v>
      </c>
      <c r="L119" s="4">
        <v>389768</v>
      </c>
      <c r="M119" s="4">
        <f t="shared" si="42"/>
        <v>363058</v>
      </c>
      <c r="N119" s="11">
        <v>173.05799999999999</v>
      </c>
      <c r="O119" s="11">
        <v>130.33788000000001</v>
      </c>
    </row>
    <row r="120" spans="1:16">
      <c r="A120" s="1" t="s">
        <v>14</v>
      </c>
      <c r="B120" s="4">
        <v>350464</v>
      </c>
      <c r="C120" s="4">
        <v>401232</v>
      </c>
      <c r="D120" s="4">
        <v>395054</v>
      </c>
      <c r="E120" s="4">
        <f t="shared" si="41"/>
        <v>366357</v>
      </c>
      <c r="F120" s="11">
        <v>180.88399999999999</v>
      </c>
      <c r="G120" s="11">
        <v>149.59938500000001</v>
      </c>
      <c r="H120" s="1"/>
      <c r="J120" s="4">
        <v>350295</v>
      </c>
      <c r="K120" s="4">
        <v>401168</v>
      </c>
      <c r="L120" s="4">
        <v>394909</v>
      </c>
      <c r="M120" s="4">
        <f t="shared" si="42"/>
        <v>366209.5</v>
      </c>
      <c r="N120" s="11">
        <v>180.74799999999999</v>
      </c>
      <c r="O120" s="11">
        <v>149.84823499999999</v>
      </c>
    </row>
    <row r="121" spans="1:16">
      <c r="A121" s="1" t="s">
        <v>7</v>
      </c>
      <c r="B121" s="4">
        <f>AVERAGE(B113:B120)</f>
        <v>351393.875</v>
      </c>
      <c r="C121" s="4">
        <f t="shared" ref="C121:G121" si="43">AVERAGE(C113:C120)</f>
        <v>404137.5</v>
      </c>
      <c r="D121" s="4">
        <f t="shared" si="43"/>
        <v>395546.125</v>
      </c>
      <c r="E121" s="4">
        <f t="shared" si="43"/>
        <v>367543.1875</v>
      </c>
      <c r="F121" s="11">
        <f t="shared" si="43"/>
        <v>149.2225</v>
      </c>
      <c r="G121" s="11">
        <f t="shared" si="43"/>
        <v>230.01153524999995</v>
      </c>
      <c r="H121" t="s">
        <v>195</v>
      </c>
      <c r="J121" s="4">
        <f>AVERAGE(J113:J120)</f>
        <v>351365.5</v>
      </c>
      <c r="K121" s="4">
        <f t="shared" ref="K121:O121" si="44">AVERAGE(K113:K120)</f>
        <v>404146.75</v>
      </c>
      <c r="L121" s="4">
        <f t="shared" si="44"/>
        <v>395475.625</v>
      </c>
      <c r="M121" s="4">
        <f t="shared" si="44"/>
        <v>367514.0625</v>
      </c>
      <c r="N121" s="11">
        <f t="shared" si="44"/>
        <v>149.02799999999999</v>
      </c>
      <c r="O121" s="11">
        <f t="shared" si="44"/>
        <v>229.11348275000003</v>
      </c>
      <c r="P121" t="s">
        <v>163</v>
      </c>
    </row>
    <row r="123" spans="1:16">
      <c r="A123" s="1" t="s">
        <v>65</v>
      </c>
      <c r="B123" s="1"/>
      <c r="C123" s="1"/>
      <c r="D123" s="1"/>
      <c r="E123" s="1"/>
      <c r="F123" s="11"/>
      <c r="G123" s="11"/>
      <c r="H123" s="1"/>
    </row>
    <row r="124" spans="1:16">
      <c r="A124" s="1" t="s">
        <v>4</v>
      </c>
      <c r="B124" s="4">
        <v>335978</v>
      </c>
      <c r="C124" s="4">
        <v>391587</v>
      </c>
      <c r="D124" s="4">
        <v>383067</v>
      </c>
      <c r="E124" s="4">
        <f>(B124*4+C124+D124)/6</f>
        <v>353094.33333333331</v>
      </c>
      <c r="F124" s="11">
        <v>116.342</v>
      </c>
      <c r="G124" s="11">
        <v>109.00308800000001</v>
      </c>
      <c r="H124" s="1"/>
      <c r="J124" s="4">
        <v>335985</v>
      </c>
      <c r="K124" s="4">
        <v>391604</v>
      </c>
      <c r="L124" s="4">
        <v>383064</v>
      </c>
      <c r="M124" s="4">
        <f>(J124*4+K124+L124)/6</f>
        <v>353101.33333333331</v>
      </c>
      <c r="N124" s="11">
        <v>116.07</v>
      </c>
      <c r="O124" s="11">
        <v>108.960571</v>
      </c>
    </row>
    <row r="125" spans="1:16">
      <c r="A125" s="1" t="s">
        <v>5</v>
      </c>
      <c r="B125" s="4">
        <v>330743</v>
      </c>
      <c r="C125" s="4">
        <v>395198</v>
      </c>
      <c r="D125" s="4">
        <v>381994</v>
      </c>
      <c r="E125" s="4">
        <f t="shared" ref="E125:E131" si="45">(B125*4+C125+D125)/6</f>
        <v>350027.33333333331</v>
      </c>
      <c r="F125" s="11">
        <v>59.293999999999997</v>
      </c>
      <c r="G125" s="11">
        <v>324.41601500000002</v>
      </c>
      <c r="H125" s="1"/>
      <c r="J125" s="4">
        <v>330741</v>
      </c>
      <c r="K125" s="4">
        <v>395118</v>
      </c>
      <c r="L125" s="4">
        <v>382011</v>
      </c>
      <c r="M125" s="4">
        <f t="shared" ref="M125:M131" si="46">(J125*4+K125+L125)/6</f>
        <v>350015.5</v>
      </c>
      <c r="N125" s="11">
        <v>59.241999999999997</v>
      </c>
      <c r="O125" s="11">
        <v>323.93763200000001</v>
      </c>
    </row>
    <row r="126" spans="1:16">
      <c r="A126" s="1" t="s">
        <v>6</v>
      </c>
      <c r="B126" s="4">
        <v>335109</v>
      </c>
      <c r="C126" s="4">
        <v>399489</v>
      </c>
      <c r="D126" s="4">
        <v>382320</v>
      </c>
      <c r="E126" s="4">
        <f t="shared" si="45"/>
        <v>353707.5</v>
      </c>
      <c r="F126" s="11">
        <v>72.016000000000005</v>
      </c>
      <c r="G126" s="11">
        <v>117.981326</v>
      </c>
      <c r="H126" s="1"/>
      <c r="J126" s="4">
        <v>335116</v>
      </c>
      <c r="K126" s="4">
        <v>399507</v>
      </c>
      <c r="L126" s="4">
        <v>382475</v>
      </c>
      <c r="M126" s="4">
        <f t="shared" si="46"/>
        <v>353741</v>
      </c>
      <c r="N126" s="11">
        <v>71.963999999999999</v>
      </c>
      <c r="O126" s="11">
        <v>118.226269</v>
      </c>
    </row>
    <row r="127" spans="1:16">
      <c r="A127" s="1" t="s">
        <v>10</v>
      </c>
      <c r="B127" s="4">
        <v>334971</v>
      </c>
      <c r="C127" s="4">
        <v>397580</v>
      </c>
      <c r="D127" s="4">
        <v>393771</v>
      </c>
      <c r="E127" s="4">
        <f t="shared" si="45"/>
        <v>355205.83333333331</v>
      </c>
      <c r="F127" s="11">
        <v>54.192</v>
      </c>
      <c r="G127" s="11">
        <v>315.33043400000003</v>
      </c>
      <c r="H127" s="1"/>
      <c r="J127" s="4">
        <v>334975</v>
      </c>
      <c r="K127" s="4">
        <v>397508</v>
      </c>
      <c r="L127" s="4">
        <v>393760</v>
      </c>
      <c r="M127" s="4">
        <f t="shared" si="46"/>
        <v>355194.66666666669</v>
      </c>
      <c r="N127" s="11">
        <v>54.293999999999997</v>
      </c>
      <c r="O127" s="11">
        <v>314.58390000000003</v>
      </c>
    </row>
    <row r="128" spans="1:16">
      <c r="A128" s="1" t="s">
        <v>11</v>
      </c>
      <c r="B128" s="4">
        <v>332230</v>
      </c>
      <c r="C128" s="4">
        <v>393694</v>
      </c>
      <c r="D128" s="4">
        <v>378365</v>
      </c>
      <c r="E128" s="4">
        <f t="shared" si="45"/>
        <v>350163.16666666669</v>
      </c>
      <c r="F128" s="11">
        <v>81.147999999999996</v>
      </c>
      <c r="G128" s="11">
        <v>119.28322300000001</v>
      </c>
      <c r="H128" s="1"/>
      <c r="J128" s="4">
        <v>332219</v>
      </c>
      <c r="K128" s="4">
        <v>393724</v>
      </c>
      <c r="L128" s="4">
        <v>378524</v>
      </c>
      <c r="M128" s="4">
        <f t="shared" si="46"/>
        <v>350187.33333333331</v>
      </c>
      <c r="N128" s="11">
        <v>80.745999999999995</v>
      </c>
      <c r="O128" s="11">
        <v>119.359875</v>
      </c>
    </row>
    <row r="129" spans="1:16">
      <c r="A129" s="1" t="s">
        <v>12</v>
      </c>
      <c r="B129" s="4">
        <v>340395</v>
      </c>
      <c r="C129" s="4">
        <v>407023</v>
      </c>
      <c r="D129" s="4">
        <v>397831</v>
      </c>
      <c r="E129" s="4">
        <f t="shared" si="45"/>
        <v>361072.33333333331</v>
      </c>
      <c r="F129" s="11">
        <v>61.758000000000003</v>
      </c>
      <c r="G129" s="11">
        <v>327.25672900000001</v>
      </c>
      <c r="H129" s="1"/>
      <c r="J129" s="4">
        <v>340261</v>
      </c>
      <c r="K129" s="4">
        <v>407077</v>
      </c>
      <c r="L129" s="4">
        <v>397642</v>
      </c>
      <c r="M129" s="4">
        <f t="shared" si="46"/>
        <v>360960.5</v>
      </c>
      <c r="N129" s="11">
        <v>61.927999999999997</v>
      </c>
      <c r="O129" s="11">
        <v>325.31124299999999</v>
      </c>
    </row>
    <row r="130" spans="1:16">
      <c r="A130" s="1" t="s">
        <v>13</v>
      </c>
      <c r="B130" s="4">
        <v>330044</v>
      </c>
      <c r="C130" s="4">
        <v>394644</v>
      </c>
      <c r="D130" s="4">
        <v>379560</v>
      </c>
      <c r="E130" s="4">
        <f t="shared" si="45"/>
        <v>349063.33333333331</v>
      </c>
      <c r="F130" s="11">
        <v>91.944000000000003</v>
      </c>
      <c r="G130" s="11">
        <v>122.211394</v>
      </c>
      <c r="H130" s="1"/>
      <c r="J130" s="4">
        <v>330046</v>
      </c>
      <c r="K130" s="4">
        <v>394517</v>
      </c>
      <c r="L130" s="4">
        <v>379619</v>
      </c>
      <c r="M130" s="4">
        <f t="shared" si="46"/>
        <v>349053.33333333331</v>
      </c>
      <c r="N130" s="11">
        <v>92.183999999999997</v>
      </c>
      <c r="O130" s="11">
        <v>122.165694</v>
      </c>
    </row>
    <row r="131" spans="1:16">
      <c r="A131" s="1" t="s">
        <v>14</v>
      </c>
      <c r="B131" s="4">
        <v>331332</v>
      </c>
      <c r="C131" s="4">
        <v>393892</v>
      </c>
      <c r="D131" s="4">
        <v>386599</v>
      </c>
      <c r="E131" s="4">
        <f t="shared" si="45"/>
        <v>350969.83333333331</v>
      </c>
      <c r="F131" s="11">
        <v>93.88</v>
      </c>
      <c r="G131" s="11">
        <v>136.68303800000001</v>
      </c>
      <c r="H131" s="1"/>
      <c r="J131" s="4">
        <v>331316</v>
      </c>
      <c r="K131" s="4">
        <v>393856</v>
      </c>
      <c r="L131" s="4">
        <v>386905</v>
      </c>
      <c r="M131" s="4">
        <f t="shared" si="46"/>
        <v>351004.16666666669</v>
      </c>
      <c r="N131" s="11">
        <v>94.111999999999995</v>
      </c>
      <c r="O131" s="11">
        <v>136.99120400000001</v>
      </c>
    </row>
    <row r="132" spans="1:16">
      <c r="A132" s="1" t="s">
        <v>7</v>
      </c>
      <c r="B132" s="4">
        <f>AVERAGE(B124:B131)</f>
        <v>333850.25</v>
      </c>
      <c r="C132" s="4">
        <f t="shared" ref="C132:G132" si="47">AVERAGE(C124:C131)</f>
        <v>396638.375</v>
      </c>
      <c r="D132" s="4">
        <f t="shared" si="47"/>
        <v>385438.375</v>
      </c>
      <c r="E132" s="4">
        <f t="shared" si="47"/>
        <v>352912.95833333337</v>
      </c>
      <c r="F132" s="11">
        <f t="shared" si="47"/>
        <v>78.821749999999994</v>
      </c>
      <c r="G132" s="11">
        <f t="shared" si="47"/>
        <v>196.52065587499999</v>
      </c>
      <c r="H132" s="1" t="s">
        <v>140</v>
      </c>
      <c r="J132" s="4">
        <f>AVERAGE(J124:J131)</f>
        <v>333832.375</v>
      </c>
      <c r="K132" s="4">
        <f t="shared" ref="K132:O132" si="48">AVERAGE(K124:K131)</f>
        <v>396613.875</v>
      </c>
      <c r="L132" s="4">
        <f t="shared" si="48"/>
        <v>385500</v>
      </c>
      <c r="M132" s="4">
        <f t="shared" si="48"/>
        <v>352907.22916666663</v>
      </c>
      <c r="N132" s="11">
        <f t="shared" si="48"/>
        <v>78.817499999999995</v>
      </c>
      <c r="O132" s="11">
        <f t="shared" si="48"/>
        <v>196.1920485</v>
      </c>
      <c r="P132" t="s">
        <v>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32"/>
  <sheetViews>
    <sheetView topLeftCell="A115" workbookViewId="0">
      <selection activeCell="H132" sqref="H132:I132"/>
    </sheetView>
  </sheetViews>
  <sheetFormatPr defaultRowHeight="13.5"/>
  <cols>
    <col min="9" max="9" width="9" style="1"/>
  </cols>
  <sheetData>
    <row r="1" spans="1:9" ht="14.25">
      <c r="B1" s="2" t="s">
        <v>0</v>
      </c>
      <c r="C1" s="2" t="s">
        <v>1</v>
      </c>
      <c r="D1" s="2" t="s">
        <v>2</v>
      </c>
      <c r="E1" s="2" t="s">
        <v>17</v>
      </c>
      <c r="F1" s="2" t="s">
        <v>3</v>
      </c>
      <c r="G1" s="2" t="s">
        <v>38</v>
      </c>
      <c r="H1" s="3" t="s">
        <v>8</v>
      </c>
    </row>
    <row r="2" spans="1:9">
      <c r="A2" s="1" t="s">
        <v>37</v>
      </c>
      <c r="B2" s="1"/>
      <c r="C2" s="1"/>
      <c r="D2" s="1"/>
      <c r="E2" s="1"/>
      <c r="F2" s="1"/>
      <c r="G2" s="1"/>
      <c r="H2" s="1"/>
    </row>
    <row r="3" spans="1:9">
      <c r="A3" s="1" t="s">
        <v>4</v>
      </c>
      <c r="B3" s="4">
        <v>385027</v>
      </c>
      <c r="C3" s="4">
        <v>414730</v>
      </c>
      <c r="D3" s="4">
        <v>413551</v>
      </c>
      <c r="E3" s="4">
        <f>(B3*4+C3+D3)/6</f>
        <v>394731.5</v>
      </c>
      <c r="F3" s="1">
        <v>1277.8679999999999</v>
      </c>
      <c r="G3" s="1">
        <v>315.970234</v>
      </c>
      <c r="H3" s="1"/>
    </row>
    <row r="4" spans="1:9">
      <c r="A4" s="1" t="s">
        <v>5</v>
      </c>
      <c r="B4" s="4">
        <v>383267</v>
      </c>
      <c r="C4" s="4">
        <v>415600</v>
      </c>
      <c r="D4" s="4">
        <v>412245</v>
      </c>
      <c r="E4" s="4">
        <f t="shared" ref="E4:E10" si="0">(B4*4+C4+D4)/6</f>
        <v>393485.5</v>
      </c>
      <c r="F4" s="1">
        <v>1004.178</v>
      </c>
      <c r="G4" s="1">
        <v>973.401295</v>
      </c>
      <c r="H4" s="1"/>
    </row>
    <row r="5" spans="1:9">
      <c r="A5" s="1" t="s">
        <v>6</v>
      </c>
      <c r="B5" s="4">
        <v>386369</v>
      </c>
      <c r="C5" s="4">
        <v>417788</v>
      </c>
      <c r="D5" s="4">
        <v>415216</v>
      </c>
      <c r="E5" s="4">
        <f t="shared" si="0"/>
        <v>396413.33333333331</v>
      </c>
      <c r="F5" s="1">
        <v>1156.6020000000001</v>
      </c>
      <c r="G5" s="1">
        <v>352.21686299999999</v>
      </c>
      <c r="H5" s="1"/>
    </row>
    <row r="6" spans="1:9">
      <c r="A6" s="1" t="s">
        <v>10</v>
      </c>
      <c r="B6" s="4">
        <v>385048</v>
      </c>
      <c r="C6" s="4">
        <v>414346</v>
      </c>
      <c r="D6" s="4">
        <v>413642</v>
      </c>
      <c r="E6" s="4">
        <f t="shared" si="0"/>
        <v>394696.66666666669</v>
      </c>
      <c r="F6" s="1">
        <v>973.45399999999995</v>
      </c>
      <c r="G6" s="1">
        <v>918.24923699999999</v>
      </c>
      <c r="H6" s="1"/>
    </row>
    <row r="7" spans="1:9">
      <c r="A7" s="1" t="s">
        <v>11</v>
      </c>
      <c r="B7" s="4">
        <v>383809</v>
      </c>
      <c r="C7" s="4">
        <v>413068</v>
      </c>
      <c r="D7" s="4">
        <v>410277</v>
      </c>
      <c r="E7" s="4">
        <f t="shared" si="0"/>
        <v>393096.83333333331</v>
      </c>
      <c r="F7" s="1">
        <v>1275.136</v>
      </c>
      <c r="G7" s="1">
        <v>357.064999</v>
      </c>
      <c r="H7" s="1"/>
    </row>
    <row r="8" spans="1:9">
      <c r="A8" s="1" t="s">
        <v>12</v>
      </c>
      <c r="B8" s="4">
        <v>390783</v>
      </c>
      <c r="C8" s="4">
        <v>418563</v>
      </c>
      <c r="D8" s="4">
        <v>417418</v>
      </c>
      <c r="E8" s="4">
        <f t="shared" si="0"/>
        <v>399852.16666666669</v>
      </c>
      <c r="F8" s="1">
        <v>935.04600000000005</v>
      </c>
      <c r="G8" s="1">
        <v>962.26835700000004</v>
      </c>
      <c r="H8" s="1"/>
    </row>
    <row r="9" spans="1:9">
      <c r="A9" s="1" t="s">
        <v>13</v>
      </c>
      <c r="B9" s="4">
        <v>379883</v>
      </c>
      <c r="C9" s="4">
        <v>412591</v>
      </c>
      <c r="D9" s="4">
        <v>410671</v>
      </c>
      <c r="E9" s="4">
        <f t="shared" si="0"/>
        <v>390465.66666666669</v>
      </c>
      <c r="F9" s="1">
        <v>1272.24</v>
      </c>
      <c r="G9" s="1">
        <v>365.31733400000002</v>
      </c>
      <c r="H9" s="1"/>
    </row>
    <row r="10" spans="1:9">
      <c r="A10" s="1" t="s">
        <v>14</v>
      </c>
      <c r="B10" s="4">
        <v>382924</v>
      </c>
      <c r="C10" s="4">
        <v>411375</v>
      </c>
      <c r="D10" s="4">
        <v>408184</v>
      </c>
      <c r="E10" s="4">
        <f t="shared" si="0"/>
        <v>391875.83333333331</v>
      </c>
      <c r="F10" s="1">
        <v>1339.8679999999999</v>
      </c>
      <c r="G10" s="1">
        <v>395.53058800000002</v>
      </c>
      <c r="H10" s="1"/>
    </row>
    <row r="11" spans="1:9">
      <c r="A11" s="1" t="s">
        <v>7</v>
      </c>
      <c r="B11" s="4">
        <f>AVERAGE(B3:B10)</f>
        <v>384638.75</v>
      </c>
      <c r="C11" s="4">
        <f t="shared" ref="C11:G11" si="1">AVERAGE(C3:C10)</f>
        <v>414757.625</v>
      </c>
      <c r="D11" s="4">
        <f t="shared" si="1"/>
        <v>412650.5</v>
      </c>
      <c r="E11" s="4">
        <f t="shared" si="1"/>
        <v>394327.1875</v>
      </c>
      <c r="F11" s="5">
        <f t="shared" si="1"/>
        <v>1154.299</v>
      </c>
      <c r="G11" s="5">
        <f t="shared" si="1"/>
        <v>580.00236337499996</v>
      </c>
      <c r="H11" s="1" t="s">
        <v>208</v>
      </c>
      <c r="I11" s="1">
        <f>6*3600+42*60+20</f>
        <v>24140</v>
      </c>
    </row>
    <row r="13" spans="1:9">
      <c r="A13" s="1" t="s">
        <v>39</v>
      </c>
      <c r="B13" s="1"/>
      <c r="C13" s="1"/>
      <c r="D13" s="1"/>
      <c r="E13" s="1"/>
      <c r="F13" s="1"/>
      <c r="G13" s="1"/>
      <c r="H13" s="1"/>
    </row>
    <row r="14" spans="1:9">
      <c r="A14" s="1" t="s">
        <v>4</v>
      </c>
      <c r="B14" s="4">
        <v>366563</v>
      </c>
      <c r="C14" s="4">
        <v>399397</v>
      </c>
      <c r="D14" s="4">
        <v>397663</v>
      </c>
      <c r="E14" s="4">
        <f>(B14*4+C14+D14)/6</f>
        <v>377218.66666666669</v>
      </c>
      <c r="F14" s="1">
        <v>788.52800000000002</v>
      </c>
      <c r="G14" s="1">
        <v>289.30843700000003</v>
      </c>
      <c r="H14" s="1"/>
    </row>
    <row r="15" spans="1:9">
      <c r="A15" s="1" t="s">
        <v>5</v>
      </c>
      <c r="B15" s="4">
        <v>366364</v>
      </c>
      <c r="C15" s="4">
        <v>402151</v>
      </c>
      <c r="D15" s="4">
        <v>397462</v>
      </c>
      <c r="E15" s="4">
        <f t="shared" ref="E15:E21" si="2">(B15*4+C15+D15)/6</f>
        <v>377511.5</v>
      </c>
      <c r="F15" s="1">
        <v>565.16</v>
      </c>
      <c r="G15" s="1">
        <v>858.64264200000002</v>
      </c>
      <c r="H15" s="1"/>
    </row>
    <row r="16" spans="1:9">
      <c r="A16" s="1" t="s">
        <v>6</v>
      </c>
      <c r="B16" s="4">
        <v>368890</v>
      </c>
      <c r="C16" s="4">
        <v>403392</v>
      </c>
      <c r="D16" s="4">
        <v>400441</v>
      </c>
      <c r="E16" s="4">
        <f t="shared" si="2"/>
        <v>379898.83333333331</v>
      </c>
      <c r="F16" s="1">
        <v>684.41800000000001</v>
      </c>
      <c r="G16" s="1">
        <v>320.642585</v>
      </c>
      <c r="H16" s="1"/>
    </row>
    <row r="17" spans="1:9">
      <c r="A17" s="1" t="s">
        <v>10</v>
      </c>
      <c r="B17" s="4">
        <v>365731</v>
      </c>
      <c r="C17" s="4">
        <v>399604</v>
      </c>
      <c r="D17" s="4">
        <v>398540</v>
      </c>
      <c r="E17" s="4">
        <f t="shared" si="2"/>
        <v>376844.66666666669</v>
      </c>
      <c r="F17" s="1">
        <v>543.36199999999997</v>
      </c>
      <c r="G17" s="1">
        <v>817.20374700000002</v>
      </c>
      <c r="H17" s="1"/>
    </row>
    <row r="18" spans="1:9">
      <c r="A18" s="1" t="s">
        <v>11</v>
      </c>
      <c r="B18" s="4">
        <v>364484</v>
      </c>
      <c r="C18" s="4">
        <v>397366</v>
      </c>
      <c r="D18" s="4">
        <v>394653</v>
      </c>
      <c r="E18" s="4">
        <f t="shared" si="2"/>
        <v>374992.5</v>
      </c>
      <c r="F18" s="1">
        <v>750.84400000000005</v>
      </c>
      <c r="G18" s="1">
        <v>326.48523</v>
      </c>
      <c r="H18" s="1"/>
    </row>
    <row r="19" spans="1:9">
      <c r="A19" s="1" t="s">
        <v>12</v>
      </c>
      <c r="B19" s="4">
        <v>371745</v>
      </c>
      <c r="C19" s="4">
        <v>402233</v>
      </c>
      <c r="D19" s="4">
        <v>402110</v>
      </c>
      <c r="E19" s="4">
        <f t="shared" si="2"/>
        <v>381887.16666666669</v>
      </c>
      <c r="F19" s="1">
        <v>535.13800000000003</v>
      </c>
      <c r="G19" s="1">
        <v>855.73971500000005</v>
      </c>
      <c r="H19" s="1"/>
    </row>
    <row r="20" spans="1:9">
      <c r="A20" s="1" t="s">
        <v>13</v>
      </c>
      <c r="B20" s="4">
        <v>363922</v>
      </c>
      <c r="C20" s="4">
        <v>399089</v>
      </c>
      <c r="D20" s="4">
        <v>396304</v>
      </c>
      <c r="E20" s="4">
        <f t="shared" si="2"/>
        <v>375180.16666666669</v>
      </c>
      <c r="F20" s="1">
        <v>728.96600000000001</v>
      </c>
      <c r="G20" s="1">
        <v>333.83353499999998</v>
      </c>
      <c r="H20" s="1"/>
    </row>
    <row r="21" spans="1:9">
      <c r="A21" s="1" t="s">
        <v>14</v>
      </c>
      <c r="B21" s="4">
        <v>363380</v>
      </c>
      <c r="C21" s="4">
        <v>395530</v>
      </c>
      <c r="D21" s="4">
        <v>392187</v>
      </c>
      <c r="E21" s="4">
        <f t="shared" si="2"/>
        <v>373539.5</v>
      </c>
      <c r="F21" s="1">
        <v>783.44600000000003</v>
      </c>
      <c r="G21" s="1">
        <v>363.83535799999999</v>
      </c>
      <c r="H21" s="1"/>
    </row>
    <row r="22" spans="1:9">
      <c r="A22" s="1" t="s">
        <v>7</v>
      </c>
      <c r="B22" s="4">
        <f>AVERAGE(B14:B21)</f>
        <v>366384.875</v>
      </c>
      <c r="C22" s="4">
        <f t="shared" ref="C22:G22" si="3">AVERAGE(C14:C21)</f>
        <v>399845.25</v>
      </c>
      <c r="D22" s="4">
        <f t="shared" si="3"/>
        <v>397420</v>
      </c>
      <c r="E22" s="4">
        <f t="shared" si="3"/>
        <v>377134.125</v>
      </c>
      <c r="F22" s="5">
        <f t="shared" si="3"/>
        <v>672.48275000000001</v>
      </c>
      <c r="G22" s="5">
        <f t="shared" si="3"/>
        <v>520.71140612500005</v>
      </c>
      <c r="H22" s="1" t="s">
        <v>210</v>
      </c>
      <c r="I22" s="1">
        <f>6*3600+23*60+30</f>
        <v>23010</v>
      </c>
    </row>
    <row r="24" spans="1:9">
      <c r="A24" s="1" t="s">
        <v>40</v>
      </c>
      <c r="B24" s="1"/>
      <c r="C24" s="1"/>
      <c r="D24" s="1"/>
      <c r="E24" s="1"/>
      <c r="F24" s="1"/>
      <c r="G24" s="1"/>
      <c r="H24" s="1"/>
    </row>
    <row r="25" spans="1:9">
      <c r="A25" s="1" t="s">
        <v>4</v>
      </c>
      <c r="B25" s="4">
        <v>346074</v>
      </c>
      <c r="C25" s="4">
        <v>386636</v>
      </c>
      <c r="D25" s="4">
        <v>385372</v>
      </c>
      <c r="E25" s="4">
        <f>(B25*4+C25+D25)/6</f>
        <v>359384</v>
      </c>
      <c r="F25" s="1">
        <v>491.714</v>
      </c>
      <c r="G25" s="1">
        <v>260.99561499999999</v>
      </c>
      <c r="H25" s="1"/>
    </row>
    <row r="26" spans="1:9">
      <c r="A26" s="1" t="s">
        <v>5</v>
      </c>
      <c r="B26" s="4">
        <v>345541</v>
      </c>
      <c r="C26" s="4">
        <v>390641</v>
      </c>
      <c r="D26" s="4">
        <v>385809</v>
      </c>
      <c r="E26" s="4">
        <f t="shared" ref="E26:E32" si="4">(B26*4+C26+D26)/6</f>
        <v>359769</v>
      </c>
      <c r="F26" s="1">
        <v>328.75799999999998</v>
      </c>
      <c r="G26" s="1">
        <v>731.82825200000002</v>
      </c>
      <c r="H26" s="1"/>
    </row>
    <row r="27" spans="1:9">
      <c r="A27" s="1" t="s">
        <v>6</v>
      </c>
      <c r="B27" s="4">
        <v>347899</v>
      </c>
      <c r="C27" s="4">
        <v>391080</v>
      </c>
      <c r="D27" s="4">
        <v>387951</v>
      </c>
      <c r="E27" s="4">
        <f t="shared" si="4"/>
        <v>361771.16666666669</v>
      </c>
      <c r="F27" s="1">
        <v>412.52800000000002</v>
      </c>
      <c r="G27" s="1">
        <v>287.42915299999999</v>
      </c>
      <c r="H27" s="1"/>
    </row>
    <row r="28" spans="1:9">
      <c r="A28" s="1" t="s">
        <v>10</v>
      </c>
      <c r="B28" s="4">
        <v>343568</v>
      </c>
      <c r="C28" s="4">
        <v>388012</v>
      </c>
      <c r="D28" s="4">
        <v>386705</v>
      </c>
      <c r="E28" s="4">
        <f t="shared" si="4"/>
        <v>358164.83333333331</v>
      </c>
      <c r="F28" s="1">
        <v>314.572</v>
      </c>
      <c r="G28" s="1">
        <v>702.85625700000003</v>
      </c>
      <c r="H28" s="1"/>
    </row>
    <row r="29" spans="1:9">
      <c r="A29" s="1" t="s">
        <v>11</v>
      </c>
      <c r="B29" s="4">
        <v>342219</v>
      </c>
      <c r="C29" s="4">
        <v>384433</v>
      </c>
      <c r="D29" s="4">
        <v>381913</v>
      </c>
      <c r="E29" s="4">
        <f t="shared" si="4"/>
        <v>355870.33333333331</v>
      </c>
      <c r="F29" s="1">
        <v>451.31400000000002</v>
      </c>
      <c r="G29" s="1">
        <v>295.42582199999998</v>
      </c>
      <c r="H29" s="1"/>
    </row>
    <row r="30" spans="1:9">
      <c r="A30" s="1" t="s">
        <v>12</v>
      </c>
      <c r="B30" s="4">
        <v>349759</v>
      </c>
      <c r="C30" s="4">
        <v>389012</v>
      </c>
      <c r="D30" s="4">
        <v>389537</v>
      </c>
      <c r="E30" s="4">
        <f t="shared" si="4"/>
        <v>362930.83333333331</v>
      </c>
      <c r="F30" s="1">
        <v>325.30799999999999</v>
      </c>
      <c r="G30" s="1">
        <v>735.64725199999998</v>
      </c>
      <c r="H30" s="1"/>
    </row>
    <row r="31" spans="1:9">
      <c r="A31" s="1" t="s">
        <v>13</v>
      </c>
      <c r="B31" s="4">
        <v>344377</v>
      </c>
      <c r="C31" s="4">
        <v>386492</v>
      </c>
      <c r="D31" s="4">
        <v>383625</v>
      </c>
      <c r="E31" s="4">
        <f t="shared" si="4"/>
        <v>357937.5</v>
      </c>
      <c r="F31" s="1">
        <v>438.34199999999998</v>
      </c>
      <c r="G31" s="1">
        <v>299.959024</v>
      </c>
      <c r="H31" s="1"/>
    </row>
    <row r="32" spans="1:9">
      <c r="A32" s="1" t="s">
        <v>14</v>
      </c>
      <c r="B32" s="4">
        <v>340477</v>
      </c>
      <c r="C32" s="4">
        <v>382971</v>
      </c>
      <c r="D32" s="4">
        <v>379552</v>
      </c>
      <c r="E32" s="4">
        <f t="shared" si="4"/>
        <v>354071.83333333331</v>
      </c>
      <c r="F32" s="1">
        <v>468.17399999999998</v>
      </c>
      <c r="G32" s="1">
        <v>327.66810199999998</v>
      </c>
      <c r="H32" s="1"/>
    </row>
    <row r="33" spans="1:9">
      <c r="A33" s="1" t="s">
        <v>7</v>
      </c>
      <c r="B33" s="4">
        <f>AVERAGE(B25:B32)</f>
        <v>344989.25</v>
      </c>
      <c r="C33" s="4">
        <f t="shared" ref="C33:G33" si="5">AVERAGE(C25:C32)</f>
        <v>387409.625</v>
      </c>
      <c r="D33" s="4">
        <f t="shared" si="5"/>
        <v>385058</v>
      </c>
      <c r="E33" s="4">
        <f t="shared" si="5"/>
        <v>358737.4375</v>
      </c>
      <c r="F33" s="5">
        <f t="shared" si="5"/>
        <v>403.83875000000006</v>
      </c>
      <c r="G33" s="5">
        <f t="shared" si="5"/>
        <v>455.22618462500003</v>
      </c>
      <c r="H33" s="1" t="s">
        <v>211</v>
      </c>
      <c r="I33" s="1">
        <f>6*3600+5*60+52</f>
        <v>21952</v>
      </c>
    </row>
    <row r="35" spans="1:9">
      <c r="A35" s="1" t="s">
        <v>41</v>
      </c>
      <c r="B35" s="1"/>
      <c r="C35" s="1"/>
      <c r="D35" s="1"/>
      <c r="E35" s="1"/>
      <c r="F35" s="1"/>
      <c r="G35" s="1"/>
      <c r="H35" s="1"/>
    </row>
    <row r="36" spans="1:9">
      <c r="A36" s="1" t="s">
        <v>4</v>
      </c>
      <c r="B36" s="4">
        <v>325261</v>
      </c>
      <c r="C36" s="4">
        <v>374795</v>
      </c>
      <c r="D36" s="4">
        <v>373838</v>
      </c>
      <c r="E36" s="4">
        <f>(B36*4+C36+D36)/6</f>
        <v>341612.83333333331</v>
      </c>
      <c r="F36" s="1">
        <v>312.80399999999997</v>
      </c>
      <c r="G36" s="1">
        <v>226.24112299999999</v>
      </c>
      <c r="H36" s="1"/>
    </row>
    <row r="37" spans="1:9">
      <c r="A37" s="1" t="s">
        <v>5</v>
      </c>
      <c r="B37" s="4">
        <v>323394</v>
      </c>
      <c r="C37" s="4">
        <v>378806</v>
      </c>
      <c r="D37" s="4">
        <v>374320</v>
      </c>
      <c r="E37" s="4">
        <f t="shared" ref="E37:E43" si="6">(B37*4+C37+D37)/6</f>
        <v>341117</v>
      </c>
      <c r="F37" s="1">
        <v>202.22399999999999</v>
      </c>
      <c r="G37" s="1">
        <v>593.05698199999995</v>
      </c>
      <c r="H37" s="1"/>
    </row>
    <row r="38" spans="1:9">
      <c r="A38" s="1" t="s">
        <v>6</v>
      </c>
      <c r="B38" s="4">
        <v>325935</v>
      </c>
      <c r="C38" s="4">
        <v>379169</v>
      </c>
      <c r="D38" s="4">
        <v>376015</v>
      </c>
      <c r="E38" s="4">
        <f t="shared" si="6"/>
        <v>343154</v>
      </c>
      <c r="F38" s="1">
        <v>256.21800000000002</v>
      </c>
      <c r="G38" s="1">
        <v>250.19024099999999</v>
      </c>
      <c r="H38" s="1"/>
    </row>
    <row r="39" spans="1:9">
      <c r="A39" s="1" t="s">
        <v>10</v>
      </c>
      <c r="B39" s="4">
        <v>321589</v>
      </c>
      <c r="C39" s="4">
        <v>377066</v>
      </c>
      <c r="D39" s="4">
        <v>375541</v>
      </c>
      <c r="E39" s="4">
        <f t="shared" si="6"/>
        <v>339827.16666666669</v>
      </c>
      <c r="F39" s="1">
        <v>193.572</v>
      </c>
      <c r="G39" s="1">
        <v>577.57224699999995</v>
      </c>
      <c r="H39" s="1"/>
    </row>
    <row r="40" spans="1:9">
      <c r="A40" s="1" t="s">
        <v>11</v>
      </c>
      <c r="B40" s="4">
        <v>319423</v>
      </c>
      <c r="C40" s="4">
        <v>372860</v>
      </c>
      <c r="D40" s="4">
        <v>370184</v>
      </c>
      <c r="E40" s="4">
        <f t="shared" si="6"/>
        <v>336789.33333333331</v>
      </c>
      <c r="F40" s="1">
        <v>279.726</v>
      </c>
      <c r="G40" s="1">
        <v>257.850258</v>
      </c>
      <c r="H40" s="1"/>
    </row>
    <row r="41" spans="1:9">
      <c r="A41" s="1" t="s">
        <v>12</v>
      </c>
      <c r="B41" s="4">
        <v>326957</v>
      </c>
      <c r="C41" s="4">
        <v>376131</v>
      </c>
      <c r="D41" s="4">
        <v>377451</v>
      </c>
      <c r="E41" s="4">
        <f t="shared" si="6"/>
        <v>343568.33333333331</v>
      </c>
      <c r="F41" s="1">
        <v>209.19399999999999</v>
      </c>
      <c r="G41" s="1">
        <v>603.20798500000001</v>
      </c>
      <c r="H41" s="1"/>
    </row>
    <row r="42" spans="1:9">
      <c r="A42" s="1" t="s">
        <v>13</v>
      </c>
      <c r="B42" s="4">
        <v>322869</v>
      </c>
      <c r="C42" s="4">
        <v>372835</v>
      </c>
      <c r="D42" s="4">
        <v>371401</v>
      </c>
      <c r="E42" s="4">
        <f t="shared" si="6"/>
        <v>339285.33333333331</v>
      </c>
      <c r="F42" s="1">
        <v>274.85000000000002</v>
      </c>
      <c r="G42" s="1">
        <v>261.88338599999997</v>
      </c>
      <c r="H42" s="1"/>
    </row>
    <row r="43" spans="1:9">
      <c r="A43" s="1" t="s">
        <v>14</v>
      </c>
      <c r="B43" s="4">
        <v>317006</v>
      </c>
      <c r="C43" s="4">
        <v>370714</v>
      </c>
      <c r="D43" s="4">
        <v>368434</v>
      </c>
      <c r="E43" s="4">
        <f t="shared" si="6"/>
        <v>334528.66666666669</v>
      </c>
      <c r="F43" s="1">
        <v>288.71800000000002</v>
      </c>
      <c r="G43" s="1">
        <v>285.38701800000001</v>
      </c>
      <c r="H43" s="1"/>
    </row>
    <row r="44" spans="1:9">
      <c r="A44" s="1" t="s">
        <v>7</v>
      </c>
      <c r="B44" s="4">
        <f>AVERAGE(B36:B43)</f>
        <v>322804.25</v>
      </c>
      <c r="C44" s="4">
        <f t="shared" ref="C44:G44" si="7">AVERAGE(C36:C43)</f>
        <v>375297</v>
      </c>
      <c r="D44" s="4">
        <f t="shared" si="7"/>
        <v>373398</v>
      </c>
      <c r="E44" s="4">
        <f t="shared" si="7"/>
        <v>339985.33333333331</v>
      </c>
      <c r="F44" s="5">
        <f t="shared" si="7"/>
        <v>252.16325000000003</v>
      </c>
      <c r="G44" s="5">
        <f t="shared" si="7"/>
        <v>381.92365499999994</v>
      </c>
      <c r="H44" s="1" t="s">
        <v>212</v>
      </c>
      <c r="I44" s="1">
        <f>5*3600+47*60+2</f>
        <v>20822</v>
      </c>
    </row>
    <row r="46" spans="1:9">
      <c r="A46" s="1" t="s">
        <v>49</v>
      </c>
      <c r="B46" s="1"/>
      <c r="C46" s="1"/>
      <c r="D46" s="1"/>
      <c r="E46" s="1"/>
      <c r="F46" s="1"/>
      <c r="G46" s="1"/>
      <c r="H46" s="1"/>
    </row>
    <row r="47" spans="1:9">
      <c r="A47" s="1" t="s">
        <v>4</v>
      </c>
      <c r="B47" s="4">
        <v>396952</v>
      </c>
      <c r="C47" s="4">
        <v>435703</v>
      </c>
      <c r="D47" s="4">
        <v>427537</v>
      </c>
      <c r="E47" s="4">
        <f>(B47*4+C47+D47)/6</f>
        <v>408508</v>
      </c>
      <c r="F47" s="1">
        <v>528.73400000000004</v>
      </c>
      <c r="G47" s="1">
        <v>180.62899400000001</v>
      </c>
      <c r="H47" s="1"/>
    </row>
    <row r="48" spans="1:9">
      <c r="A48" s="1" t="s">
        <v>5</v>
      </c>
      <c r="B48" s="4">
        <v>394931</v>
      </c>
      <c r="C48" s="4">
        <v>435059</v>
      </c>
      <c r="D48" s="4">
        <v>425870</v>
      </c>
      <c r="E48" s="4">
        <f t="shared" ref="E48:E54" si="8">(B48*4+C48+D48)/6</f>
        <v>406775.5</v>
      </c>
      <c r="F48" s="1">
        <v>442.44799999999998</v>
      </c>
      <c r="G48" s="1">
        <v>727.14615800000001</v>
      </c>
      <c r="H48" s="1"/>
    </row>
    <row r="49" spans="1:9">
      <c r="A49" s="1" t="s">
        <v>6</v>
      </c>
      <c r="B49" s="4">
        <v>396713</v>
      </c>
      <c r="C49" s="4">
        <v>437584</v>
      </c>
      <c r="D49" s="4">
        <v>428278</v>
      </c>
      <c r="E49" s="4">
        <f t="shared" si="8"/>
        <v>408785.66666666669</v>
      </c>
      <c r="F49" s="1">
        <v>510.56</v>
      </c>
      <c r="G49" s="1">
        <v>231.860862</v>
      </c>
      <c r="H49" s="1"/>
    </row>
    <row r="50" spans="1:9">
      <c r="A50" s="1" t="s">
        <v>10</v>
      </c>
      <c r="B50" s="4">
        <v>397860</v>
      </c>
      <c r="C50" s="4">
        <v>439329</v>
      </c>
      <c r="D50" s="4">
        <v>433203</v>
      </c>
      <c r="E50" s="4">
        <f t="shared" si="8"/>
        <v>410662</v>
      </c>
      <c r="F50" s="1">
        <v>452.24</v>
      </c>
      <c r="G50" s="1">
        <v>789.83194500000002</v>
      </c>
      <c r="H50" s="1"/>
    </row>
    <row r="51" spans="1:9">
      <c r="A51" s="1" t="s">
        <v>11</v>
      </c>
      <c r="B51" s="4">
        <v>393907</v>
      </c>
      <c r="C51" s="4">
        <v>436801</v>
      </c>
      <c r="D51" s="4">
        <v>427756</v>
      </c>
      <c r="E51" s="4">
        <f t="shared" si="8"/>
        <v>406697.5</v>
      </c>
      <c r="F51" s="1">
        <v>590.83600000000001</v>
      </c>
      <c r="G51" s="1">
        <v>286.33546100000001</v>
      </c>
      <c r="H51" s="1"/>
    </row>
    <row r="52" spans="1:9">
      <c r="A52" s="1" t="s">
        <v>12</v>
      </c>
      <c r="B52" s="4">
        <v>393995</v>
      </c>
      <c r="C52" s="4">
        <v>435419</v>
      </c>
      <c r="D52" s="4">
        <v>427717</v>
      </c>
      <c r="E52" s="4">
        <f t="shared" si="8"/>
        <v>406519.33333333331</v>
      </c>
      <c r="F52" s="1">
        <v>554.71600000000001</v>
      </c>
      <c r="G52" s="1">
        <v>887.80075499999998</v>
      </c>
      <c r="H52" s="1"/>
    </row>
    <row r="53" spans="1:9">
      <c r="A53" s="1" t="s">
        <v>13</v>
      </c>
      <c r="B53" s="4">
        <v>387095</v>
      </c>
      <c r="C53" s="4">
        <v>427949</v>
      </c>
      <c r="D53" s="4">
        <v>420762</v>
      </c>
      <c r="E53" s="4">
        <f t="shared" si="8"/>
        <v>399515.16666666669</v>
      </c>
      <c r="F53" s="1">
        <v>783.12199999999996</v>
      </c>
      <c r="G53" s="1">
        <v>346.93641200000002</v>
      </c>
      <c r="H53" s="1"/>
    </row>
    <row r="54" spans="1:9">
      <c r="A54" s="1" t="s">
        <v>14</v>
      </c>
      <c r="B54" s="4">
        <v>391719</v>
      </c>
      <c r="C54" s="4">
        <v>435435</v>
      </c>
      <c r="D54" s="4">
        <v>426192</v>
      </c>
      <c r="E54" s="4">
        <f t="shared" si="8"/>
        <v>404750.5</v>
      </c>
      <c r="F54" s="1">
        <v>728.39</v>
      </c>
      <c r="G54" s="1">
        <v>395.59296599999999</v>
      </c>
      <c r="H54" s="1"/>
    </row>
    <row r="55" spans="1:9">
      <c r="A55" s="1" t="s">
        <v>7</v>
      </c>
      <c r="B55" s="4">
        <f>AVERAGE(B47:B54)</f>
        <v>394146.5</v>
      </c>
      <c r="C55" s="4">
        <f t="shared" ref="C55:G55" si="9">AVERAGE(C47:C54)</f>
        <v>435409.875</v>
      </c>
      <c r="D55" s="4">
        <f t="shared" si="9"/>
        <v>427164.375</v>
      </c>
      <c r="E55" s="4">
        <f t="shared" si="9"/>
        <v>406526.70833333331</v>
      </c>
      <c r="F55" s="5">
        <f t="shared" si="9"/>
        <v>573.88075000000003</v>
      </c>
      <c r="G55" s="5">
        <f t="shared" si="9"/>
        <v>480.76669412500007</v>
      </c>
      <c r="H55" s="1" t="s">
        <v>213</v>
      </c>
      <c r="I55" s="1">
        <f>6*3600+17*60+1</f>
        <v>22621</v>
      </c>
    </row>
    <row r="57" spans="1:9">
      <c r="A57" s="1" t="s">
        <v>50</v>
      </c>
      <c r="B57" s="1"/>
      <c r="C57" s="1"/>
      <c r="D57" s="1"/>
      <c r="E57" s="1"/>
      <c r="F57" s="1"/>
      <c r="G57" s="1"/>
      <c r="H57" s="1"/>
    </row>
    <row r="58" spans="1:9">
      <c r="A58" s="1" t="s">
        <v>4</v>
      </c>
      <c r="B58" s="4">
        <v>386169</v>
      </c>
      <c r="C58" s="4">
        <v>421074</v>
      </c>
      <c r="D58" s="4">
        <v>413839</v>
      </c>
      <c r="E58" s="4">
        <f>(B58*4+C58+D58)/6</f>
        <v>396598.16666666669</v>
      </c>
      <c r="F58" s="1">
        <v>292.92</v>
      </c>
      <c r="G58" s="1">
        <v>164.504268</v>
      </c>
      <c r="H58" s="1"/>
    </row>
    <row r="59" spans="1:9">
      <c r="A59" s="1" t="s">
        <v>5</v>
      </c>
      <c r="B59" s="4">
        <v>383733</v>
      </c>
      <c r="C59" s="4">
        <v>423277</v>
      </c>
      <c r="D59" s="4">
        <v>414178</v>
      </c>
      <c r="E59" s="4">
        <f t="shared" ref="E59:E65" si="10">(B59*4+C59+D59)/6</f>
        <v>395397.83333333331</v>
      </c>
      <c r="F59" s="1">
        <v>215.47800000000001</v>
      </c>
      <c r="G59" s="1">
        <v>629.03225499999996</v>
      </c>
      <c r="H59" s="1"/>
    </row>
    <row r="60" spans="1:9">
      <c r="A60" s="1" t="s">
        <v>6</v>
      </c>
      <c r="B60" s="4">
        <v>385549</v>
      </c>
      <c r="C60" s="4">
        <v>425551</v>
      </c>
      <c r="D60" s="4">
        <v>415771</v>
      </c>
      <c r="E60" s="4">
        <f t="shared" si="10"/>
        <v>397253</v>
      </c>
      <c r="F60" s="1">
        <v>266.00799999999998</v>
      </c>
      <c r="G60" s="1">
        <v>205.89967200000001</v>
      </c>
      <c r="H60" s="1"/>
    </row>
    <row r="61" spans="1:9">
      <c r="A61" s="1" t="s">
        <v>10</v>
      </c>
      <c r="B61" s="4">
        <v>385751</v>
      </c>
      <c r="C61" s="4">
        <v>427302</v>
      </c>
      <c r="D61" s="4">
        <v>421567</v>
      </c>
      <c r="E61" s="4">
        <f t="shared" si="10"/>
        <v>398645.5</v>
      </c>
      <c r="F61" s="1">
        <v>237.47200000000001</v>
      </c>
      <c r="G61" s="1">
        <v>683.00547600000004</v>
      </c>
      <c r="H61" s="1"/>
    </row>
    <row r="62" spans="1:9">
      <c r="A62" s="1" t="s">
        <v>11</v>
      </c>
      <c r="B62" s="4">
        <v>381276</v>
      </c>
      <c r="C62" s="4">
        <v>424784</v>
      </c>
      <c r="D62" s="4">
        <v>415464</v>
      </c>
      <c r="E62" s="4">
        <f t="shared" si="10"/>
        <v>394225.33333333331</v>
      </c>
      <c r="F62" s="1">
        <v>316.48</v>
      </c>
      <c r="G62" s="1">
        <v>257.39320199999997</v>
      </c>
      <c r="H62" s="1"/>
    </row>
    <row r="63" spans="1:9">
      <c r="A63" s="1" t="s">
        <v>12</v>
      </c>
      <c r="B63" s="4">
        <v>381435</v>
      </c>
      <c r="C63" s="4">
        <v>423623</v>
      </c>
      <c r="D63" s="4">
        <v>416804</v>
      </c>
      <c r="E63" s="4">
        <f t="shared" si="10"/>
        <v>394361.16666666669</v>
      </c>
      <c r="F63" s="1">
        <v>284.69200000000001</v>
      </c>
      <c r="G63" s="1">
        <v>772.27536799999996</v>
      </c>
      <c r="H63" s="1"/>
    </row>
    <row r="64" spans="1:9">
      <c r="A64" s="1" t="s">
        <v>13</v>
      </c>
      <c r="B64" s="4">
        <v>374684</v>
      </c>
      <c r="C64" s="4">
        <v>416505</v>
      </c>
      <c r="D64" s="4">
        <v>409775</v>
      </c>
      <c r="E64" s="4">
        <f t="shared" si="10"/>
        <v>387502.66666666669</v>
      </c>
      <c r="F64" s="1">
        <v>412.00599999999997</v>
      </c>
      <c r="G64" s="1">
        <v>311.85699499999998</v>
      </c>
      <c r="H64" s="1"/>
    </row>
    <row r="65" spans="1:9">
      <c r="A65" s="1" t="s">
        <v>14</v>
      </c>
      <c r="B65" s="4">
        <v>377570</v>
      </c>
      <c r="C65" s="4">
        <v>423894</v>
      </c>
      <c r="D65" s="4">
        <v>415372</v>
      </c>
      <c r="E65" s="4">
        <f t="shared" si="10"/>
        <v>391591</v>
      </c>
      <c r="F65" s="1">
        <v>397.56400000000002</v>
      </c>
      <c r="G65" s="1">
        <v>354.18657200000001</v>
      </c>
      <c r="H65" s="1"/>
    </row>
    <row r="66" spans="1:9">
      <c r="A66" s="1" t="s">
        <v>7</v>
      </c>
      <c r="B66" s="4">
        <f>AVERAGE(B58:B65)</f>
        <v>382020.875</v>
      </c>
      <c r="C66" s="4">
        <f t="shared" ref="C66:G66" si="11">AVERAGE(C58:C65)</f>
        <v>423251.25</v>
      </c>
      <c r="D66" s="4">
        <f t="shared" si="11"/>
        <v>415346.25</v>
      </c>
      <c r="E66" s="4">
        <f t="shared" si="11"/>
        <v>394446.83333333331</v>
      </c>
      <c r="F66" s="5">
        <f t="shared" si="11"/>
        <v>302.82749999999999</v>
      </c>
      <c r="G66" s="5">
        <f t="shared" si="11"/>
        <v>422.269226</v>
      </c>
      <c r="H66" s="1" t="s">
        <v>214</v>
      </c>
      <c r="I66" s="1">
        <f>5*3600+56*60+20</f>
        <v>21380</v>
      </c>
    </row>
    <row r="68" spans="1:9">
      <c r="A68" s="1" t="s">
        <v>51</v>
      </c>
      <c r="B68" s="1"/>
      <c r="C68" s="1"/>
      <c r="D68" s="1"/>
      <c r="E68" s="1"/>
      <c r="F68" s="1"/>
      <c r="G68" s="1"/>
      <c r="H68" s="1"/>
    </row>
    <row r="69" spans="1:9">
      <c r="A69" s="1" t="s">
        <v>4</v>
      </c>
      <c r="B69" s="4">
        <v>371803</v>
      </c>
      <c r="C69" s="4">
        <v>407847</v>
      </c>
      <c r="D69" s="4">
        <v>402885</v>
      </c>
      <c r="E69" s="4">
        <f>(B69*4+C69+D69)/6</f>
        <v>382990.66666666669</v>
      </c>
      <c r="F69" s="1">
        <v>180.37</v>
      </c>
      <c r="G69" s="1">
        <v>149.467242</v>
      </c>
      <c r="H69" s="1"/>
    </row>
    <row r="70" spans="1:9">
      <c r="A70" s="1" t="s">
        <v>5</v>
      </c>
      <c r="B70" s="4">
        <v>369104</v>
      </c>
      <c r="C70" s="4">
        <v>411804</v>
      </c>
      <c r="D70" s="4">
        <v>404478</v>
      </c>
      <c r="E70" s="4">
        <f t="shared" ref="E70:E76" si="12">(B70*4+C70+D70)/6</f>
        <v>382116.33333333331</v>
      </c>
      <c r="F70" s="1">
        <v>123.372</v>
      </c>
      <c r="G70" s="1">
        <v>529.30490599999996</v>
      </c>
      <c r="H70" s="1"/>
    </row>
    <row r="71" spans="1:9">
      <c r="A71" s="1" t="s">
        <v>6</v>
      </c>
      <c r="B71" s="4">
        <v>370767</v>
      </c>
      <c r="C71" s="4">
        <v>414180</v>
      </c>
      <c r="D71" s="4">
        <v>404827</v>
      </c>
      <c r="E71" s="4">
        <f t="shared" si="12"/>
        <v>383679.16666666669</v>
      </c>
      <c r="F71" s="1">
        <v>157.29599999999999</v>
      </c>
      <c r="G71" s="1">
        <v>182.47832</v>
      </c>
      <c r="H71" s="1"/>
    </row>
    <row r="72" spans="1:9">
      <c r="A72" s="1" t="s">
        <v>10</v>
      </c>
      <c r="B72" s="4">
        <v>369489</v>
      </c>
      <c r="C72" s="4">
        <v>416637</v>
      </c>
      <c r="D72" s="4">
        <v>411520</v>
      </c>
      <c r="E72" s="4">
        <f t="shared" si="12"/>
        <v>384352.16666666669</v>
      </c>
      <c r="F72" s="1">
        <v>142.35400000000001</v>
      </c>
      <c r="G72" s="1">
        <v>571.83658800000001</v>
      </c>
      <c r="H72" s="1"/>
    </row>
    <row r="73" spans="1:9">
      <c r="A73" s="1" t="s">
        <v>11</v>
      </c>
      <c r="B73" s="4">
        <v>365542</v>
      </c>
      <c r="C73" s="4">
        <v>414402</v>
      </c>
      <c r="D73" s="4">
        <v>404101</v>
      </c>
      <c r="E73" s="4">
        <f t="shared" si="12"/>
        <v>380111.83333333331</v>
      </c>
      <c r="F73" s="1">
        <v>189.16200000000001</v>
      </c>
      <c r="G73" s="1">
        <v>225.61067800000001</v>
      </c>
      <c r="H73" s="1"/>
    </row>
    <row r="74" spans="1:9">
      <c r="A74" s="1" t="s">
        <v>12</v>
      </c>
      <c r="B74" s="4">
        <v>366086</v>
      </c>
      <c r="C74" s="4">
        <v>413866</v>
      </c>
      <c r="D74" s="4">
        <v>407358</v>
      </c>
      <c r="E74" s="4">
        <f t="shared" si="12"/>
        <v>380928</v>
      </c>
      <c r="F74" s="1">
        <v>169.18600000000001</v>
      </c>
      <c r="G74" s="1">
        <v>652.66414999999995</v>
      </c>
      <c r="H74" s="1"/>
    </row>
    <row r="75" spans="1:9">
      <c r="A75" s="1" t="s">
        <v>13</v>
      </c>
      <c r="B75" s="4">
        <v>359718</v>
      </c>
      <c r="C75" s="4">
        <v>405435</v>
      </c>
      <c r="D75" s="4">
        <v>398648</v>
      </c>
      <c r="E75" s="4">
        <f t="shared" si="12"/>
        <v>373825.83333333331</v>
      </c>
      <c r="F75" s="1">
        <v>245.274</v>
      </c>
      <c r="G75" s="1">
        <v>273.21414499999997</v>
      </c>
      <c r="H75" s="1"/>
    </row>
    <row r="76" spans="1:9">
      <c r="A76" s="1" t="s">
        <v>14</v>
      </c>
      <c r="B76" s="4">
        <v>360364</v>
      </c>
      <c r="C76" s="4">
        <v>414238</v>
      </c>
      <c r="D76" s="4">
        <v>406207</v>
      </c>
      <c r="E76" s="4">
        <f t="shared" si="12"/>
        <v>376983.5</v>
      </c>
      <c r="F76" s="1">
        <v>235.566</v>
      </c>
      <c r="G76" s="1">
        <v>309.52575999999999</v>
      </c>
      <c r="H76" s="1"/>
    </row>
    <row r="77" spans="1:9">
      <c r="A77" s="1" t="s">
        <v>7</v>
      </c>
      <c r="B77" s="4">
        <f>AVERAGE(B69:B76)</f>
        <v>366609.125</v>
      </c>
      <c r="C77" s="4">
        <f t="shared" ref="C77:G77" si="13">AVERAGE(C69:C76)</f>
        <v>412301.125</v>
      </c>
      <c r="D77" s="4">
        <f t="shared" si="13"/>
        <v>405003</v>
      </c>
      <c r="E77" s="4">
        <f t="shared" si="13"/>
        <v>380623.43750000006</v>
      </c>
      <c r="F77" s="5">
        <f t="shared" si="13"/>
        <v>180.32250000000002</v>
      </c>
      <c r="G77" s="5">
        <f t="shared" si="13"/>
        <v>361.76272362499998</v>
      </c>
      <c r="H77" s="1" t="s">
        <v>215</v>
      </c>
      <c r="I77" s="1">
        <f>5*3600+40*60+8</f>
        <v>20408</v>
      </c>
    </row>
    <row r="79" spans="1:9">
      <c r="A79" s="1" t="s">
        <v>52</v>
      </c>
      <c r="B79" s="1"/>
      <c r="C79" s="1"/>
      <c r="D79" s="1"/>
      <c r="E79" s="1"/>
      <c r="F79" s="1"/>
      <c r="G79" s="1"/>
      <c r="H79" s="1"/>
    </row>
    <row r="80" spans="1:9">
      <c r="A80" s="1" t="s">
        <v>4</v>
      </c>
      <c r="B80" s="4">
        <v>355067</v>
      </c>
      <c r="C80" s="4">
        <v>393386</v>
      </c>
      <c r="D80" s="4">
        <v>391215</v>
      </c>
      <c r="E80" s="4">
        <f>(B80*4+C80+D80)/6</f>
        <v>367478.16666666669</v>
      </c>
      <c r="F80" s="1">
        <v>117.318</v>
      </c>
      <c r="G80" s="1">
        <v>132.647176</v>
      </c>
      <c r="H80" s="1"/>
    </row>
    <row r="81" spans="1:9">
      <c r="A81" s="1" t="s">
        <v>5</v>
      </c>
      <c r="B81" s="4">
        <v>351562</v>
      </c>
      <c r="C81" s="4">
        <v>399247</v>
      </c>
      <c r="D81" s="4">
        <v>392408</v>
      </c>
      <c r="E81" s="4">
        <f t="shared" ref="E81:E87" si="14">(B81*4+C81+D81)/6</f>
        <v>366317.16666666669</v>
      </c>
      <c r="F81" s="1">
        <v>79.138000000000005</v>
      </c>
      <c r="G81" s="1">
        <v>424.02943199999999</v>
      </c>
      <c r="H81" s="1"/>
    </row>
    <row r="82" spans="1:9">
      <c r="A82" s="1" t="s">
        <v>6</v>
      </c>
      <c r="B82" s="4">
        <v>352182</v>
      </c>
      <c r="C82" s="4">
        <v>401631</v>
      </c>
      <c r="D82" s="4">
        <v>392037</v>
      </c>
      <c r="E82" s="4">
        <f t="shared" si="14"/>
        <v>367066</v>
      </c>
      <c r="F82" s="1">
        <v>99.08</v>
      </c>
      <c r="G82" s="1">
        <v>157.942849</v>
      </c>
      <c r="H82" s="1"/>
    </row>
    <row r="83" spans="1:9">
      <c r="A83" s="1" t="s">
        <v>10</v>
      </c>
      <c r="B83" s="4">
        <v>350120</v>
      </c>
      <c r="C83" s="4">
        <v>404467</v>
      </c>
      <c r="D83" s="4">
        <v>399787</v>
      </c>
      <c r="E83" s="4">
        <f t="shared" si="14"/>
        <v>367455.66666666669</v>
      </c>
      <c r="F83" s="1">
        <v>92.33</v>
      </c>
      <c r="G83" s="1">
        <v>455.42680999999999</v>
      </c>
      <c r="H83" s="1"/>
    </row>
    <row r="84" spans="1:9">
      <c r="A84" s="1" t="s">
        <v>11</v>
      </c>
      <c r="B84" s="4">
        <v>346644</v>
      </c>
      <c r="C84" s="4">
        <v>401585</v>
      </c>
      <c r="D84" s="4">
        <v>391116</v>
      </c>
      <c r="E84" s="4">
        <f t="shared" si="14"/>
        <v>363212.83333333331</v>
      </c>
      <c r="F84" s="1">
        <v>121.492</v>
      </c>
      <c r="G84" s="1">
        <v>191.16202799999999</v>
      </c>
      <c r="H84" s="1"/>
    </row>
    <row r="85" spans="1:9">
      <c r="A85" s="1" t="s">
        <v>12</v>
      </c>
      <c r="B85" s="4">
        <v>347900</v>
      </c>
      <c r="C85" s="4">
        <v>401790</v>
      </c>
      <c r="D85" s="4">
        <v>396764</v>
      </c>
      <c r="E85" s="4">
        <f t="shared" si="14"/>
        <v>365025.66666666669</v>
      </c>
      <c r="F85" s="1">
        <v>111.706</v>
      </c>
      <c r="G85" s="1">
        <v>514.99945200000002</v>
      </c>
      <c r="H85" s="1"/>
    </row>
    <row r="86" spans="1:9">
      <c r="A86" s="1" t="s">
        <v>13</v>
      </c>
      <c r="B86" s="4">
        <v>341927</v>
      </c>
      <c r="C86" s="4">
        <v>392828</v>
      </c>
      <c r="D86" s="4">
        <v>385411</v>
      </c>
      <c r="E86" s="4">
        <f t="shared" si="14"/>
        <v>357657.83333333331</v>
      </c>
      <c r="F86" s="1">
        <v>159.946</v>
      </c>
      <c r="G86" s="1">
        <v>230.45638</v>
      </c>
      <c r="H86" s="1"/>
    </row>
    <row r="87" spans="1:9">
      <c r="A87" s="1" t="s">
        <v>14</v>
      </c>
      <c r="B87" s="4">
        <v>340733</v>
      </c>
      <c r="C87" s="4">
        <v>402818</v>
      </c>
      <c r="D87" s="4">
        <v>394777</v>
      </c>
      <c r="E87" s="4">
        <f t="shared" si="14"/>
        <v>360087.83333333331</v>
      </c>
      <c r="F87" s="1">
        <v>147.614</v>
      </c>
      <c r="G87" s="1">
        <v>258.48225600000001</v>
      </c>
      <c r="H87" s="1"/>
    </row>
    <row r="88" spans="1:9">
      <c r="A88" s="1" t="s">
        <v>7</v>
      </c>
      <c r="B88" s="4">
        <f>AVERAGE(B80:B87)</f>
        <v>348266.875</v>
      </c>
      <c r="C88" s="4">
        <f t="shared" ref="C88:G88" si="15">AVERAGE(C80:C87)</f>
        <v>399719</v>
      </c>
      <c r="D88" s="4">
        <f t="shared" si="15"/>
        <v>392939.375</v>
      </c>
      <c r="E88" s="4">
        <f t="shared" si="15"/>
        <v>364287.64583333337</v>
      </c>
      <c r="F88" s="5">
        <f t="shared" si="15"/>
        <v>116.078</v>
      </c>
      <c r="G88" s="5">
        <f t="shared" si="15"/>
        <v>295.64329787500003</v>
      </c>
      <c r="H88" s="1" t="s">
        <v>216</v>
      </c>
      <c r="I88" s="1">
        <f>5*3600+23*60+52</f>
        <v>19432</v>
      </c>
    </row>
    <row r="90" spans="1:9">
      <c r="A90" s="1" t="s">
        <v>62</v>
      </c>
      <c r="B90" s="1"/>
      <c r="C90" s="1"/>
      <c r="D90" s="1"/>
      <c r="E90" s="1"/>
      <c r="F90" s="1"/>
      <c r="G90" s="1"/>
      <c r="H90" s="1"/>
    </row>
    <row r="91" spans="1:9">
      <c r="A91" s="1" t="s">
        <v>4</v>
      </c>
      <c r="B91" s="4">
        <v>378962</v>
      </c>
      <c r="C91" s="4">
        <v>418616</v>
      </c>
      <c r="D91" s="4">
        <v>413369</v>
      </c>
      <c r="E91" s="4">
        <f>(B91*4+C91+D91)/6</f>
        <v>391305.5</v>
      </c>
      <c r="F91" s="1">
        <v>744.27200000000005</v>
      </c>
      <c r="G91" s="1">
        <v>120.286445</v>
      </c>
      <c r="H91" s="1"/>
    </row>
    <row r="92" spans="1:9">
      <c r="A92" s="1" t="s">
        <v>5</v>
      </c>
      <c r="B92" s="4">
        <v>377695</v>
      </c>
      <c r="C92" s="4">
        <v>418772</v>
      </c>
      <c r="D92" s="4">
        <v>412277</v>
      </c>
      <c r="E92" s="4">
        <f t="shared" ref="E92:E98" si="16">(B92*4+C92+D92)/6</f>
        <v>390304.83333333331</v>
      </c>
      <c r="F92" s="1">
        <v>652.32799999999997</v>
      </c>
      <c r="G92" s="1">
        <v>555.634007</v>
      </c>
      <c r="H92" s="1"/>
    </row>
    <row r="93" spans="1:9">
      <c r="A93" s="1" t="s">
        <v>6</v>
      </c>
      <c r="B93" s="4">
        <v>381636</v>
      </c>
      <c r="C93" s="4">
        <v>423972</v>
      </c>
      <c r="D93" s="4">
        <v>415946</v>
      </c>
      <c r="E93" s="4">
        <f t="shared" si="16"/>
        <v>394410.33333333331</v>
      </c>
      <c r="F93" s="1">
        <v>652.52</v>
      </c>
      <c r="G93" s="1">
        <v>141.58694199999999</v>
      </c>
      <c r="H93" s="1"/>
    </row>
    <row r="94" spans="1:9">
      <c r="A94" s="1" t="s">
        <v>10</v>
      </c>
      <c r="B94" s="4">
        <v>381561</v>
      </c>
      <c r="C94" s="4">
        <v>421058</v>
      </c>
      <c r="D94" s="4">
        <v>419906</v>
      </c>
      <c r="E94" s="4">
        <f t="shared" si="16"/>
        <v>394534.66666666669</v>
      </c>
      <c r="F94" s="1">
        <v>575.96600000000001</v>
      </c>
      <c r="G94" s="1">
        <v>524.14540999999997</v>
      </c>
      <c r="H94" s="1"/>
    </row>
    <row r="95" spans="1:9">
      <c r="A95" s="1" t="s">
        <v>11</v>
      </c>
      <c r="B95" s="4">
        <v>381196</v>
      </c>
      <c r="C95" s="4">
        <v>419861</v>
      </c>
      <c r="D95" s="4">
        <v>415996</v>
      </c>
      <c r="E95" s="4">
        <f t="shared" si="16"/>
        <v>393440.16666666669</v>
      </c>
      <c r="F95" s="1">
        <v>687.07799999999997</v>
      </c>
      <c r="G95" s="1">
        <v>141.68790999999999</v>
      </c>
      <c r="H95" s="1"/>
    </row>
    <row r="96" spans="1:9">
      <c r="A96" s="1" t="s">
        <v>12</v>
      </c>
      <c r="B96" s="4">
        <v>390370</v>
      </c>
      <c r="C96" s="4">
        <v>430815</v>
      </c>
      <c r="D96" s="4">
        <v>426232</v>
      </c>
      <c r="E96" s="4">
        <f t="shared" si="16"/>
        <v>403087.83333333331</v>
      </c>
      <c r="F96" s="1">
        <v>492.19799999999998</v>
      </c>
      <c r="G96" s="1">
        <v>576.92242799999997</v>
      </c>
      <c r="H96" s="1"/>
    </row>
    <row r="97" spans="1:9">
      <c r="A97" s="1" t="s">
        <v>13</v>
      </c>
      <c r="B97" s="4">
        <v>374116</v>
      </c>
      <c r="C97" s="4">
        <v>416720</v>
      </c>
      <c r="D97" s="4">
        <v>409249</v>
      </c>
      <c r="E97" s="4">
        <f t="shared" si="16"/>
        <v>387072.16666666669</v>
      </c>
      <c r="F97" s="1">
        <v>822.13</v>
      </c>
      <c r="G97" s="1">
        <v>149.18633600000001</v>
      </c>
      <c r="H97" s="1"/>
    </row>
    <row r="98" spans="1:9">
      <c r="A98" s="1" t="s">
        <v>14</v>
      </c>
      <c r="B98" s="4">
        <v>381534</v>
      </c>
      <c r="C98" s="4">
        <v>419145</v>
      </c>
      <c r="D98" s="4">
        <v>414363</v>
      </c>
      <c r="E98" s="4">
        <f t="shared" si="16"/>
        <v>393274</v>
      </c>
      <c r="F98" s="1">
        <v>717.774</v>
      </c>
      <c r="G98" s="1">
        <v>175.097577</v>
      </c>
      <c r="H98" s="1"/>
    </row>
    <row r="99" spans="1:9">
      <c r="A99" s="1" t="s">
        <v>7</v>
      </c>
      <c r="B99" s="4">
        <f>AVERAGE(B91:B98)</f>
        <v>380883.75</v>
      </c>
      <c r="C99" s="4">
        <f t="shared" ref="C99:G99" si="17">AVERAGE(C91:C98)</f>
        <v>421119.875</v>
      </c>
      <c r="D99" s="4">
        <f t="shared" si="17"/>
        <v>415917.25</v>
      </c>
      <c r="E99" s="4">
        <f t="shared" si="17"/>
        <v>393428.6875</v>
      </c>
      <c r="F99" s="5">
        <f t="shared" si="17"/>
        <v>668.03324999999995</v>
      </c>
      <c r="G99" s="5">
        <f t="shared" si="17"/>
        <v>298.068381875</v>
      </c>
      <c r="H99" s="1" t="s">
        <v>217</v>
      </c>
      <c r="I99" s="1">
        <f>5*3600+54*60+44</f>
        <v>21284</v>
      </c>
    </row>
    <row r="101" spans="1:9">
      <c r="A101" s="1" t="s">
        <v>63</v>
      </c>
      <c r="B101" s="1"/>
      <c r="C101" s="1"/>
      <c r="D101" s="1"/>
      <c r="E101" s="1"/>
      <c r="F101" s="1"/>
      <c r="G101" s="1"/>
      <c r="H101" s="1"/>
    </row>
    <row r="102" spans="1:9">
      <c r="A102" s="1" t="s">
        <v>4</v>
      </c>
      <c r="B102" s="4">
        <v>365229</v>
      </c>
      <c r="C102" s="4">
        <v>407678</v>
      </c>
      <c r="D102" s="4">
        <v>400999</v>
      </c>
      <c r="E102" s="4">
        <f>(B102*4+C102+D102)/6</f>
        <v>378265.5</v>
      </c>
      <c r="F102" s="1">
        <v>366.19600000000003</v>
      </c>
      <c r="G102" s="1">
        <v>115.699631</v>
      </c>
      <c r="H102" s="1"/>
    </row>
    <row r="103" spans="1:9">
      <c r="A103" s="1" t="s">
        <v>5</v>
      </c>
      <c r="B103" s="4">
        <v>364458</v>
      </c>
      <c r="C103" s="4">
        <v>409519</v>
      </c>
      <c r="D103" s="4">
        <v>400605</v>
      </c>
      <c r="E103" s="4">
        <f t="shared" ref="E103:E109" si="18">(B103*4+C103+D103)/6</f>
        <v>377992.66666666669</v>
      </c>
      <c r="F103" s="1">
        <v>268.73</v>
      </c>
      <c r="G103" s="1">
        <v>456.09964300000001</v>
      </c>
      <c r="H103" s="1"/>
    </row>
    <row r="104" spans="1:9">
      <c r="A104" s="1" t="s">
        <v>6</v>
      </c>
      <c r="B104" s="4">
        <v>368187</v>
      </c>
      <c r="C104" s="4">
        <v>414830</v>
      </c>
      <c r="D104" s="4">
        <v>403375</v>
      </c>
      <c r="E104" s="4">
        <f t="shared" si="18"/>
        <v>381825.5</v>
      </c>
      <c r="F104" s="1">
        <v>286.26600000000002</v>
      </c>
      <c r="G104" s="1">
        <v>130.46560400000001</v>
      </c>
      <c r="H104" s="1"/>
    </row>
    <row r="105" spans="1:9">
      <c r="A105" s="1" t="s">
        <v>10</v>
      </c>
      <c r="B105" s="4">
        <v>367845</v>
      </c>
      <c r="C105" s="4">
        <v>411382</v>
      </c>
      <c r="D105" s="4">
        <v>409534</v>
      </c>
      <c r="E105" s="4">
        <f t="shared" si="18"/>
        <v>382049.33333333331</v>
      </c>
      <c r="F105" s="1">
        <v>234.6</v>
      </c>
      <c r="G105" s="1">
        <v>434.5385</v>
      </c>
      <c r="H105" s="1"/>
    </row>
    <row r="106" spans="1:9">
      <c r="A106" s="1" t="s">
        <v>11</v>
      </c>
      <c r="B106" s="4">
        <v>366592</v>
      </c>
      <c r="C106" s="4">
        <v>408815</v>
      </c>
      <c r="D106" s="4">
        <v>402315</v>
      </c>
      <c r="E106" s="4">
        <f t="shared" si="18"/>
        <v>379583</v>
      </c>
      <c r="F106" s="1">
        <v>317.95600000000002</v>
      </c>
      <c r="G106" s="1">
        <v>132.06353899999999</v>
      </c>
      <c r="H106" s="1"/>
    </row>
    <row r="107" spans="1:9">
      <c r="A107" s="1" t="s">
        <v>12</v>
      </c>
      <c r="B107" s="4">
        <v>376950</v>
      </c>
      <c r="C107" s="4">
        <v>421362</v>
      </c>
      <c r="D107" s="4">
        <v>415723</v>
      </c>
      <c r="E107" s="4">
        <f t="shared" si="18"/>
        <v>390814.16666666669</v>
      </c>
      <c r="F107" s="1">
        <v>227.392</v>
      </c>
      <c r="G107" s="1">
        <v>474.61911500000002</v>
      </c>
      <c r="H107" s="1"/>
    </row>
    <row r="108" spans="1:9">
      <c r="A108" s="1" t="s">
        <v>13</v>
      </c>
      <c r="B108" s="4">
        <v>361072</v>
      </c>
      <c r="C108" s="4">
        <v>408221</v>
      </c>
      <c r="D108" s="4">
        <v>398337</v>
      </c>
      <c r="E108" s="4">
        <f t="shared" si="18"/>
        <v>375141</v>
      </c>
      <c r="F108" s="1">
        <v>353.38200000000001</v>
      </c>
      <c r="G108" s="1">
        <v>136.21521799999999</v>
      </c>
      <c r="H108" s="1"/>
    </row>
    <row r="109" spans="1:9">
      <c r="A109" s="1" t="s">
        <v>14</v>
      </c>
      <c r="B109" s="4">
        <v>367254</v>
      </c>
      <c r="C109" s="4">
        <v>408429</v>
      </c>
      <c r="D109" s="4">
        <v>402473</v>
      </c>
      <c r="E109" s="4">
        <f t="shared" si="18"/>
        <v>379986.33333333331</v>
      </c>
      <c r="F109" s="1">
        <v>351.53</v>
      </c>
      <c r="G109" s="1">
        <v>159.00544300000001</v>
      </c>
      <c r="H109" s="1"/>
    </row>
    <row r="110" spans="1:9">
      <c r="A110" s="1" t="s">
        <v>7</v>
      </c>
      <c r="B110" s="4">
        <f>AVERAGE(B102:B109)</f>
        <v>367198.375</v>
      </c>
      <c r="C110" s="4">
        <f t="shared" ref="C110:G110" si="19">AVERAGE(C102:C109)</f>
        <v>411279.5</v>
      </c>
      <c r="D110" s="4">
        <f t="shared" si="19"/>
        <v>404170.125</v>
      </c>
      <c r="E110" s="4">
        <f t="shared" si="19"/>
        <v>380707.1875</v>
      </c>
      <c r="F110" s="5">
        <f t="shared" si="19"/>
        <v>300.75649999999996</v>
      </c>
      <c r="G110" s="5">
        <f t="shared" si="19"/>
        <v>254.83833662500001</v>
      </c>
      <c r="H110" s="1" t="s">
        <v>218</v>
      </c>
      <c r="I110" s="1">
        <f>5*3600+33*60+36</f>
        <v>20016</v>
      </c>
    </row>
    <row r="112" spans="1:9">
      <c r="A112" s="1" t="s">
        <v>64</v>
      </c>
      <c r="B112" s="1"/>
      <c r="C112" s="1"/>
      <c r="D112" s="1"/>
      <c r="E112" s="1"/>
      <c r="F112" s="1"/>
      <c r="G112" s="1"/>
      <c r="H112" s="1"/>
    </row>
    <row r="113" spans="1:9">
      <c r="A113" s="1" t="s">
        <v>4</v>
      </c>
      <c r="B113" s="4">
        <v>350737</v>
      </c>
      <c r="C113" s="4">
        <v>399984</v>
      </c>
      <c r="D113" s="4">
        <v>392463</v>
      </c>
      <c r="E113" s="4">
        <f>(B113*4+C113+D113)/6</f>
        <v>365899.16666666669</v>
      </c>
      <c r="F113" s="1">
        <v>197.92400000000001</v>
      </c>
      <c r="G113" s="1">
        <v>111.98886899999999</v>
      </c>
      <c r="H113" s="1"/>
    </row>
    <row r="114" spans="1:9">
      <c r="A114" s="1" t="s">
        <v>5</v>
      </c>
      <c r="B114" s="4">
        <v>348524</v>
      </c>
      <c r="C114" s="4">
        <v>402563</v>
      </c>
      <c r="D114" s="4">
        <v>391534</v>
      </c>
      <c r="E114" s="4">
        <f t="shared" ref="E114:E120" si="20">(B114*4+C114+D114)/6</f>
        <v>364698.83333333331</v>
      </c>
      <c r="F114" s="1">
        <v>121.32</v>
      </c>
      <c r="G114" s="1">
        <v>379.04914100000002</v>
      </c>
      <c r="H114" s="1"/>
    </row>
    <row r="115" spans="1:9">
      <c r="A115" s="1" t="s">
        <v>6</v>
      </c>
      <c r="B115" s="4">
        <v>352446</v>
      </c>
      <c r="C115" s="4">
        <v>407680</v>
      </c>
      <c r="D115" s="4">
        <v>393053</v>
      </c>
      <c r="E115" s="4">
        <f t="shared" si="20"/>
        <v>368419.5</v>
      </c>
      <c r="F115" s="1">
        <v>140.09</v>
      </c>
      <c r="G115" s="1">
        <v>122.928027</v>
      </c>
      <c r="H115" s="1"/>
    </row>
    <row r="116" spans="1:9">
      <c r="A116" s="1" t="s">
        <v>10</v>
      </c>
      <c r="B116" s="4">
        <v>352209</v>
      </c>
      <c r="C116" s="4">
        <v>404398</v>
      </c>
      <c r="D116" s="4">
        <v>402358</v>
      </c>
      <c r="E116" s="4">
        <f t="shared" si="20"/>
        <v>369265.33333333331</v>
      </c>
      <c r="F116" s="1">
        <v>108.994</v>
      </c>
      <c r="G116" s="1">
        <v>365.23068699999999</v>
      </c>
      <c r="H116" s="1"/>
    </row>
    <row r="117" spans="1:9">
      <c r="A117" s="1" t="s">
        <v>11</v>
      </c>
      <c r="B117" s="4">
        <v>350010</v>
      </c>
      <c r="C117" s="4">
        <v>401249</v>
      </c>
      <c r="D117" s="4">
        <v>391297</v>
      </c>
      <c r="E117" s="4">
        <f t="shared" si="20"/>
        <v>365431</v>
      </c>
      <c r="F117" s="1">
        <v>156.74600000000001</v>
      </c>
      <c r="G117" s="1">
        <v>124.492223</v>
      </c>
      <c r="H117" s="1"/>
    </row>
    <row r="118" spans="1:9">
      <c r="A118" s="1" t="s">
        <v>12</v>
      </c>
      <c r="B118" s="4">
        <v>360067</v>
      </c>
      <c r="C118" s="4">
        <v>414271</v>
      </c>
      <c r="D118" s="4">
        <v>408221</v>
      </c>
      <c r="E118" s="4">
        <f t="shared" si="20"/>
        <v>377126.66666666669</v>
      </c>
      <c r="F118" s="1">
        <v>114.5</v>
      </c>
      <c r="G118" s="1">
        <v>390.485052</v>
      </c>
      <c r="H118" s="1"/>
    </row>
    <row r="119" spans="1:9">
      <c r="A119" s="1" t="s">
        <v>13</v>
      </c>
      <c r="B119" s="4">
        <v>346790</v>
      </c>
      <c r="C119" s="4">
        <v>401757</v>
      </c>
      <c r="D119" s="4">
        <v>389950</v>
      </c>
      <c r="E119" s="4">
        <f t="shared" si="20"/>
        <v>363144.5</v>
      </c>
      <c r="F119" s="1">
        <v>174.66</v>
      </c>
      <c r="G119" s="1">
        <v>127.45705599999999</v>
      </c>
      <c r="H119" s="1"/>
    </row>
    <row r="120" spans="1:9">
      <c r="A120" s="1" t="s">
        <v>14</v>
      </c>
      <c r="B120" s="4">
        <v>350354</v>
      </c>
      <c r="C120" s="4">
        <v>401265</v>
      </c>
      <c r="D120" s="4">
        <v>395154</v>
      </c>
      <c r="E120" s="4">
        <f t="shared" si="20"/>
        <v>366305.83333333331</v>
      </c>
      <c r="F120" s="1">
        <v>181.33199999999999</v>
      </c>
      <c r="G120" s="1">
        <v>145.79076599999999</v>
      </c>
      <c r="H120" s="1"/>
    </row>
    <row r="121" spans="1:9">
      <c r="A121" s="1" t="s">
        <v>7</v>
      </c>
      <c r="B121" s="4">
        <f>AVERAGE(B113:B120)</f>
        <v>351392.125</v>
      </c>
      <c r="C121" s="4">
        <f t="shared" ref="C121:G121" si="21">AVERAGE(C113:C120)</f>
        <v>404145.875</v>
      </c>
      <c r="D121" s="4">
        <f t="shared" si="21"/>
        <v>395503.75</v>
      </c>
      <c r="E121" s="4">
        <f>AVERAGE(E113:E120)</f>
        <v>367536.35416666669</v>
      </c>
      <c r="F121" s="5">
        <f t="shared" si="21"/>
        <v>149.44575</v>
      </c>
      <c r="G121" s="5">
        <f t="shared" si="21"/>
        <v>220.92772762500002</v>
      </c>
      <c r="H121" s="1" t="s">
        <v>219</v>
      </c>
      <c r="I121" s="1">
        <f>5*3600+20*60+19</f>
        <v>19219</v>
      </c>
    </row>
    <row r="123" spans="1:9">
      <c r="A123" s="1" t="s">
        <v>65</v>
      </c>
      <c r="B123" s="1"/>
      <c r="C123" s="1"/>
      <c r="D123" s="1"/>
      <c r="E123" s="1"/>
      <c r="F123" s="1"/>
      <c r="G123" s="1"/>
      <c r="H123" s="1"/>
    </row>
    <row r="124" spans="1:9">
      <c r="A124" s="1" t="s">
        <v>4</v>
      </c>
      <c r="B124" s="4">
        <v>335962</v>
      </c>
      <c r="C124" s="4">
        <v>391597</v>
      </c>
      <c r="D124" s="4">
        <v>383074</v>
      </c>
      <c r="E124" s="4">
        <f>(B124*4+C124+D124)/6</f>
        <v>353086.5</v>
      </c>
      <c r="F124" s="1">
        <v>116.328</v>
      </c>
      <c r="G124" s="1">
        <v>107.80963199999999</v>
      </c>
      <c r="H124" s="1"/>
    </row>
    <row r="125" spans="1:9">
      <c r="A125" s="1" t="s">
        <v>5</v>
      </c>
      <c r="B125" s="4">
        <v>330707</v>
      </c>
      <c r="C125" s="4">
        <v>395153</v>
      </c>
      <c r="D125" s="4">
        <v>381941</v>
      </c>
      <c r="E125" s="4">
        <f t="shared" ref="E125:E131" si="22">(B125*4+C125+D125)/6</f>
        <v>349987</v>
      </c>
      <c r="F125" s="1">
        <v>59.606000000000002</v>
      </c>
      <c r="G125" s="1">
        <v>312.066844</v>
      </c>
      <c r="H125" s="1"/>
    </row>
    <row r="126" spans="1:9">
      <c r="A126" s="1" t="s">
        <v>6</v>
      </c>
      <c r="B126" s="4">
        <v>335074</v>
      </c>
      <c r="C126" s="4">
        <v>399395</v>
      </c>
      <c r="D126" s="4">
        <v>382328</v>
      </c>
      <c r="E126" s="4">
        <f t="shared" si="22"/>
        <v>353669.83333333331</v>
      </c>
      <c r="F126" s="1">
        <v>72.048000000000002</v>
      </c>
      <c r="G126" s="1">
        <v>115.88759400000001</v>
      </c>
      <c r="H126" s="1"/>
    </row>
    <row r="127" spans="1:9">
      <c r="A127" s="1" t="s">
        <v>10</v>
      </c>
      <c r="B127" s="4">
        <v>334935</v>
      </c>
      <c r="C127" s="4">
        <v>397491</v>
      </c>
      <c r="D127" s="4">
        <v>393777</v>
      </c>
      <c r="E127" s="4">
        <f t="shared" si="22"/>
        <v>355168</v>
      </c>
      <c r="F127" s="1">
        <v>54.24</v>
      </c>
      <c r="G127" s="1">
        <v>301.13292300000001</v>
      </c>
      <c r="H127" s="1"/>
    </row>
    <row r="128" spans="1:9">
      <c r="A128" s="1" t="s">
        <v>11</v>
      </c>
      <c r="B128" s="4">
        <v>332341</v>
      </c>
      <c r="C128" s="4">
        <v>393783</v>
      </c>
      <c r="D128" s="4">
        <v>378356</v>
      </c>
      <c r="E128" s="4">
        <f t="shared" si="22"/>
        <v>350250.5</v>
      </c>
      <c r="F128" s="1">
        <v>81.53</v>
      </c>
      <c r="G128" s="1">
        <v>116.927013</v>
      </c>
      <c r="H128" s="1"/>
    </row>
    <row r="129" spans="1:9">
      <c r="A129" s="1" t="s">
        <v>12</v>
      </c>
      <c r="B129" s="4">
        <v>340222</v>
      </c>
      <c r="C129" s="4">
        <v>406682</v>
      </c>
      <c r="D129" s="4">
        <v>397836</v>
      </c>
      <c r="E129" s="4">
        <f t="shared" si="22"/>
        <v>360901</v>
      </c>
      <c r="F129" s="1">
        <v>61.735999999999997</v>
      </c>
      <c r="G129" s="1">
        <v>314.72001399999999</v>
      </c>
      <c r="H129" s="1"/>
    </row>
    <row r="130" spans="1:9">
      <c r="A130" s="1" t="s">
        <v>13</v>
      </c>
      <c r="B130" s="4">
        <v>329948</v>
      </c>
      <c r="C130" s="4">
        <v>394584</v>
      </c>
      <c r="D130" s="4">
        <v>379809</v>
      </c>
      <c r="E130" s="4">
        <f t="shared" si="22"/>
        <v>349030.83333333331</v>
      </c>
      <c r="F130" s="1">
        <v>92.328000000000003</v>
      </c>
      <c r="G130" s="1">
        <v>119.70158600000001</v>
      </c>
      <c r="H130" s="1"/>
    </row>
    <row r="131" spans="1:9">
      <c r="A131" s="1" t="s">
        <v>14</v>
      </c>
      <c r="B131" s="4">
        <v>331321</v>
      </c>
      <c r="C131" s="4">
        <v>393762</v>
      </c>
      <c r="D131" s="4">
        <v>386763</v>
      </c>
      <c r="E131" s="4">
        <f t="shared" si="22"/>
        <v>350968.16666666669</v>
      </c>
      <c r="F131" s="1">
        <v>93.867999999999995</v>
      </c>
      <c r="G131" s="1">
        <v>133.549318</v>
      </c>
      <c r="H131" s="1"/>
    </row>
    <row r="132" spans="1:9">
      <c r="A132" s="1" t="s">
        <v>7</v>
      </c>
      <c r="B132" s="4">
        <f>AVERAGE(B124:B131)</f>
        <v>333813.75</v>
      </c>
      <c r="C132" s="4">
        <f t="shared" ref="C132:G132" si="23">AVERAGE(C124:C131)</f>
        <v>396555.875</v>
      </c>
      <c r="D132" s="4">
        <f t="shared" si="23"/>
        <v>385485.5</v>
      </c>
      <c r="E132" s="4">
        <f t="shared" si="23"/>
        <v>352882.72916666663</v>
      </c>
      <c r="F132" s="5">
        <f t="shared" si="23"/>
        <v>78.960499999999996</v>
      </c>
      <c r="G132" s="5">
        <f t="shared" si="23"/>
        <v>190.2243655</v>
      </c>
      <c r="H132" s="1" t="s">
        <v>220</v>
      </c>
      <c r="I132" s="1">
        <f>5*300+9*60+49</f>
        <v>2089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jmvc8.5</vt:lpstr>
      <vt:lpstr>compare</vt:lpstr>
      <vt:lpstr>i7_org</vt:lpstr>
      <vt:lpstr>i7_paper</vt:lpstr>
      <vt:lpstr>i7_new</vt:lpstr>
      <vt:lpstr>i7_org_iraster=5</vt:lpstr>
      <vt:lpstr>i7_paper_iraster=5</vt:lpstr>
      <vt:lpstr>i7_new_iraster=5</vt:lpstr>
      <vt:lpstr>i7_new2_iraster=5</vt:lpstr>
      <vt:lpstr>result</vt:lpstr>
      <vt:lpstr>round=3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2014-04-23T04:19:47Z</dcterms:modified>
</cp:coreProperties>
</file>