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ec38245a005688/"/>
    </mc:Choice>
  </mc:AlternateContent>
  <xr:revisionPtr revIDLastSave="0" documentId="8_{56B433A5-E21E-4B86-84EA-D61A4A309C95}" xr6:coauthVersionLast="47" xr6:coauthVersionMax="47" xr10:uidLastSave="{00000000-0000-0000-0000-000000000000}"/>
  <bookViews>
    <workbookView xWindow="-96" yWindow="0" windowWidth="11712" windowHeight="12336" xr2:uid="{0492F564-FA5A-44AB-AF57-EE653DAC90DD}"/>
  </bookViews>
  <sheets>
    <sheet name="Inputs and Assumptions" sheetId="1" r:id="rId1"/>
    <sheet name="Revenue Forecast" sheetId="2" r:id="rId2"/>
    <sheet name="Merch Sale Forecas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2" l="1"/>
  <c r="F20" i="2"/>
  <c r="G20" i="2"/>
  <c r="H20" i="2"/>
  <c r="I20" i="2"/>
  <c r="J20" i="2"/>
  <c r="K20" i="2"/>
  <c r="L20" i="2"/>
  <c r="M20" i="2"/>
  <c r="N20" i="2"/>
  <c r="O20" i="2"/>
  <c r="P20" i="2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D20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D19" i="2"/>
  <c r="E18" i="2"/>
  <c r="F18" i="2"/>
  <c r="G18" i="2"/>
  <c r="H18" i="2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D18" i="2"/>
  <c r="E17" i="2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D17" i="2"/>
  <c r="C36" i="1" l="1"/>
  <c r="J9" i="1"/>
  <c r="C33" i="1" s="1"/>
  <c r="H30" i="1"/>
  <c r="C4" i="3" l="1"/>
  <c r="C5" i="3" s="1"/>
  <c r="C2" i="3"/>
  <c r="C14" i="1"/>
  <c r="C17" i="2"/>
  <c r="D4" i="2"/>
  <c r="D2" i="3" s="1"/>
  <c r="C35" i="1"/>
  <c r="C19" i="2" s="1"/>
  <c r="C34" i="1"/>
  <c r="C18" i="2" s="1"/>
  <c r="C20" i="2"/>
  <c r="C6" i="3" l="1"/>
  <c r="D21" i="2"/>
  <c r="E4" i="2"/>
  <c r="F4" i="2" s="1"/>
  <c r="F2" i="3" s="1"/>
  <c r="C21" i="2"/>
  <c r="D4" i="3"/>
  <c r="D5" i="3" s="1"/>
  <c r="C37" i="1"/>
  <c r="C11" i="3" l="1"/>
  <c r="C14" i="2"/>
  <c r="C13" i="2"/>
  <c r="C10" i="3"/>
  <c r="C12" i="3"/>
  <c r="C7" i="2"/>
  <c r="C8" i="2"/>
  <c r="C9" i="2"/>
  <c r="C15" i="2"/>
  <c r="G4" i="2"/>
  <c r="G2" i="3" s="1"/>
  <c r="E2" i="3"/>
  <c r="E21" i="2"/>
  <c r="E4" i="3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C10" i="2" l="1"/>
  <c r="C11" i="2" s="1"/>
  <c r="H4" i="2"/>
  <c r="I4" i="2" s="1"/>
  <c r="F21" i="2"/>
  <c r="E5" i="3"/>
  <c r="D6" i="3"/>
  <c r="C12" i="2" l="1"/>
  <c r="D14" i="2"/>
  <c r="D13" i="2"/>
  <c r="H2" i="3"/>
  <c r="G21" i="2"/>
  <c r="J4" i="2"/>
  <c r="I2" i="3"/>
  <c r="D10" i="3"/>
  <c r="D12" i="3"/>
  <c r="D11" i="3"/>
  <c r="F5" i="3"/>
  <c r="E6" i="3"/>
  <c r="I30" i="2" s="1"/>
  <c r="D15" i="2" l="1"/>
  <c r="D7" i="2"/>
  <c r="C16" i="2"/>
  <c r="D8" i="2"/>
  <c r="D9" i="2"/>
  <c r="E13" i="2"/>
  <c r="E14" i="2"/>
  <c r="K4" i="2"/>
  <c r="J2" i="3"/>
  <c r="H21" i="2"/>
  <c r="G5" i="3"/>
  <c r="F6" i="3"/>
  <c r="E11" i="3"/>
  <c r="E8" i="2" s="1"/>
  <c r="E10" i="3"/>
  <c r="E7" i="2" s="1"/>
  <c r="E12" i="3"/>
  <c r="E9" i="2" s="1"/>
  <c r="D10" i="2" l="1"/>
  <c r="C22" i="2"/>
  <c r="C24" i="2" s="1"/>
  <c r="K37" i="2"/>
  <c r="I37" i="2"/>
  <c r="J37" i="2"/>
  <c r="F14" i="2"/>
  <c r="F13" i="2"/>
  <c r="E15" i="2"/>
  <c r="I21" i="2"/>
  <c r="L4" i="2"/>
  <c r="K2" i="3"/>
  <c r="E10" i="2"/>
  <c r="D11" i="2"/>
  <c r="D12" i="2" s="1"/>
  <c r="F12" i="3"/>
  <c r="F11" i="3"/>
  <c r="F10" i="3"/>
  <c r="H5" i="3"/>
  <c r="G6" i="3"/>
  <c r="F15" i="2" l="1"/>
  <c r="L37" i="2"/>
  <c r="D16" i="2"/>
  <c r="F7" i="2"/>
  <c r="F8" i="2"/>
  <c r="F9" i="2"/>
  <c r="G14" i="2"/>
  <c r="G13" i="2"/>
  <c r="M4" i="2"/>
  <c r="L2" i="3"/>
  <c r="J21" i="2"/>
  <c r="E11" i="2"/>
  <c r="E12" i="2" s="1"/>
  <c r="E16" i="2" s="1"/>
  <c r="E22" i="2" s="1"/>
  <c r="E24" i="2" s="1"/>
  <c r="I5" i="3"/>
  <c r="H6" i="3"/>
  <c r="I31" i="2" s="1"/>
  <c r="G12" i="3"/>
  <c r="G9" i="2" s="1"/>
  <c r="G11" i="3"/>
  <c r="G8" i="2" s="1"/>
  <c r="G10" i="3"/>
  <c r="G7" i="2" s="1"/>
  <c r="F10" i="2" l="1"/>
  <c r="E16" i="3"/>
  <c r="K30" i="2"/>
  <c r="D22" i="2"/>
  <c r="D24" i="2" s="1"/>
  <c r="L30" i="2"/>
  <c r="G15" i="2"/>
  <c r="H14" i="2"/>
  <c r="H13" i="2"/>
  <c r="G10" i="2"/>
  <c r="G11" i="2" s="1"/>
  <c r="G12" i="2" s="1"/>
  <c r="K21" i="2"/>
  <c r="N4" i="2"/>
  <c r="M2" i="3"/>
  <c r="F11" i="2"/>
  <c r="F12" i="2" s="1"/>
  <c r="J5" i="3"/>
  <c r="I6" i="3"/>
  <c r="H10" i="3"/>
  <c r="H7" i="2" s="1"/>
  <c r="H12" i="3"/>
  <c r="H11" i="3"/>
  <c r="H8" i="2" s="1"/>
  <c r="G16" i="2" l="1"/>
  <c r="G22" i="2" s="1"/>
  <c r="G24" i="2" s="1"/>
  <c r="H9" i="2"/>
  <c r="H10" i="2" s="1"/>
  <c r="K38" i="2"/>
  <c r="I38" i="2"/>
  <c r="F16" i="2"/>
  <c r="J38" i="2"/>
  <c r="H15" i="2"/>
  <c r="I14" i="2"/>
  <c r="I13" i="2"/>
  <c r="N2" i="3"/>
  <c r="O4" i="2"/>
  <c r="L21" i="2"/>
  <c r="I11" i="3"/>
  <c r="I10" i="3"/>
  <c r="I12" i="3"/>
  <c r="K5" i="3"/>
  <c r="J6" i="3"/>
  <c r="I9" i="2" l="1"/>
  <c r="L38" i="2"/>
  <c r="I7" i="2"/>
  <c r="F22" i="2"/>
  <c r="F24" i="2" s="1"/>
  <c r="I8" i="2"/>
  <c r="I15" i="2"/>
  <c r="J14" i="2"/>
  <c r="J13" i="2"/>
  <c r="P4" i="2"/>
  <c r="O2" i="3"/>
  <c r="M21" i="2"/>
  <c r="H11" i="2"/>
  <c r="H12" i="2" s="1"/>
  <c r="L5" i="3"/>
  <c r="K6" i="3"/>
  <c r="E15" i="3" s="1"/>
  <c r="J12" i="3"/>
  <c r="J9" i="2" s="1"/>
  <c r="J11" i="3"/>
  <c r="J8" i="2" s="1"/>
  <c r="J10" i="3"/>
  <c r="J7" i="2" s="1"/>
  <c r="I10" i="2" l="1"/>
  <c r="H16" i="2"/>
  <c r="K31" i="2"/>
  <c r="I32" i="2"/>
  <c r="J15" i="2"/>
  <c r="K14" i="2"/>
  <c r="K13" i="2"/>
  <c r="N21" i="2"/>
  <c r="Q4" i="2"/>
  <c r="P2" i="3"/>
  <c r="J10" i="2"/>
  <c r="J11" i="2" s="1"/>
  <c r="J12" i="2" s="1"/>
  <c r="I11" i="2"/>
  <c r="I12" i="2" s="1"/>
  <c r="K12" i="3"/>
  <c r="K9" i="2" s="1"/>
  <c r="K11" i="3"/>
  <c r="K8" i="2" s="1"/>
  <c r="K10" i="3"/>
  <c r="K7" i="2" s="1"/>
  <c r="M5" i="3"/>
  <c r="L6" i="3"/>
  <c r="K39" i="2" l="1"/>
  <c r="I16" i="2"/>
  <c r="I39" i="2"/>
  <c r="H22" i="2"/>
  <c r="H24" i="2" s="1"/>
  <c r="L31" i="2"/>
  <c r="J16" i="2"/>
  <c r="J22" i="2" s="1"/>
  <c r="J24" i="2" s="1"/>
  <c r="J39" i="2"/>
  <c r="K15" i="2"/>
  <c r="L14" i="2"/>
  <c r="L13" i="2"/>
  <c r="R4" i="2"/>
  <c r="Q2" i="3"/>
  <c r="O21" i="2"/>
  <c r="K10" i="2"/>
  <c r="K11" i="2" s="1"/>
  <c r="K12" i="2" s="1"/>
  <c r="K32" i="2" s="1"/>
  <c r="N5" i="3"/>
  <c r="O5" i="3" s="1"/>
  <c r="P5" i="3" s="1"/>
  <c r="M6" i="3"/>
  <c r="L10" i="3"/>
  <c r="L12" i="3"/>
  <c r="L11" i="3"/>
  <c r="L9" i="2" l="1"/>
  <c r="L8" i="2"/>
  <c r="L7" i="2"/>
  <c r="L39" i="2"/>
  <c r="I22" i="2"/>
  <c r="I24" i="2" s="1"/>
  <c r="K16" i="2"/>
  <c r="K22" i="2" s="1"/>
  <c r="K24" i="2" s="1"/>
  <c r="L15" i="2"/>
  <c r="M14" i="2"/>
  <c r="M13" i="2"/>
  <c r="N6" i="3"/>
  <c r="I33" i="2" s="1"/>
  <c r="P21" i="2"/>
  <c r="S4" i="2"/>
  <c r="R2" i="3"/>
  <c r="M11" i="3"/>
  <c r="M8" i="2" s="1"/>
  <c r="M10" i="3"/>
  <c r="M7" i="2" s="1"/>
  <c r="M12" i="3"/>
  <c r="M9" i="2" s="1"/>
  <c r="L10" i="2" l="1"/>
  <c r="L11" i="2" s="1"/>
  <c r="L12" i="2" s="1"/>
  <c r="L16" i="2" s="1"/>
  <c r="L32" i="2"/>
  <c r="M15" i="2"/>
  <c r="N14" i="2"/>
  <c r="N13" i="2"/>
  <c r="N10" i="3"/>
  <c r="N7" i="2" s="1"/>
  <c r="N11" i="3"/>
  <c r="N8" i="2" s="1"/>
  <c r="N12" i="3"/>
  <c r="N9" i="2" s="1"/>
  <c r="O6" i="3"/>
  <c r="T4" i="2"/>
  <c r="S2" i="3"/>
  <c r="Q21" i="2"/>
  <c r="M10" i="2"/>
  <c r="J40" i="2" l="1"/>
  <c r="K40" i="2"/>
  <c r="I40" i="2"/>
  <c r="L22" i="2"/>
  <c r="L24" i="2" s="1"/>
  <c r="N15" i="2"/>
  <c r="N10" i="2"/>
  <c r="N11" i="2" s="1"/>
  <c r="N12" i="2" s="1"/>
  <c r="P6" i="3"/>
  <c r="Q5" i="3"/>
  <c r="O13" i="2"/>
  <c r="O14" i="2"/>
  <c r="O10" i="3"/>
  <c r="O7" i="2" s="1"/>
  <c r="O11" i="3"/>
  <c r="O8" i="2" s="1"/>
  <c r="O12" i="3"/>
  <c r="O9" i="2" s="1"/>
  <c r="U4" i="2"/>
  <c r="T2" i="3"/>
  <c r="R21" i="2"/>
  <c r="M11" i="2"/>
  <c r="M12" i="2" s="1"/>
  <c r="N16" i="2" l="1"/>
  <c r="N22" i="2" s="1"/>
  <c r="N24" i="2" s="1"/>
  <c r="L40" i="2"/>
  <c r="M16" i="2"/>
  <c r="K33" i="2"/>
  <c r="O15" i="2"/>
  <c r="O10" i="2"/>
  <c r="O11" i="2" s="1"/>
  <c r="O12" i="2" s="1"/>
  <c r="O16" i="2" s="1"/>
  <c r="O22" i="2" s="1"/>
  <c r="O24" i="2" s="1"/>
  <c r="P10" i="3"/>
  <c r="P7" i="2" s="1"/>
  <c r="P11" i="3"/>
  <c r="P8" i="2" s="1"/>
  <c r="P12" i="3"/>
  <c r="P9" i="2" s="1"/>
  <c r="P13" i="2"/>
  <c r="P14" i="2"/>
  <c r="Q6" i="3"/>
  <c r="R5" i="3"/>
  <c r="S21" i="2"/>
  <c r="V4" i="2"/>
  <c r="U2" i="3"/>
  <c r="M22" i="2" l="1"/>
  <c r="M24" i="2" s="1"/>
  <c r="L33" i="2"/>
  <c r="P15" i="2"/>
  <c r="Q10" i="3"/>
  <c r="Q7" i="2" s="1"/>
  <c r="Q12" i="3"/>
  <c r="Q9" i="2" s="1"/>
  <c r="Q11" i="3"/>
  <c r="Q8" i="2" s="1"/>
  <c r="Q14" i="2"/>
  <c r="Q13" i="2"/>
  <c r="P10" i="2"/>
  <c r="P11" i="2" s="1"/>
  <c r="P12" i="2" s="1"/>
  <c r="R6" i="3"/>
  <c r="S5" i="3"/>
  <c r="W4" i="2"/>
  <c r="V2" i="3"/>
  <c r="T21" i="2"/>
  <c r="P16" i="2" l="1"/>
  <c r="P22" i="2" s="1"/>
  <c r="P24" i="2" s="1"/>
  <c r="R10" i="3"/>
  <c r="R7" i="2" s="1"/>
  <c r="R11" i="3"/>
  <c r="R8" i="2" s="1"/>
  <c r="R12" i="3"/>
  <c r="R9" i="2" s="1"/>
  <c r="R14" i="2"/>
  <c r="R13" i="2"/>
  <c r="T5" i="3"/>
  <c r="S6" i="3"/>
  <c r="Q15" i="2"/>
  <c r="Q10" i="2"/>
  <c r="Q11" i="2" s="1"/>
  <c r="Q12" i="2" s="1"/>
  <c r="U21" i="2"/>
  <c r="X4" i="2"/>
  <c r="W2" i="3"/>
  <c r="R10" i="2" l="1"/>
  <c r="R11" i="2" s="1"/>
  <c r="R12" i="2" s="1"/>
  <c r="S10" i="3"/>
  <c r="S7" i="2" s="1"/>
  <c r="S11" i="3"/>
  <c r="S8" i="2" s="1"/>
  <c r="S12" i="3"/>
  <c r="S9" i="2" s="1"/>
  <c r="S14" i="2"/>
  <c r="S13" i="2"/>
  <c r="T6" i="3"/>
  <c r="U5" i="3"/>
  <c r="Q16" i="2"/>
  <c r="Q22" i="2" s="1"/>
  <c r="Q24" i="2" s="1"/>
  <c r="R15" i="2"/>
  <c r="Y4" i="2"/>
  <c r="X2" i="3"/>
  <c r="V21" i="2"/>
  <c r="R16" i="2" l="1"/>
  <c r="R22" i="2" s="1"/>
  <c r="R24" i="2" s="1"/>
  <c r="S15" i="2"/>
  <c r="V5" i="3"/>
  <c r="U6" i="3"/>
  <c r="T10" i="3"/>
  <c r="T7" i="2" s="1"/>
  <c r="T11" i="3"/>
  <c r="T8" i="2" s="1"/>
  <c r="T12" i="3"/>
  <c r="T9" i="2" s="1"/>
  <c r="T13" i="2"/>
  <c r="T14" i="2"/>
  <c r="S10" i="2"/>
  <c r="S11" i="2" s="1"/>
  <c r="S12" i="2" s="1"/>
  <c r="W21" i="2"/>
  <c r="Z4" i="2"/>
  <c r="Z2" i="3" s="1"/>
  <c r="Y2" i="3"/>
  <c r="S16" i="2" l="1"/>
  <c r="S22" i="2" s="1"/>
  <c r="S24" i="2" s="1"/>
  <c r="T10" i="2"/>
  <c r="T11" i="2" s="1"/>
  <c r="T12" i="2" s="1"/>
  <c r="T15" i="2"/>
  <c r="U11" i="3"/>
  <c r="U8" i="2" s="1"/>
  <c r="U12" i="3"/>
  <c r="U9" i="2" s="1"/>
  <c r="U10" i="3"/>
  <c r="U7" i="2" s="1"/>
  <c r="U13" i="2"/>
  <c r="U14" i="2"/>
  <c r="V6" i="3"/>
  <c r="W5" i="3"/>
  <c r="X21" i="2"/>
  <c r="T16" i="2" l="1"/>
  <c r="T22" i="2" s="1"/>
  <c r="T24" i="2" s="1"/>
  <c r="U15" i="2"/>
  <c r="X5" i="3"/>
  <c r="W6" i="3"/>
  <c r="U10" i="2"/>
  <c r="U11" i="2" s="1"/>
  <c r="U12" i="2" s="1"/>
  <c r="V10" i="3"/>
  <c r="V7" i="2" s="1"/>
  <c r="V11" i="3"/>
  <c r="V8" i="2" s="1"/>
  <c r="V12" i="3"/>
  <c r="V9" i="2" s="1"/>
  <c r="V13" i="2"/>
  <c r="V14" i="2"/>
  <c r="Y21" i="2"/>
  <c r="Z21" i="2"/>
  <c r="U16" i="2" l="1"/>
  <c r="U22" i="2" s="1"/>
  <c r="U24" i="2" s="1"/>
  <c r="X6" i="3"/>
  <c r="Y5" i="3"/>
  <c r="W10" i="3"/>
  <c r="W7" i="2" s="1"/>
  <c r="W11" i="3"/>
  <c r="W8" i="2" s="1"/>
  <c r="W12" i="3"/>
  <c r="W9" i="2" s="1"/>
  <c r="W14" i="2"/>
  <c r="W13" i="2"/>
  <c r="V10" i="2"/>
  <c r="V11" i="2" s="1"/>
  <c r="V12" i="2" s="1"/>
  <c r="V15" i="2"/>
  <c r="W15" i="2" l="1"/>
  <c r="V16" i="2"/>
  <c r="V22" i="2" s="1"/>
  <c r="V24" i="2" s="1"/>
  <c r="Z5" i="3"/>
  <c r="Z6" i="3" s="1"/>
  <c r="Y6" i="3"/>
  <c r="W10" i="2"/>
  <c r="W11" i="2" s="1"/>
  <c r="W12" i="2" s="1"/>
  <c r="X10" i="3"/>
  <c r="X7" i="2" s="1"/>
  <c r="X11" i="3"/>
  <c r="X8" i="2" s="1"/>
  <c r="X12" i="3"/>
  <c r="X9" i="2" s="1"/>
  <c r="X13" i="2"/>
  <c r="X14" i="2"/>
  <c r="W16" i="2" l="1"/>
  <c r="W22" i="2" s="1"/>
  <c r="W24" i="2" s="1"/>
  <c r="X15" i="2"/>
  <c r="X10" i="2"/>
  <c r="X11" i="2" s="1"/>
  <c r="X12" i="2" s="1"/>
  <c r="X16" i="2" s="1"/>
  <c r="X22" i="2" s="1"/>
  <c r="X24" i="2" s="1"/>
  <c r="Y11" i="3"/>
  <c r="Y8" i="2" s="1"/>
  <c r="Y12" i="3"/>
  <c r="Y9" i="2" s="1"/>
  <c r="Y10" i="3"/>
  <c r="Y7" i="2" s="1"/>
  <c r="Y13" i="2"/>
  <c r="Y14" i="2"/>
  <c r="Z10" i="3"/>
  <c r="Z7" i="2" s="1"/>
  <c r="Z11" i="3"/>
  <c r="Z8" i="2" s="1"/>
  <c r="Z12" i="3"/>
  <c r="Z9" i="2" s="1"/>
  <c r="Z13" i="2"/>
  <c r="Z14" i="2"/>
  <c r="Z10" i="2" l="1"/>
  <c r="Z11" i="2" s="1"/>
  <c r="Z12" i="2" s="1"/>
  <c r="Y15" i="2"/>
  <c r="Z15" i="2"/>
  <c r="Y10" i="2"/>
  <c r="Y11" i="2" s="1"/>
  <c r="Y12" i="2" s="1"/>
  <c r="Y16" i="2" l="1"/>
  <c r="Y22" i="2" s="1"/>
  <c r="Y24" i="2" s="1"/>
  <c r="Z16" i="2"/>
  <c r="Z22" i="2" s="1"/>
  <c r="Z24" i="2" s="1"/>
</calcChain>
</file>

<file path=xl/sharedStrings.xml><?xml version="1.0" encoding="utf-8"?>
<sst xmlns="http://schemas.openxmlformats.org/spreadsheetml/2006/main" count="136" uniqueCount="99">
  <si>
    <t>INFINITO COMICS</t>
  </si>
  <si>
    <t xml:space="preserve"> Inputs &amp; Assumptions Sheet</t>
  </si>
  <si>
    <t>Parameters</t>
  </si>
  <si>
    <t>Value</t>
  </si>
  <si>
    <t>Model Start</t>
  </si>
  <si>
    <t>Team Structure &amp; Monthly Salary Estimates (INR)</t>
  </si>
  <si>
    <t>Sensitivity Analysis - Number of Merchs Sold in Year 1</t>
  </si>
  <si>
    <t>Forecast Period</t>
  </si>
  <si>
    <t>24 months</t>
  </si>
  <si>
    <t>Role</t>
  </si>
  <si>
    <t>No. of People</t>
  </si>
  <si>
    <t>Monthly Salary</t>
  </si>
  <si>
    <t>Monthly Cost</t>
  </si>
  <si>
    <t>Product Tiers</t>
  </si>
  <si>
    <t>Low (500), Mid (900), Premium (1,500)</t>
  </si>
  <si>
    <t>Founder</t>
  </si>
  <si>
    <t>Cost/Unit (Avg)</t>
  </si>
  <si>
    <t>Operations Manager</t>
  </si>
  <si>
    <t>None</t>
  </si>
  <si>
    <t>Avg Margin/Unit</t>
  </si>
  <si>
    <t>Graphic Designer</t>
  </si>
  <si>
    <t>Initial Marketing Budget (Monthly)</t>
  </si>
  <si>
    <t>Marketing Executive</t>
  </si>
  <si>
    <t>No. of Users(Registered) 1st Month</t>
  </si>
  <si>
    <t>assuming 7 CPC and 10% organic reach</t>
  </si>
  <si>
    <t>Community Manager (Discord/IG/LinkedIn)</t>
  </si>
  <si>
    <t>Starting Units Sold (Month 1)</t>
  </si>
  <si>
    <t>units</t>
  </si>
  <si>
    <t>Sales Support/Interns</t>
  </si>
  <si>
    <t>Avg Purchase per person/month</t>
  </si>
  <si>
    <t>times</t>
  </si>
  <si>
    <t>Growth Rate (MoM)</t>
  </si>
  <si>
    <t>Churn Rate (Mom)</t>
  </si>
  <si>
    <t>Return Rate</t>
  </si>
  <si>
    <t>(blended from all tiers)</t>
  </si>
  <si>
    <t>Additional Ongoing Costs One Should Budget</t>
  </si>
  <si>
    <t>Conversion from Marketing (%)</t>
  </si>
  <si>
    <t>Category</t>
  </si>
  <si>
    <t>Monthly Budget</t>
  </si>
  <si>
    <t>Notes</t>
  </si>
  <si>
    <t>Avg Order Value (AOV)</t>
  </si>
  <si>
    <t>per annum (assuming 700 SP and 1.33 units per order)</t>
  </si>
  <si>
    <t>Software Tools (Canva Pro, Web Hosting/Domain, etc.)</t>
  </si>
  <si>
    <t>Design, analytics, ecommerce</t>
  </si>
  <si>
    <t>Tax Rate</t>
  </si>
  <si>
    <t>Infrastructure</t>
  </si>
  <si>
    <t>Shopify or WooCommerce hosting</t>
  </si>
  <si>
    <t>Increase in OPEX &amp; Salaries</t>
  </si>
  <si>
    <t>per annum</t>
  </si>
  <si>
    <t>Legal &amp; Accounting</t>
  </si>
  <si>
    <t>CA + basic contract reviews</t>
  </si>
  <si>
    <t>Cost Per Click</t>
  </si>
  <si>
    <t>Co-working Space/Studio Rent</t>
  </si>
  <si>
    <t>For team &amp; small stockroom</t>
  </si>
  <si>
    <t>Number of months to reach BEP</t>
  </si>
  <si>
    <t>21 (March-27)</t>
  </si>
  <si>
    <t>Packaging &amp; Custom Labels</t>
  </si>
  <si>
    <t>Cost to pack the merchandise</t>
  </si>
  <si>
    <t>Average Price</t>
  </si>
  <si>
    <t>Low</t>
  </si>
  <si>
    <t>COGS</t>
  </si>
  <si>
    <t>Medium</t>
  </si>
  <si>
    <t>Raw Material &amp; Printing</t>
  </si>
  <si>
    <t>Premium</t>
  </si>
  <si>
    <t>Operations &amp; Logistics/Marketing</t>
  </si>
  <si>
    <t>Suggested OPEX Summary (Monthly)</t>
  </si>
  <si>
    <t>Budget (INR)</t>
  </si>
  <si>
    <t>Salaries</t>
  </si>
  <si>
    <t>Infra/Tools</t>
  </si>
  <si>
    <t>Rent/Office</t>
  </si>
  <si>
    <t>Misc/Legal/Etc.</t>
  </si>
  <si>
    <t>Total OPEX</t>
  </si>
  <si>
    <t>Revenue Forecasting - Infinito Comics</t>
  </si>
  <si>
    <t>Month</t>
  </si>
  <si>
    <t>Gross Revenue</t>
  </si>
  <si>
    <t>Returns</t>
  </si>
  <si>
    <t>Net Revenue</t>
  </si>
  <si>
    <t>Operations &amp; Logistics / Marketing</t>
  </si>
  <si>
    <t>Gross Profit</t>
  </si>
  <si>
    <t>OPEX</t>
  </si>
  <si>
    <t>EBITDA</t>
  </si>
  <si>
    <t>Tax</t>
  </si>
  <si>
    <t>PAT/Net Profit</t>
  </si>
  <si>
    <t>Quarters</t>
  </si>
  <si>
    <t>No. of Merch Sold</t>
  </si>
  <si>
    <t>Revenue</t>
  </si>
  <si>
    <t>Q3 2025</t>
  </si>
  <si>
    <t>Q4 2025</t>
  </si>
  <si>
    <t>Q1 2026</t>
  </si>
  <si>
    <t>Q2 2026</t>
  </si>
  <si>
    <t xml:space="preserve">Quarterly
 Revenue </t>
  </si>
  <si>
    <t>Low Merch</t>
  </si>
  <si>
    <t>Total</t>
  </si>
  <si>
    <t>No. of Users onboarded
 via marketing</t>
  </si>
  <si>
    <t>Conversion from Marketing</t>
  </si>
  <si>
    <t>Avg No. of Merchandise sold</t>
  </si>
  <si>
    <t>No. of Merchandise of each category sold</t>
  </si>
  <si>
    <t>No. of Merchandise to be sold for Break-Even</t>
  </si>
  <si>
    <t>Total Expected Merchandise Sell in FY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</si>
</sst>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₹&quot;\ #,##0;&quot;₹&quot;\ \-#,##0"/>
    <numFmt numFmtId="165" formatCode="&quot;₹&quot;\ #,##0.00;&quot;₹&quot;\ \-#,##0.00"/>
    <numFmt numFmtId="166" formatCode="_ &quot;₹&quot;\ * #,##0.00_ ;_ &quot;₹&quot;\ * \-#,##0.00_ ;_ &quot;₹&quot;\ * &quot;-&quot;??_ ;_ @_ "/>
    <numFmt numFmtId="167" formatCode="&quot;₹&quot;\ #,##0.00"/>
  </numFmts>
  <fonts count="8"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22"/>
      <color theme="1"/>
      <name val="Calibri"/>
      <family val="2"/>
    </font>
    <font>
      <sz val="11"/>
      <color theme="1"/>
      <name val="Calibri"/>
      <family val="2"/>
    </font>
    <font>
      <sz val="11"/>
      <color theme="0" tint="-0.1499984740745262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hair">
        <color rgb="FFC00000"/>
      </top>
      <bottom style="hair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hair">
        <color rgb="FFC00000"/>
      </top>
      <bottom/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/>
      <diagonal/>
    </border>
  </borders>
  <cellStyleXfs count="3">
    <xf numFmtId="0" fontId="0" fillId="0" borderId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6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167" fontId="0" fillId="0" borderId="0" xfId="0" applyNumberFormat="1"/>
    <xf numFmtId="0" fontId="3" fillId="0" borderId="0" xfId="0" applyFont="1"/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2" fillId="0" borderId="0" xfId="0" applyFont="1"/>
    <xf numFmtId="0" fontId="2" fillId="4" borderId="0" xfId="0" applyFont="1" applyFill="1"/>
    <xf numFmtId="0" fontId="0" fillId="4" borderId="0" xfId="0" applyFill="1"/>
    <xf numFmtId="165" fontId="0" fillId="0" borderId="0" xfId="0" applyNumberFormat="1"/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7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2" fillId="2" borderId="0" xfId="0" applyFont="1" applyFill="1"/>
    <xf numFmtId="17" fontId="2" fillId="4" borderId="0" xfId="0" applyNumberFormat="1" applyFont="1" applyFill="1"/>
    <xf numFmtId="4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center" vertical="center"/>
    </xf>
    <xf numFmtId="0" fontId="2" fillId="0" borderId="1" xfId="0" applyFont="1" applyBorder="1"/>
    <xf numFmtId="1" fontId="0" fillId="0" borderId="1" xfId="0" applyNumberFormat="1" applyBorder="1"/>
    <xf numFmtId="0" fontId="2" fillId="4" borderId="1" xfId="0" applyFont="1" applyFill="1" applyBorder="1" applyAlignment="1">
      <alignment vertical="center" wrapText="1"/>
    </xf>
    <xf numFmtId="17" fontId="2" fillId="2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/>
    </xf>
    <xf numFmtId="164" fontId="0" fillId="0" borderId="0" xfId="0" applyNumberFormat="1"/>
    <xf numFmtId="164" fontId="2" fillId="0" borderId="0" xfId="0" applyNumberFormat="1" applyFont="1"/>
    <xf numFmtId="165" fontId="2" fillId="0" borderId="0" xfId="0" applyNumberFormat="1" applyFont="1"/>
    <xf numFmtId="0" fontId="2" fillId="0" borderId="2" xfId="0" applyFont="1" applyBorder="1"/>
    <xf numFmtId="165" fontId="2" fillId="0" borderId="2" xfId="0" applyNumberFormat="1" applyFont="1" applyBorder="1"/>
    <xf numFmtId="165" fontId="2" fillId="0" borderId="1" xfId="0" applyNumberFormat="1" applyFont="1" applyBorder="1"/>
    <xf numFmtId="167" fontId="2" fillId="6" borderId="0" xfId="0" applyNumberFormat="1" applyFont="1" applyFill="1" applyAlignment="1">
      <alignment horizontal="center"/>
    </xf>
    <xf numFmtId="0" fontId="0" fillId="6" borderId="0" xfId="0" applyFill="1"/>
    <xf numFmtId="0" fontId="2" fillId="6" borderId="1" xfId="0" applyFont="1" applyFill="1" applyBorder="1"/>
    <xf numFmtId="165" fontId="2" fillId="6" borderId="1" xfId="0" applyNumberFormat="1" applyFont="1" applyFill="1" applyBorder="1" applyAlignment="1">
      <alignment horizontal="left"/>
    </xf>
    <xf numFmtId="0" fontId="4" fillId="6" borderId="0" xfId="0" applyFont="1" applyFill="1"/>
    <xf numFmtId="0" fontId="4" fillId="4" borderId="3" xfId="0" applyFont="1" applyFill="1" applyBorder="1"/>
    <xf numFmtId="1" fontId="0" fillId="0" borderId="4" xfId="0" applyNumberFormat="1" applyBorder="1" applyAlignment="1">
      <alignment horizontal="center"/>
    </xf>
    <xf numFmtId="0" fontId="2" fillId="4" borderId="2" xfId="0" applyFont="1" applyFill="1" applyBorder="1"/>
    <xf numFmtId="1" fontId="2" fillId="0" borderId="2" xfId="0" applyNumberFormat="1" applyFont="1" applyBorder="1" applyAlignment="1">
      <alignment horizontal="center"/>
    </xf>
    <xf numFmtId="0" fontId="2" fillId="4" borderId="4" xfId="0" applyFont="1" applyFill="1" applyBorder="1"/>
    <xf numFmtId="4" fontId="4" fillId="4" borderId="3" xfId="0" applyNumberFormat="1" applyFont="1" applyFill="1" applyBorder="1"/>
    <xf numFmtId="0" fontId="5" fillId="0" borderId="0" xfId="0" applyFont="1"/>
    <xf numFmtId="0" fontId="0" fillId="5" borderId="0" xfId="0" applyFill="1"/>
    <xf numFmtId="0" fontId="2" fillId="4" borderId="1" xfId="0" applyFont="1" applyFill="1" applyBorder="1"/>
    <xf numFmtId="0" fontId="0" fillId="4" borderId="1" xfId="0" applyFill="1" applyBorder="1"/>
    <xf numFmtId="3" fontId="0" fillId="0" borderId="1" xfId="0" applyNumberFormat="1" applyBorder="1"/>
    <xf numFmtId="0" fontId="2" fillId="5" borderId="0" xfId="0" applyFont="1" applyFill="1"/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167" fontId="0" fillId="0" borderId="0" xfId="1" applyNumberFormat="1" applyFont="1"/>
    <xf numFmtId="0" fontId="2" fillId="4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0" fillId="0" borderId="0" xfId="0" applyNumberFormat="1"/>
    <xf numFmtId="1" fontId="2" fillId="7" borderId="0" xfId="0" applyNumberFormat="1" applyFont="1" applyFill="1"/>
    <xf numFmtId="3" fontId="7" fillId="0" borderId="0" xfId="0" applyNumberFormat="1" applyFont="1"/>
    <xf numFmtId="9" fontId="2" fillId="0" borderId="6" xfId="2" applyFont="1" applyBorder="1"/>
    <xf numFmtId="10" fontId="2" fillId="0" borderId="6" xfId="0" applyNumberFormat="1" applyFont="1" applyBorder="1"/>
    <xf numFmtId="9" fontId="2" fillId="0" borderId="6" xfId="0" applyNumberFormat="1" applyFont="1" applyBorder="1"/>
    <xf numFmtId="0" fontId="2" fillId="4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9999"/>
      <color rgb="FFFF7C80"/>
      <color rgb="FFFF00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7C80"/>
              </a:solidFill>
              <a:ln>
                <a:solidFill>
                  <a:srgbClr val="FF9999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826-4DD0-8DFD-4184C1E93CB7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826-4DD0-8DFD-4184C1E93CB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826-4DD0-8DFD-4184C1E93CB7}"/>
              </c:ext>
            </c:extLst>
          </c:dPt>
          <c:dPt>
            <c:idx val="3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826-4DD0-8DFD-4184C1E93C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'Inputs and Assumptions'!$B$33:$B$36</c:f>
              <c:strCache>
                <c:ptCount val="4"/>
                <c:pt idx="0">
                  <c:v>Salaries</c:v>
                </c:pt>
                <c:pt idx="1">
                  <c:v>Infra/Tools</c:v>
                </c:pt>
                <c:pt idx="2">
                  <c:v>Rent/Office</c:v>
                </c:pt>
                <c:pt idx="3">
                  <c:v>Misc/Legal/Etc.</c:v>
                </c:pt>
              </c:strCache>
            </c:strRef>
          </c:cat>
          <c:val>
            <c:numRef>
              <c:f>'Inputs and Assumptions'!$C$33:$C$36</c:f>
              <c:numCache>
                <c:formatCode>"₹"\ #,##0.00</c:formatCode>
                <c:ptCount val="4"/>
                <c:pt idx="0" formatCode="&quot;₹&quot;\ #,##0.00;&quot;₹&quot;\ \-#,##0.00">
                  <c:v>325000</c:v>
                </c:pt>
                <c:pt idx="1">
                  <c:v>175000</c:v>
                </c:pt>
                <c:pt idx="2" formatCode="&quot;₹&quot;\ #,##0.00;&quot;₹&quot;\ \-#,##0.00">
                  <c:v>150000</c:v>
                </c:pt>
                <c:pt idx="3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6-4DD0-8DFD-4184C1E93CB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Arial Rounded MT Bold" panose="020F0704030504030204" pitchFamily="34" charset="0"/>
              </a:rPr>
              <a:t>COGS</a:t>
            </a:r>
          </a:p>
        </c:rich>
      </c:tx>
      <c:layout>
        <c:manualLayout>
          <c:xMode val="edge"/>
          <c:yMode val="edge"/>
          <c:x val="0.4028429491930447"/>
          <c:y val="3.1249615531304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EE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46E-4CB7-9B39-8037C2DCB41A}"/>
              </c:ext>
            </c:extLst>
          </c:dPt>
          <c:dPt>
            <c:idx val="1"/>
            <c:bubble3D val="0"/>
            <c:spPr>
              <a:solidFill>
                <a:srgbClr val="FF9999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D46E-4CB7-9B39-8037C2DCB4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4-9785-4F77-8C8B-E96A758148AB}"/>
              </c:ext>
            </c:extLst>
          </c:dPt>
          <c:dLbls>
            <c:dLbl>
              <c:idx val="0"/>
              <c:layout>
                <c:manualLayout>
                  <c:x val="-0.13781748189109863"/>
                  <c:y val="-0.270080690092747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6E-4CB7-9B39-8037C2DCB41A}"/>
                </c:ext>
              </c:extLst>
            </c:dLbl>
            <c:dLbl>
              <c:idx val="1"/>
              <c:layout>
                <c:manualLayout>
                  <c:x val="0.10108010787284802"/>
                  <c:y val="0.1206372250060196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6E-4CB7-9B39-8037C2DCB4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'Inputs and Assumptions'!$G$27:$G$29</c:f>
              <c:strCache>
                <c:ptCount val="2"/>
                <c:pt idx="0">
                  <c:v>Raw Material &amp; Printing</c:v>
                </c:pt>
                <c:pt idx="1">
                  <c:v>Operations &amp; Logistics/Marketing</c:v>
                </c:pt>
              </c:strCache>
            </c:strRef>
          </c:cat>
          <c:val>
            <c:numRef>
              <c:f>'Inputs and Assumptions'!$H$27:$H$29</c:f>
              <c:numCache>
                <c:formatCode>"₹"\ #,##0.00</c:formatCode>
                <c:ptCount val="3"/>
                <c:pt idx="0">
                  <c:v>410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E-4CB7-9B39-8037C2DCB41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50" baseline="0">
                <a:ln>
                  <a:solidFill>
                    <a:srgbClr val="EE0000"/>
                  </a:solidFill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n>
                  <a:solidFill>
                    <a:srgbClr val="EE0000"/>
                  </a:solidFill>
                </a:ln>
                <a:solidFill>
                  <a:sysClr val="windowText" lastClr="000000"/>
                </a:solidFill>
              </a:rPr>
              <a:t>FY 2025 Revenue Forecast</a:t>
            </a:r>
          </a:p>
        </c:rich>
      </c:tx>
      <c:layout>
        <c:manualLayout>
          <c:xMode val="edge"/>
          <c:yMode val="edge"/>
          <c:x val="0.2572966058059496"/>
          <c:y val="5.7372785144653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50" baseline="0">
              <a:ln>
                <a:solidFill>
                  <a:srgbClr val="EE0000"/>
                </a:solidFill>
              </a:ln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E000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 prstMaterial="plastic">
              <a:bevelT w="82550" h="63500" prst="divot"/>
              <a:bevelB/>
            </a:sp3d>
          </c:spPr>
          <c:invertIfNegative val="0"/>
          <c:trendline>
            <c:spPr>
              <a:ln w="9525" cap="rnd">
                <a:solidFill>
                  <a:schemeClr val="tx1"/>
                </a:solidFill>
              </a:ln>
              <a:effectLst/>
            </c:spPr>
            <c:trendlineType val="exp"/>
            <c:dispRSqr val="0"/>
            <c:dispEq val="0"/>
          </c:trendline>
          <c:val>
            <c:numRef>
              <c:f>'Revenue Forecast'!$C$12:$K$12</c:f>
              <c:numCache>
                <c:formatCode>"₹"\ #,##0.00;"₹"\ \-#,##0.00</c:formatCode>
                <c:ptCount val="9"/>
                <c:pt idx="0">
                  <c:v>99211.896630000003</c:v>
                </c:pt>
                <c:pt idx="1">
                  <c:v>112109.44319190001</c:v>
                </c:pt>
                <c:pt idx="2">
                  <c:v>128072.63735966702</c:v>
                </c:pt>
                <c:pt idx="3">
                  <c:v>147680.57897393027</c:v>
                </c:pt>
                <c:pt idx="4">
                  <c:v>171630.56992108314</c:v>
                </c:pt>
                <c:pt idx="5">
                  <c:v>200761.58779700095</c:v>
                </c:pt>
                <c:pt idx="6">
                  <c:v>236082.46597568315</c:v>
                </c:pt>
                <c:pt idx="7">
                  <c:v>278805.72054675216</c:v>
                </c:pt>
                <c:pt idx="8">
                  <c:v>330388.15273571957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0-4704-A7C7-B27D0DD07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238382399"/>
        <c:axId val="1238382879"/>
      </c:barChart>
      <c:catAx>
        <c:axId val="123838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82879"/>
        <c:crosses val="autoZero"/>
        <c:auto val="1"/>
        <c:lblAlgn val="ctr"/>
        <c:lblOffset val="100"/>
        <c:noMultiLvlLbl val="0"/>
      </c:catAx>
      <c:valAx>
        <c:axId val="1238382879"/>
        <c:scaling>
          <c:orientation val="minMax"/>
        </c:scaling>
        <c:delete val="0"/>
        <c:axPos val="l"/>
        <c:numFmt formatCode="&quot;₹&quot;\ #,##0.00;&quot;₹&quot;\ \-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8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775723967960569E-2"/>
          <c:y val="0"/>
          <c:w val="0.93222427603203939"/>
          <c:h val="0.89199803632793329"/>
        </c:manualLayout>
      </c:layout>
      <c:ofPieChart>
        <c:ofPieType val="pie"/>
        <c:varyColors val="1"/>
        <c:ser>
          <c:idx val="0"/>
          <c:order val="0"/>
          <c:spPr>
            <a:solidFill>
              <a:srgbClr val="EE0000"/>
            </a:solidFill>
          </c:spPr>
          <c:dPt>
            <c:idx val="0"/>
            <c:bubble3D val="0"/>
            <c:spPr>
              <a:solidFill>
                <a:srgbClr val="EE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C8-43EC-A6AD-FF777F63316B}"/>
              </c:ext>
            </c:extLst>
          </c:dPt>
          <c:dPt>
            <c:idx val="1"/>
            <c:bubble3D val="0"/>
            <c:spPr>
              <a:solidFill>
                <a:srgbClr val="EE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5C8-43EC-A6AD-FF777F63316B}"/>
              </c:ext>
            </c:extLst>
          </c:dPt>
          <c:dPt>
            <c:idx val="2"/>
            <c:bubble3D val="0"/>
            <c:spPr>
              <a:solidFill>
                <a:srgbClr val="EE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D9-4B14-B4EF-E573CAC8B7BA}"/>
              </c:ext>
            </c:extLst>
          </c:dPt>
          <c:val>
            <c:numRef>
              <c:f>'Merch Sale Forecast'!$E$15:$E$16</c:f>
              <c:numCache>
                <c:formatCode>0</c:formatCode>
                <c:ptCount val="2"/>
                <c:pt idx="0">
                  <c:v>2211.0460707897364</c:v>
                </c:pt>
                <c:pt idx="1">
                  <c:v>1114.7254697379306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8-43EC-A6AD-FF777F633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</c:of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9999"/>
            </a:solidFill>
            <a:ln w="19050">
              <a:solidFill>
                <a:srgbClr val="C00000"/>
              </a:solidFill>
            </a:ln>
            <a:effectLst/>
          </c:spPr>
          <c:dPt>
            <c:idx val="0"/>
            <c:bubble3D val="0"/>
            <c:spPr>
              <a:solidFill>
                <a:srgbClr val="FF9999"/>
              </a:solidFill>
              <a:ln w="1905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AA-4886-9B00-7DC978A65AE9}"/>
              </c:ext>
            </c:extLst>
          </c:dPt>
          <c:dPt>
            <c:idx val="1"/>
            <c:bubble3D val="0"/>
            <c:spPr>
              <a:solidFill>
                <a:srgbClr val="FF9999"/>
              </a:solidFill>
              <a:ln w="1905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AAA-4886-9B00-7DC978A65AE9}"/>
              </c:ext>
            </c:extLst>
          </c:dPt>
          <c:dPt>
            <c:idx val="2"/>
            <c:bubble3D val="0"/>
            <c:spPr>
              <a:solidFill>
                <a:srgbClr val="FF9999"/>
              </a:solidFill>
              <a:ln w="1905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AA-4886-9B00-7DC978A65AE9}"/>
              </c:ext>
            </c:extLst>
          </c:dPt>
          <c:dPt>
            <c:idx val="3"/>
            <c:bubble3D val="0"/>
            <c:spPr>
              <a:solidFill>
                <a:srgbClr val="FF9999"/>
              </a:solidFill>
              <a:ln w="1905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AAA-4886-9B00-7DC978A65AE9}"/>
              </c:ext>
            </c:extLst>
          </c:dPt>
          <c:dPt>
            <c:idx val="4"/>
            <c:bubble3D val="0"/>
            <c:spPr>
              <a:solidFill>
                <a:srgbClr val="FF9999"/>
              </a:solidFill>
              <a:ln w="1905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AA-4886-9B00-7DC978A65AE9}"/>
              </c:ext>
            </c:extLst>
          </c:dPt>
          <c:dPt>
            <c:idx val="5"/>
            <c:bubble3D val="0"/>
            <c:spPr>
              <a:solidFill>
                <a:srgbClr val="FF9999"/>
              </a:solidFill>
              <a:ln w="1905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AAA-4886-9B00-7DC978A65AE9}"/>
              </c:ext>
            </c:extLst>
          </c:dPt>
          <c:dPt>
            <c:idx val="6"/>
            <c:bubble3D val="0"/>
            <c:spPr>
              <a:solidFill>
                <a:srgbClr val="FF9999"/>
              </a:solidFill>
              <a:ln w="1905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AA-4886-9B00-7DC978A65AE9}"/>
              </c:ext>
            </c:extLst>
          </c:dPt>
          <c:dPt>
            <c:idx val="7"/>
            <c:bubble3D val="0"/>
            <c:spPr>
              <a:solidFill>
                <a:srgbClr val="FF9999"/>
              </a:solidFill>
              <a:ln w="1905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AAA-4886-9B00-7DC978A65AE9}"/>
              </c:ext>
            </c:extLst>
          </c:dPt>
          <c:dPt>
            <c:idx val="8"/>
            <c:bubble3D val="0"/>
            <c:spPr>
              <a:solidFill>
                <a:srgbClr val="FF9999"/>
              </a:solidFill>
              <a:ln w="1905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AAA-4886-9B00-7DC978A65AE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Jul</a:t>
                    </a:r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AAA-4886-9B00-7DC978A65A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Aug</a:t>
                    </a:r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AAA-4886-9B00-7DC978A65A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Sept</a:t>
                    </a:r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AAA-4886-9B00-7DC978A65AE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Oct</a:t>
                    </a:r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AAA-4886-9B00-7DC978A65AE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Nov</a:t>
                    </a:r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AAA-4886-9B00-7DC978A65AE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Dec</a:t>
                    </a:r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AAA-4886-9B00-7DC978A65AE9}"/>
                </c:ext>
              </c:extLst>
            </c:dLbl>
            <c:dLbl>
              <c:idx val="6"/>
              <c:layout>
                <c:manualLayout>
                  <c:x val="0.11825636660282325"/>
                  <c:y val="-0.1136505598670669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Jan'26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AAA-4886-9B00-7DC978A65AE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Feb</a:t>
                    </a:r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AAA-4886-9B00-7DC978A65A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Mar</a:t>
                    </a:r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AAA-4886-9B00-7DC978A65A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'Merch Sale Forecast'!$C$6:$K$6</c:f>
              <c:numCache>
                <c:formatCode>0</c:formatCode>
                <c:ptCount val="9"/>
                <c:pt idx="0">
                  <c:v>128.67750000000001</c:v>
                </c:pt>
                <c:pt idx="1">
                  <c:v>145.405575</c:v>
                </c:pt>
                <c:pt idx="2">
                  <c:v>166.10978474999999</c:v>
                </c:pt>
                <c:pt idx="3">
                  <c:v>191.54121981749995</c:v>
                </c:pt>
                <c:pt idx="4">
                  <c:v>222.60427843027495</c:v>
                </c:pt>
                <c:pt idx="5">
                  <c:v>260.38711174015572</c:v>
                </c:pt>
                <c:pt idx="6">
                  <c:v>306.19817327834477</c:v>
                </c:pt>
                <c:pt idx="7">
                  <c:v>361.61009238086064</c:v>
                </c:pt>
                <c:pt idx="8">
                  <c:v>428.51233539260033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A-4886-9B00-7DC978A65AE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17928</xdr:colOff>
      <xdr:row>37</xdr:row>
      <xdr:rowOff>71717</xdr:rowOff>
    </xdr:from>
    <xdr:to>
      <xdr:col>3</xdr:col>
      <xdr:colOff>304800</xdr:colOff>
      <xdr:row>57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B2425-8446-26F3-3510-7E390985C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1398493</xdr:colOff>
      <xdr:row>1</xdr:row>
      <xdr:rowOff>134471</xdr:rowOff>
    </xdr:from>
    <xdr:to>
      <xdr:col>9</xdr:col>
      <xdr:colOff>823371</xdr:colOff>
      <xdr:row>3</xdr:row>
      <xdr:rowOff>67495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06603A-AC86-4D64-802B-B1F3CC3A54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9005" t="33333" r="8525" b="33333"/>
        <a:stretch>
          <a:fillRect/>
        </a:stretch>
      </xdr:blipFill>
      <xdr:spPr>
        <a:xfrm>
          <a:off x="13052611" y="313765"/>
          <a:ext cx="1425389" cy="479871"/>
        </a:xfrm>
        <a:prstGeom prst="rect">
          <a:avLst/>
        </a:prstGeom>
      </xdr:spPr>
    </xdr:pic>
    <xdr:clientData/>
  </xdr:twoCellAnchor>
  <xdr:twoCellAnchor>
    <xdr:from>
      <xdr:col>2</xdr:col>
      <xdr:colOff>1568379</xdr:colOff>
      <xdr:row>46</xdr:row>
      <xdr:rowOff>21963</xdr:rowOff>
    </xdr:from>
    <xdr:to>
      <xdr:col>2</xdr:col>
      <xdr:colOff>2392681</xdr:colOff>
      <xdr:row>47</xdr:row>
      <xdr:rowOff>160020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52A0D39-7350-836B-DEC0-791C75E529FE}"/>
            </a:ext>
          </a:extLst>
        </xdr:cNvPr>
        <xdr:cNvSpPr txBox="1"/>
      </xdr:nvSpPr>
      <xdr:spPr>
        <a:xfrm>
          <a:off x="3785799" y="8617323"/>
          <a:ext cx="824302" cy="320937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Salaries</a:t>
          </a:r>
        </a:p>
      </xdr:txBody>
    </xdr:sp>
    <xdr:clientData/>
  </xdr:twoCellAnchor>
  <xdr:twoCellAnchor>
    <xdr:from>
      <xdr:col>2</xdr:col>
      <xdr:colOff>824753</xdr:colOff>
      <xdr:row>53</xdr:row>
      <xdr:rowOff>138953</xdr:rowOff>
    </xdr:from>
    <xdr:to>
      <xdr:col>2</xdr:col>
      <xdr:colOff>1859280</xdr:colOff>
      <xdr:row>55</xdr:row>
      <xdr:rowOff>63649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615E9A3-F94A-D110-2069-0E3EEF4C47CF}"/>
            </a:ext>
          </a:extLst>
        </xdr:cNvPr>
        <xdr:cNvSpPr txBox="1"/>
      </xdr:nvSpPr>
      <xdr:spPr>
        <a:xfrm>
          <a:off x="3042173" y="10014473"/>
          <a:ext cx="1034527" cy="290456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Infra/Tools</a:t>
          </a:r>
        </a:p>
      </xdr:txBody>
    </xdr:sp>
    <xdr:clientData/>
  </xdr:twoCellAnchor>
  <xdr:twoCellAnchor>
    <xdr:from>
      <xdr:col>1</xdr:col>
      <xdr:colOff>498438</xdr:colOff>
      <xdr:row>49</xdr:row>
      <xdr:rowOff>155090</xdr:rowOff>
    </xdr:from>
    <xdr:to>
      <xdr:col>1</xdr:col>
      <xdr:colOff>1224579</xdr:colOff>
      <xdr:row>51</xdr:row>
      <xdr:rowOff>137160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31FF21B-299E-5591-A6B7-73E10F8EABF3}"/>
            </a:ext>
          </a:extLst>
        </xdr:cNvPr>
        <xdr:cNvSpPr txBox="1"/>
      </xdr:nvSpPr>
      <xdr:spPr>
        <a:xfrm>
          <a:off x="627978" y="9299090"/>
          <a:ext cx="726141" cy="34783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r"/>
          <a:r>
            <a:rPr lang="en-IN" sz="1400" b="1"/>
            <a:t>Rent</a:t>
          </a:r>
        </a:p>
      </xdr:txBody>
    </xdr:sp>
    <xdr:clientData/>
  </xdr:twoCellAnchor>
  <xdr:twoCellAnchor>
    <xdr:from>
      <xdr:col>1</xdr:col>
      <xdr:colOff>725369</xdr:colOff>
      <xdr:row>39</xdr:row>
      <xdr:rowOff>49369</xdr:rowOff>
    </xdr:from>
    <xdr:to>
      <xdr:col>1</xdr:col>
      <xdr:colOff>1814070</xdr:colOff>
      <xdr:row>40</xdr:row>
      <xdr:rowOff>148523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CECA3BA-8541-6CC3-3217-318BB7DC059B}"/>
            </a:ext>
          </a:extLst>
        </xdr:cNvPr>
        <xdr:cNvSpPr txBox="1"/>
      </xdr:nvSpPr>
      <xdr:spPr>
        <a:xfrm>
          <a:off x="854909" y="7364569"/>
          <a:ext cx="1088701" cy="28203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Misc/Legal</a:t>
          </a:r>
        </a:p>
      </xdr:txBody>
    </xdr:sp>
    <xdr:clientData/>
  </xdr:twoCellAnchor>
  <xdr:twoCellAnchor>
    <xdr:from>
      <xdr:col>5</xdr:col>
      <xdr:colOff>136983</xdr:colOff>
      <xdr:row>34</xdr:row>
      <xdr:rowOff>18555</xdr:rowOff>
    </xdr:from>
    <xdr:to>
      <xdr:col>7</xdr:col>
      <xdr:colOff>779720</xdr:colOff>
      <xdr:row>49</xdr:row>
      <xdr:rowOff>72343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98E5E98F-AE20-37D1-CE82-7A2829D8B907}"/>
            </a:ext>
          </a:extLst>
        </xdr:cNvPr>
        <xdr:cNvGrpSpPr/>
      </xdr:nvGrpSpPr>
      <xdr:grpSpPr>
        <a:xfrm>
          <a:off x="7233108" y="6352680"/>
          <a:ext cx="5357612" cy="2768413"/>
          <a:chOff x="5970730" y="6125803"/>
          <a:chExt cx="5477406" cy="27432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A5D49B0B-473B-D5FA-5BEC-6CF19D93CA37}"/>
              </a:ext>
            </a:extLst>
          </xdr:cNvPr>
          <xdr:cNvGraphicFramePr/>
        </xdr:nvGraphicFramePr>
        <xdr:xfrm>
          <a:off x="6476999" y="6125803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276C3245-03E1-BD3D-F3FB-9A4357F2A151}"/>
              </a:ext>
            </a:extLst>
          </xdr:cNvPr>
          <xdr:cNvSpPr txBox="1"/>
        </xdr:nvSpPr>
        <xdr:spPr>
          <a:xfrm>
            <a:off x="5970730" y="6490997"/>
            <a:ext cx="2133522" cy="2747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400" b="1">
                <a:latin typeface="+mn-lt"/>
              </a:rPr>
              <a:t>Operations</a:t>
            </a:r>
            <a:r>
              <a:rPr lang="en-IN" sz="1400" b="1" baseline="0">
                <a:latin typeface="+mn-lt"/>
              </a:rPr>
              <a:t> &amp; Marketing</a:t>
            </a:r>
            <a:endParaRPr lang="en-IN" sz="1400" b="1">
              <a:latin typeface="+mn-lt"/>
            </a:endParaRP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3398B90A-F1DF-034D-6157-9B1A61ECE70F}"/>
              </a:ext>
            </a:extLst>
          </xdr:cNvPr>
          <xdr:cNvSpPr txBox="1"/>
        </xdr:nvSpPr>
        <xdr:spPr>
          <a:xfrm>
            <a:off x="9425838" y="8511473"/>
            <a:ext cx="2022298" cy="31340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n-IN" sz="1400" b="1"/>
              <a:t>Raw Material</a:t>
            </a:r>
            <a:r>
              <a:rPr lang="en-IN" sz="1400" b="1" baseline="0"/>
              <a:t> &amp; Printing</a:t>
            </a:r>
            <a:endParaRPr lang="en-IN" sz="1400" b="1"/>
          </a:p>
        </xdr:txBody>
      </xdr:sp>
    </xdr:grpSp>
    <xdr:clientData/>
  </xdr:twoCellAnchor>
  <xdr:twoCellAnchor>
    <xdr:from>
      <xdr:col>1</xdr:col>
      <xdr:colOff>1775012</xdr:colOff>
      <xdr:row>45</xdr:row>
      <xdr:rowOff>107576</xdr:rowOff>
    </xdr:from>
    <xdr:to>
      <xdr:col>2</xdr:col>
      <xdr:colOff>950260</xdr:colOff>
      <xdr:row>49</xdr:row>
      <xdr:rowOff>17930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E569B2E-12DF-0469-44C6-F7DC08917231}"/>
            </a:ext>
          </a:extLst>
        </xdr:cNvPr>
        <xdr:cNvSpPr txBox="1"/>
      </xdr:nvSpPr>
      <xdr:spPr>
        <a:xfrm>
          <a:off x="1900518" y="8184776"/>
          <a:ext cx="1264024" cy="62753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cap="all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Arial Rounded MT Bold" panose="020F0704030504030204" pitchFamily="34" charset="0"/>
              <a:ea typeface="+mn-ea"/>
              <a:cs typeface="+mn-cs"/>
            </a:rPr>
            <a:t>Operating ExpenseS</a:t>
          </a:r>
          <a:endParaRPr lang="en-IN" sz="1400">
            <a:solidFill>
              <a:schemeClr val="tx1">
                <a:lumMod val="65000"/>
                <a:lumOff val="35000"/>
              </a:schemeClr>
            </a:solidFill>
            <a:effectLst/>
            <a:latin typeface="Arial Rounded MT Bold" panose="020F0704030504030204" pitchFamily="34" charset="0"/>
          </a:endParaRPr>
        </a:p>
        <a:p>
          <a:pPr algn="ctr"/>
          <a:endParaRPr lang="en-IN" sz="1400">
            <a:solidFill>
              <a:schemeClr val="tx1">
                <a:lumMod val="65000"/>
                <a:lumOff val="35000"/>
              </a:schemeClr>
            </a:solidFill>
            <a:latin typeface="Arial Rounded MT Bold" panose="020F070403050403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779929</xdr:colOff>
      <xdr:row>26</xdr:row>
      <xdr:rowOff>179293</xdr:rowOff>
    </xdr:from>
    <xdr:to>
      <xdr:col>6</xdr:col>
      <xdr:colOff>143434</xdr:colOff>
      <xdr:row>43</xdr:row>
      <xdr:rowOff>8964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BCE977F-953E-0C6A-05CA-BE168226CBF4}"/>
            </a:ext>
          </a:extLst>
        </xdr:cNvPr>
        <xdr:cNvGrpSpPr/>
      </xdr:nvGrpSpPr>
      <xdr:grpSpPr>
        <a:xfrm>
          <a:off x="903754" y="4884643"/>
          <a:ext cx="6164355" cy="3087221"/>
          <a:chOff x="905435" y="4840940"/>
          <a:chExt cx="3971364" cy="2877671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E8CB1596-1C0C-CE4E-06D8-9EEFEA4F43E2}"/>
              </a:ext>
            </a:extLst>
          </xdr:cNvPr>
          <xdr:cNvGraphicFramePr/>
        </xdr:nvGraphicFramePr>
        <xdr:xfrm>
          <a:off x="905435" y="4840940"/>
          <a:ext cx="3944471" cy="287767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35612B25-6C62-7E52-262E-C456725BE302}"/>
              </a:ext>
            </a:extLst>
          </xdr:cNvPr>
          <xdr:cNvSpPr txBox="1"/>
        </xdr:nvSpPr>
        <xdr:spPr>
          <a:xfrm>
            <a:off x="1013010" y="7485529"/>
            <a:ext cx="3863789" cy="19722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IN" sz="1200" b="1"/>
              <a:t>                       Jul</a:t>
            </a:r>
            <a:r>
              <a:rPr lang="en-IN" sz="1200" b="1" baseline="0"/>
              <a:t>       </a:t>
            </a:r>
            <a:r>
              <a:rPr lang="en-IN" sz="1200" b="1"/>
              <a:t>Aug</a:t>
            </a:r>
            <a:r>
              <a:rPr lang="en-IN" sz="1200" b="1" baseline="0"/>
              <a:t> </a:t>
            </a:r>
            <a:r>
              <a:rPr lang="en-IN" sz="1200" b="1"/>
              <a:t>     Sept</a:t>
            </a:r>
            <a:r>
              <a:rPr lang="en-IN" sz="1200" b="1" baseline="0"/>
              <a:t>       Oct        Nov        Dec       Jan'26     Feb        Mar      </a:t>
            </a:r>
            <a:endParaRPr lang="en-IN" sz="1200" b="1"/>
          </a:p>
        </xdr:txBody>
      </xdr:sp>
    </xdr:grpSp>
    <xdr:clientData/>
  </xdr:twoCellAnchor>
  <xdr:twoCellAnchor>
    <xdr:from>
      <xdr:col>13</xdr:col>
      <xdr:colOff>831272</xdr:colOff>
      <xdr:row>32</xdr:row>
      <xdr:rowOff>110836</xdr:rowOff>
    </xdr:from>
    <xdr:to>
      <xdr:col>17</xdr:col>
      <xdr:colOff>239487</xdr:colOff>
      <xdr:row>46</xdr:row>
      <xdr:rowOff>100091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E9CF018A-FD08-CBBD-5573-9D6BF749D014}"/>
            </a:ext>
          </a:extLst>
        </xdr:cNvPr>
        <xdr:cNvGrpSpPr/>
      </xdr:nvGrpSpPr>
      <xdr:grpSpPr>
        <a:xfrm>
          <a:off x="15890297" y="5902036"/>
          <a:ext cx="4142140" cy="2703880"/>
          <a:chOff x="12565319" y="5193243"/>
          <a:chExt cx="3221472" cy="2646591"/>
        </a:xfrm>
      </xdr:grpSpPr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12F494E7-7097-A1D2-5144-4417A4C718AA}"/>
              </a:ext>
            </a:extLst>
          </xdr:cNvPr>
          <xdr:cNvGrpSpPr/>
        </xdr:nvGrpSpPr>
        <xdr:grpSpPr>
          <a:xfrm>
            <a:off x="12565319" y="5218773"/>
            <a:ext cx="797876" cy="2621061"/>
            <a:chOff x="13476514" y="6727371"/>
            <a:chExt cx="914400" cy="3243943"/>
          </a:xfrm>
        </xdr:grpSpPr>
        <xdr:sp macro="" textlink="">
          <xdr:nvSpPr>
            <xdr:cNvPr id="25" name="Rectangle: Rounded Corners 24">
              <a:extLst>
                <a:ext uri="{FF2B5EF4-FFF2-40B4-BE49-F238E27FC236}">
                  <a16:creationId xmlns:a16="http://schemas.microsoft.com/office/drawing/2014/main" id="{7488BF2F-00EC-BB08-BD7D-67EBFBBF2A96}"/>
                </a:ext>
              </a:extLst>
            </xdr:cNvPr>
            <xdr:cNvSpPr/>
          </xdr:nvSpPr>
          <xdr:spPr>
            <a:xfrm>
              <a:off x="13476514" y="6727371"/>
              <a:ext cx="914400" cy="3243943"/>
            </a:xfrm>
            <a:prstGeom prst="roundRect">
              <a:avLst/>
            </a:prstGeom>
            <a:solidFill>
              <a:srgbClr val="C00000"/>
            </a:solidFill>
            <a:ln>
              <a:solidFill>
                <a:srgbClr val="C0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F61C8316-DA86-85A9-6530-6501B98673BB}"/>
                </a:ext>
              </a:extLst>
            </xdr:cNvPr>
            <xdr:cNvSpPr txBox="1"/>
          </xdr:nvSpPr>
          <xdr:spPr>
            <a:xfrm>
              <a:off x="13531308" y="6805848"/>
              <a:ext cx="726931" cy="1278519"/>
            </a:xfrm>
            <a:prstGeom prst="rect">
              <a:avLst/>
            </a:prstGeom>
            <a:solidFill>
              <a:srgbClr val="C00000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IN" sz="2800"/>
                <a:t>⏳</a:t>
              </a:r>
            </a:p>
            <a:p>
              <a:pPr algn="ctr"/>
              <a:r>
                <a:rPr lang="en-IN" sz="1400" b="1">
                  <a:solidFill>
                    <a:schemeClr val="bg1"/>
                  </a:solidFill>
                </a:rPr>
                <a:t>Q3-25</a:t>
              </a:r>
            </a:p>
          </xdr:txBody>
        </xdr:sp>
      </xdr:grp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B2CEB3F5-A081-00A6-0786-F6CC02F70FAA}"/>
              </a:ext>
            </a:extLst>
          </xdr:cNvPr>
          <xdr:cNvGrpSpPr/>
        </xdr:nvGrpSpPr>
        <xdr:grpSpPr>
          <a:xfrm>
            <a:off x="13401189" y="5210265"/>
            <a:ext cx="731386" cy="2621061"/>
            <a:chOff x="13476514" y="6727373"/>
            <a:chExt cx="838200" cy="3243944"/>
          </a:xfrm>
          <a:solidFill>
            <a:schemeClr val="accent1">
              <a:lumMod val="60000"/>
              <a:lumOff val="40000"/>
            </a:schemeClr>
          </a:solidFill>
        </xdr:grpSpPr>
        <xdr:sp macro="" textlink="">
          <xdr:nvSpPr>
            <xdr:cNvPr id="23" name="Rectangle: Rounded Corners 22">
              <a:extLst>
                <a:ext uri="{FF2B5EF4-FFF2-40B4-BE49-F238E27FC236}">
                  <a16:creationId xmlns:a16="http://schemas.microsoft.com/office/drawing/2014/main" id="{48C400E6-38E1-E4B1-B02C-7F5B3F4C2460}"/>
                </a:ext>
              </a:extLst>
            </xdr:cNvPr>
            <xdr:cNvSpPr/>
          </xdr:nvSpPr>
          <xdr:spPr>
            <a:xfrm>
              <a:off x="13476514" y="6727373"/>
              <a:ext cx="838200" cy="3243944"/>
            </a:xfrm>
            <a:prstGeom prst="roundRect">
              <a:avLst/>
            </a:prstGeom>
            <a:solidFill>
              <a:srgbClr val="FF9999"/>
            </a:solidFill>
            <a:ln>
              <a:solidFill>
                <a:srgbClr val="FF9999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4A4D2744-0876-A333-5BD7-39648940995F}"/>
                </a:ext>
              </a:extLst>
            </xdr:cNvPr>
            <xdr:cNvSpPr txBox="1"/>
          </xdr:nvSpPr>
          <xdr:spPr>
            <a:xfrm>
              <a:off x="13482538" y="6781798"/>
              <a:ext cx="819927" cy="1213991"/>
            </a:xfrm>
            <a:prstGeom prst="rect">
              <a:avLst/>
            </a:prstGeom>
            <a:solidFill>
              <a:srgbClr val="FF9999"/>
            </a:solidFill>
            <a:ln w="9525" cmpd="sng">
              <a:solidFill>
                <a:srgbClr val="FF9999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IN" sz="2800"/>
                <a:t>⏳</a:t>
              </a:r>
            </a:p>
            <a:p>
              <a:pPr algn="ctr"/>
              <a:r>
                <a:rPr lang="en-IN" sz="1400" b="1">
                  <a:solidFill>
                    <a:sysClr val="windowText" lastClr="000000"/>
                  </a:solidFill>
                </a:rPr>
                <a:t>Q4-25</a:t>
              </a:r>
              <a:endParaRPr lang="en-IN" sz="1200" b="1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ACDE5C56-50FF-40E5-6B03-FB1B62263FD7}"/>
              </a:ext>
            </a:extLst>
          </xdr:cNvPr>
          <xdr:cNvGrpSpPr/>
        </xdr:nvGrpSpPr>
        <xdr:grpSpPr>
          <a:xfrm>
            <a:off x="14189568" y="5201753"/>
            <a:ext cx="759882" cy="2621061"/>
            <a:chOff x="13411200" y="6727371"/>
            <a:chExt cx="870857" cy="3243943"/>
          </a:xfrm>
        </xdr:grpSpPr>
        <xdr:sp macro="" textlink="">
          <xdr:nvSpPr>
            <xdr:cNvPr id="21" name="Rectangle: Rounded Corners 20">
              <a:extLst>
                <a:ext uri="{FF2B5EF4-FFF2-40B4-BE49-F238E27FC236}">
                  <a16:creationId xmlns:a16="http://schemas.microsoft.com/office/drawing/2014/main" id="{003E4DAC-3CAA-F957-B477-E6E421C0CF92}"/>
                </a:ext>
              </a:extLst>
            </xdr:cNvPr>
            <xdr:cNvSpPr/>
          </xdr:nvSpPr>
          <xdr:spPr>
            <a:xfrm>
              <a:off x="13411200" y="6727371"/>
              <a:ext cx="870857" cy="3243943"/>
            </a:xfrm>
            <a:prstGeom prst="roundRect">
              <a:avLst/>
            </a:prstGeom>
            <a:solidFill>
              <a:srgbClr val="C00000"/>
            </a:solidFill>
            <a:ln>
              <a:solidFill>
                <a:srgbClr val="C0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AAE1A63E-ACA2-C7AB-B46A-1E857C82EA8D}"/>
                </a:ext>
              </a:extLst>
            </xdr:cNvPr>
            <xdr:cNvSpPr txBox="1"/>
          </xdr:nvSpPr>
          <xdr:spPr>
            <a:xfrm>
              <a:off x="13454743" y="6781798"/>
              <a:ext cx="794657" cy="1333546"/>
            </a:xfrm>
            <a:prstGeom prst="rect">
              <a:avLst/>
            </a:prstGeom>
            <a:solidFill>
              <a:srgbClr val="C00000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IN" sz="2800"/>
                <a:t>⏳</a:t>
              </a:r>
            </a:p>
            <a:p>
              <a:pPr algn="ctr"/>
              <a:r>
                <a:rPr lang="en-IN" sz="1400" b="1">
                  <a:solidFill>
                    <a:schemeClr val="bg1"/>
                  </a:solidFill>
                </a:rPr>
                <a:t>Q1-26</a:t>
              </a:r>
            </a:p>
          </xdr:txBody>
        </xdr:sp>
      </xdr:grp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A205BE90-6046-1917-DE22-08E2D95DAFB6}"/>
              </a:ext>
            </a:extLst>
          </xdr:cNvPr>
          <xdr:cNvGrpSpPr/>
        </xdr:nvGrpSpPr>
        <xdr:grpSpPr>
          <a:xfrm>
            <a:off x="15006440" y="5193243"/>
            <a:ext cx="780351" cy="2621061"/>
            <a:chOff x="13378543" y="6727371"/>
            <a:chExt cx="894315" cy="3243943"/>
          </a:xfrm>
          <a:solidFill>
            <a:schemeClr val="accent1">
              <a:lumMod val="60000"/>
              <a:lumOff val="40000"/>
            </a:schemeClr>
          </a:solidFill>
        </xdr:grpSpPr>
        <xdr:sp macro="" textlink="">
          <xdr:nvSpPr>
            <xdr:cNvPr id="19" name="Rectangle: Rounded Corners 18">
              <a:extLst>
                <a:ext uri="{FF2B5EF4-FFF2-40B4-BE49-F238E27FC236}">
                  <a16:creationId xmlns:a16="http://schemas.microsoft.com/office/drawing/2014/main" id="{FFDEEF97-24D4-4514-A870-7990E74CE703}"/>
                </a:ext>
              </a:extLst>
            </xdr:cNvPr>
            <xdr:cNvSpPr/>
          </xdr:nvSpPr>
          <xdr:spPr>
            <a:xfrm>
              <a:off x="13378543" y="6727371"/>
              <a:ext cx="894315" cy="3243943"/>
            </a:xfrm>
            <a:prstGeom prst="roundRect">
              <a:avLst/>
            </a:prstGeom>
            <a:solidFill>
              <a:srgbClr val="FF9999"/>
            </a:solidFill>
            <a:ln>
              <a:solidFill>
                <a:srgbClr val="FF9999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95021CA6-4391-C2B7-E21A-720CF5650FBB}"/>
                </a:ext>
              </a:extLst>
            </xdr:cNvPr>
            <xdr:cNvSpPr txBox="1"/>
          </xdr:nvSpPr>
          <xdr:spPr>
            <a:xfrm>
              <a:off x="13414269" y="6781797"/>
              <a:ext cx="834156" cy="1073178"/>
            </a:xfrm>
            <a:prstGeom prst="rect">
              <a:avLst/>
            </a:prstGeom>
            <a:solidFill>
              <a:srgbClr val="FF9999"/>
            </a:solidFill>
            <a:ln w="9525" cmpd="sng">
              <a:solidFill>
                <a:srgbClr val="FF9999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IN" sz="2800"/>
                <a:t>⏳</a:t>
              </a:r>
            </a:p>
            <a:p>
              <a:pPr algn="ctr"/>
              <a:r>
                <a:rPr lang="en-IN" sz="1400" b="1">
                  <a:solidFill>
                    <a:sysClr val="windowText" lastClr="000000"/>
                  </a:solidFill>
                </a:rPr>
                <a:t>Q2-26</a:t>
              </a:r>
            </a:p>
          </xdr:txBody>
        </xdr:sp>
      </xdr:grp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FC01FB9D-2E5A-8F5E-8694-CB04CF5CF119}"/>
              </a:ext>
            </a:extLst>
          </xdr:cNvPr>
          <xdr:cNvSpPr txBox="1"/>
        </xdr:nvSpPr>
        <xdr:spPr>
          <a:xfrm>
            <a:off x="12613660" y="6055395"/>
            <a:ext cx="715441" cy="1742602"/>
          </a:xfrm>
          <a:prstGeom prst="rect">
            <a:avLst/>
          </a:prstGeom>
          <a:solidFill>
            <a:srgbClr val="C00000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IN" sz="1200" b="1">
              <a:solidFill>
                <a:schemeClr val="bg1"/>
              </a:solidFill>
            </a:endParaRPr>
          </a:p>
          <a:p>
            <a:r>
              <a:rPr lang="en-IN" sz="1200" b="1">
                <a:solidFill>
                  <a:schemeClr val="bg1"/>
                </a:solidFill>
              </a:rPr>
              <a:t>821</a:t>
            </a:r>
          </a:p>
          <a:p>
            <a:endParaRPr lang="en-IN" sz="1200" b="1">
              <a:solidFill>
                <a:schemeClr val="bg1"/>
              </a:solidFill>
            </a:endParaRPr>
          </a:p>
          <a:p>
            <a:endParaRPr lang="en-IN" sz="1200" b="1">
              <a:solidFill>
                <a:schemeClr val="bg1"/>
              </a:solidFill>
            </a:endParaRPr>
          </a:p>
          <a:p>
            <a:r>
              <a:rPr lang="en-IN" sz="1200" b="1">
                <a:solidFill>
                  <a:schemeClr val="bg1"/>
                </a:solidFill>
              </a:rPr>
              <a:t>498K</a:t>
            </a:r>
          </a:p>
          <a:p>
            <a:endParaRPr lang="en-IN" sz="1200" b="1">
              <a:solidFill>
                <a:schemeClr val="bg1"/>
              </a:solidFill>
            </a:endParaRPr>
          </a:p>
          <a:p>
            <a:endParaRPr lang="en-IN" sz="1200" b="1">
              <a:solidFill>
                <a:schemeClr val="bg1"/>
              </a:solidFill>
            </a:endParaRPr>
          </a:p>
          <a:p>
            <a:r>
              <a:rPr lang="en-IN" sz="1200" b="1">
                <a:solidFill>
                  <a:schemeClr val="bg1"/>
                </a:solidFill>
              </a:rPr>
              <a:t>207K</a:t>
            </a:r>
          </a:p>
          <a:p>
            <a:endParaRPr lang="en-IN" sz="1200" b="1">
              <a:solidFill>
                <a:schemeClr val="bg1"/>
              </a:solidFill>
            </a:endParaRP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10AD4771-7946-9543-27C1-2C892D4A8EE5}"/>
              </a:ext>
            </a:extLst>
          </xdr:cNvPr>
          <xdr:cNvSpPr txBox="1"/>
        </xdr:nvSpPr>
        <xdr:spPr>
          <a:xfrm>
            <a:off x="13461781" y="6153269"/>
            <a:ext cx="617406" cy="1645286"/>
          </a:xfrm>
          <a:prstGeom prst="rect">
            <a:avLst/>
          </a:prstGeom>
          <a:solidFill>
            <a:srgbClr val="FF9999"/>
          </a:solidFill>
          <a:ln w="9525" cmpd="sng">
            <a:solidFill>
              <a:srgbClr val="FF9999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200" b="1"/>
              <a:t>1258</a:t>
            </a:r>
          </a:p>
          <a:p>
            <a:endParaRPr lang="en-IN" sz="1200" b="1"/>
          </a:p>
          <a:p>
            <a:endParaRPr lang="en-IN" sz="1200" b="1"/>
          </a:p>
          <a:p>
            <a:r>
              <a:rPr lang="en-IN" sz="1200" b="1"/>
              <a:t>764K</a:t>
            </a:r>
          </a:p>
          <a:p>
            <a:endParaRPr lang="en-IN" sz="1200" b="1"/>
          </a:p>
          <a:p>
            <a:endParaRPr lang="en-IN" sz="1200" b="1"/>
          </a:p>
          <a:p>
            <a:r>
              <a:rPr lang="en-IN" sz="1200" b="1"/>
              <a:t>317K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774EC989-10DA-27A4-98AC-3E76226D5980}"/>
              </a:ext>
            </a:extLst>
          </xdr:cNvPr>
          <xdr:cNvSpPr txBox="1"/>
        </xdr:nvSpPr>
        <xdr:spPr>
          <a:xfrm>
            <a:off x="14274187" y="6147041"/>
            <a:ext cx="597472" cy="1612930"/>
          </a:xfrm>
          <a:prstGeom prst="rect">
            <a:avLst/>
          </a:prstGeom>
          <a:solidFill>
            <a:srgbClr val="C00000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200" b="1">
                <a:solidFill>
                  <a:schemeClr val="bg1"/>
                </a:solidFill>
              </a:rPr>
              <a:t>2045</a:t>
            </a:r>
          </a:p>
          <a:p>
            <a:endParaRPr lang="en-IN" sz="1200" b="1">
              <a:solidFill>
                <a:schemeClr val="bg1"/>
              </a:solidFill>
            </a:endParaRPr>
          </a:p>
          <a:p>
            <a:endParaRPr lang="en-IN" sz="1200" b="1">
              <a:solidFill>
                <a:schemeClr val="bg1"/>
              </a:solidFill>
            </a:endParaRPr>
          </a:p>
          <a:p>
            <a:r>
              <a:rPr lang="en-IN" sz="1200" b="1">
                <a:solidFill>
                  <a:schemeClr val="bg1"/>
                </a:solidFill>
              </a:rPr>
              <a:t>1.2M</a:t>
            </a:r>
          </a:p>
          <a:p>
            <a:endParaRPr lang="en-IN" sz="1200" b="1">
              <a:solidFill>
                <a:schemeClr val="bg1"/>
              </a:solidFill>
            </a:endParaRPr>
          </a:p>
          <a:p>
            <a:endParaRPr lang="en-IN" sz="1200" b="1">
              <a:solidFill>
                <a:schemeClr val="bg1"/>
              </a:solidFill>
            </a:endParaRPr>
          </a:p>
          <a:p>
            <a:r>
              <a:rPr lang="en-IN" sz="1200" b="1">
                <a:solidFill>
                  <a:schemeClr val="bg1"/>
                </a:solidFill>
              </a:rPr>
              <a:t>516K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AC1946FA-BF0E-9776-E418-269DB62CC7F0}"/>
              </a:ext>
            </a:extLst>
          </xdr:cNvPr>
          <xdr:cNvSpPr txBox="1"/>
        </xdr:nvSpPr>
        <xdr:spPr>
          <a:xfrm>
            <a:off x="15079439" y="6163055"/>
            <a:ext cx="646167" cy="1602807"/>
          </a:xfrm>
          <a:prstGeom prst="rect">
            <a:avLst/>
          </a:prstGeom>
          <a:solidFill>
            <a:srgbClr val="FF9999"/>
          </a:solidFill>
          <a:ln w="9525" cmpd="sng">
            <a:solidFill>
              <a:srgbClr val="FF9999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200" b="1"/>
              <a:t>3429</a:t>
            </a:r>
          </a:p>
          <a:p>
            <a:endParaRPr lang="en-IN" sz="1200" b="1"/>
          </a:p>
          <a:p>
            <a:endParaRPr lang="en-IN" sz="1200" b="1"/>
          </a:p>
          <a:p>
            <a:r>
              <a:rPr lang="en-IN" sz="1200" b="1"/>
              <a:t>2.0M</a:t>
            </a:r>
          </a:p>
          <a:p>
            <a:endParaRPr lang="en-IN" sz="1200" b="1"/>
          </a:p>
          <a:p>
            <a:endParaRPr lang="en-IN" sz="1200" b="1"/>
          </a:p>
          <a:p>
            <a:r>
              <a:rPr lang="en-IN" sz="1200" b="1"/>
              <a:t>865K</a:t>
            </a:r>
          </a:p>
        </xdr:txBody>
      </xdr:sp>
    </xdr:grpSp>
    <xdr:clientData/>
  </xdr:twoCellAnchor>
  <xdr:twoCellAnchor>
    <xdr:from>
      <xdr:col>18</xdr:col>
      <xdr:colOff>429491</xdr:colOff>
      <xdr:row>29</xdr:row>
      <xdr:rowOff>124691</xdr:rowOff>
    </xdr:from>
    <xdr:to>
      <xdr:col>19</xdr:col>
      <xdr:colOff>96982</xdr:colOff>
      <xdr:row>30</xdr:row>
      <xdr:rowOff>83127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847C371A-6E02-1B7C-4608-747267BD829C}"/>
            </a:ext>
          </a:extLst>
        </xdr:cNvPr>
        <xdr:cNvSpPr/>
      </xdr:nvSpPr>
      <xdr:spPr>
        <a:xfrm>
          <a:off x="16944109" y="5347855"/>
          <a:ext cx="637309" cy="13854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13855</xdr:colOff>
      <xdr:row>27</xdr:row>
      <xdr:rowOff>69273</xdr:rowOff>
    </xdr:from>
    <xdr:to>
      <xdr:col>19</xdr:col>
      <xdr:colOff>152400</xdr:colOff>
      <xdr:row>30</xdr:row>
      <xdr:rowOff>166254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49D3F8E6-A600-450A-BFBE-D21D57FA0612}"/>
            </a:ext>
          </a:extLst>
        </xdr:cNvPr>
        <xdr:cNvSpPr/>
      </xdr:nvSpPr>
      <xdr:spPr>
        <a:xfrm rot="16200000">
          <a:off x="17248909" y="5181600"/>
          <a:ext cx="637309" cy="13854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488277</xdr:colOff>
      <xdr:row>26</xdr:row>
      <xdr:rowOff>0</xdr:rowOff>
    </xdr:from>
    <xdr:to>
      <xdr:col>22</xdr:col>
      <xdr:colOff>905434</xdr:colOff>
      <xdr:row>49</xdr:row>
      <xdr:rowOff>29027</xdr:rowOff>
    </xdr:to>
    <xdr:grpSp>
      <xdr:nvGrpSpPr>
        <xdr:cNvPr id="85" name="Group 84">
          <a:extLst>
            <a:ext uri="{FF2B5EF4-FFF2-40B4-BE49-F238E27FC236}">
              <a16:creationId xmlns:a16="http://schemas.microsoft.com/office/drawing/2014/main" id="{2E252B9B-21F5-C22A-3FDC-3EF9D07CC581}"/>
            </a:ext>
          </a:extLst>
        </xdr:cNvPr>
        <xdr:cNvGrpSpPr/>
      </xdr:nvGrpSpPr>
      <xdr:grpSpPr>
        <a:xfrm>
          <a:off x="20281227" y="4705350"/>
          <a:ext cx="6513157" cy="4372427"/>
          <a:chOff x="16043963" y="4765208"/>
          <a:chExt cx="5261300" cy="4516676"/>
        </a:xfrm>
      </xdr:grpSpPr>
      <xdr:grpSp>
        <xdr:nvGrpSpPr>
          <xdr:cNvPr id="72" name="Group 71">
            <a:extLst>
              <a:ext uri="{FF2B5EF4-FFF2-40B4-BE49-F238E27FC236}">
                <a16:creationId xmlns:a16="http://schemas.microsoft.com/office/drawing/2014/main" id="{7F432534-DE24-48ED-5383-0343C0263115}"/>
              </a:ext>
            </a:extLst>
          </xdr:cNvPr>
          <xdr:cNvGrpSpPr/>
        </xdr:nvGrpSpPr>
        <xdr:grpSpPr>
          <a:xfrm rot="16200000">
            <a:off x="15755589" y="5838209"/>
            <a:ext cx="4076697" cy="1973774"/>
            <a:chOff x="3222175" y="9383485"/>
            <a:chExt cx="7238996" cy="3461657"/>
          </a:xfrm>
        </xdr:grpSpPr>
        <xdr:grpSp>
          <xdr:nvGrpSpPr>
            <xdr:cNvPr id="67" name="Group 66">
              <a:extLst>
                <a:ext uri="{FF2B5EF4-FFF2-40B4-BE49-F238E27FC236}">
                  <a16:creationId xmlns:a16="http://schemas.microsoft.com/office/drawing/2014/main" id="{6E077C66-94A3-BBD6-D945-3078290CABE7}"/>
                </a:ext>
              </a:extLst>
            </xdr:cNvPr>
            <xdr:cNvGrpSpPr/>
          </xdr:nvGrpSpPr>
          <xdr:grpSpPr>
            <a:xfrm rot="5400000">
              <a:off x="5110844" y="7494816"/>
              <a:ext cx="3461657" cy="7238996"/>
              <a:chOff x="6128661" y="8490858"/>
              <a:chExt cx="2133596" cy="3722910"/>
            </a:xfrm>
          </xdr:grpSpPr>
          <xdr:grpSp>
            <xdr:nvGrpSpPr>
              <xdr:cNvPr id="30" name="Group 29">
                <a:extLst>
                  <a:ext uri="{FF2B5EF4-FFF2-40B4-BE49-F238E27FC236}">
                    <a16:creationId xmlns:a16="http://schemas.microsoft.com/office/drawing/2014/main" id="{7DDA5DE2-ED77-F43D-01A6-DB0DCAA2AE61}"/>
                  </a:ext>
                </a:extLst>
              </xdr:cNvPr>
              <xdr:cNvGrpSpPr/>
            </xdr:nvGrpSpPr>
            <xdr:grpSpPr>
              <a:xfrm>
                <a:off x="6128661" y="9851569"/>
                <a:ext cx="337454" cy="2242457"/>
                <a:chOff x="6128661" y="9851572"/>
                <a:chExt cx="332014" cy="2203014"/>
              </a:xfrm>
            </xdr:grpSpPr>
            <xdr:sp macro="" textlink="">
              <xdr:nvSpPr>
                <xdr:cNvPr id="27" name="Arrow: Chevron 26">
                  <a:extLst>
                    <a:ext uri="{FF2B5EF4-FFF2-40B4-BE49-F238E27FC236}">
                      <a16:creationId xmlns:a16="http://schemas.microsoft.com/office/drawing/2014/main" id="{C22EF2FF-918F-0618-1D39-51C1D0FB879E}"/>
                    </a:ext>
                  </a:extLst>
                </xdr:cNvPr>
                <xdr:cNvSpPr/>
              </xdr:nvSpPr>
              <xdr:spPr>
                <a:xfrm rot="16200000">
                  <a:off x="5933283" y="11527194"/>
                  <a:ext cx="733828" cy="320956"/>
                </a:xfrm>
                <a:prstGeom prst="chevron">
                  <a:avLst/>
                </a:prstGeom>
                <a:solidFill>
                  <a:srgbClr val="FF9999"/>
                </a:solidFill>
                <a:ln>
                  <a:solidFill>
                    <a:srgbClr val="FF9999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>
                    <a:solidFill>
                      <a:schemeClr val="tx1"/>
                    </a:solidFill>
                  </a:endParaRPr>
                </a:p>
              </xdr:txBody>
            </xdr:sp>
            <xdr:sp macro="" textlink="">
              <xdr:nvSpPr>
                <xdr:cNvPr id="28" name="Arrow: Chevron 27">
                  <a:extLst>
                    <a:ext uri="{FF2B5EF4-FFF2-40B4-BE49-F238E27FC236}">
                      <a16:creationId xmlns:a16="http://schemas.microsoft.com/office/drawing/2014/main" id="{70A98219-EAE8-4E97-9940-091E2EBA7C9C}"/>
                    </a:ext>
                  </a:extLst>
                </xdr:cNvPr>
                <xdr:cNvSpPr/>
              </xdr:nvSpPr>
              <xdr:spPr>
                <a:xfrm rot="16200000">
                  <a:off x="5951764" y="10877548"/>
                  <a:ext cx="696685" cy="321129"/>
                </a:xfrm>
                <a:prstGeom prst="chevron">
                  <a:avLst/>
                </a:prstGeom>
                <a:solidFill>
                  <a:srgbClr val="C00000"/>
                </a:solidFill>
                <a:ln>
                  <a:solidFill>
                    <a:srgbClr val="C00000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>
                    <a:solidFill>
                      <a:schemeClr val="tx1"/>
                    </a:solidFill>
                  </a:endParaRPr>
                </a:p>
              </xdr:txBody>
            </xdr:sp>
            <xdr:sp macro="" textlink="">
              <xdr:nvSpPr>
                <xdr:cNvPr id="29" name="Arrow: Chevron 28">
                  <a:extLst>
                    <a:ext uri="{FF2B5EF4-FFF2-40B4-BE49-F238E27FC236}">
                      <a16:creationId xmlns:a16="http://schemas.microsoft.com/office/drawing/2014/main" id="{F873570C-F9E0-4275-A3B0-B1D350655B20}"/>
                    </a:ext>
                  </a:extLst>
                </xdr:cNvPr>
                <xdr:cNvSpPr/>
              </xdr:nvSpPr>
              <xdr:spPr>
                <a:xfrm rot="16200000">
                  <a:off x="5829305" y="10150928"/>
                  <a:ext cx="930726" cy="332013"/>
                </a:xfrm>
                <a:prstGeom prst="chevron">
                  <a:avLst/>
                </a:prstGeom>
                <a:solidFill>
                  <a:srgbClr val="EE0000"/>
                </a:solidFill>
                <a:ln>
                  <a:solidFill>
                    <a:srgbClr val="EE0000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600">
                    <a:solidFill>
                      <a:schemeClr val="tx1"/>
                    </a:solidFill>
                  </a:endParaRPr>
                </a:p>
              </xdr:txBody>
            </xdr:sp>
          </xdr:grpSp>
          <xdr:grpSp>
            <xdr:nvGrpSpPr>
              <xdr:cNvPr id="39" name="Group 38">
                <a:extLst>
                  <a:ext uri="{FF2B5EF4-FFF2-40B4-BE49-F238E27FC236}">
                    <a16:creationId xmlns:a16="http://schemas.microsoft.com/office/drawing/2014/main" id="{A0027F2E-99C9-4E92-A78F-7F23817B8F2C}"/>
                  </a:ext>
                </a:extLst>
              </xdr:cNvPr>
              <xdr:cNvGrpSpPr/>
            </xdr:nvGrpSpPr>
            <xdr:grpSpPr>
              <a:xfrm>
                <a:off x="6574975" y="9481457"/>
                <a:ext cx="402767" cy="2666997"/>
                <a:chOff x="6128661" y="9851572"/>
                <a:chExt cx="332014" cy="2203014"/>
              </a:xfrm>
            </xdr:grpSpPr>
            <xdr:sp macro="" textlink="">
              <xdr:nvSpPr>
                <xdr:cNvPr id="40" name="Arrow: Chevron 39">
                  <a:extLst>
                    <a:ext uri="{FF2B5EF4-FFF2-40B4-BE49-F238E27FC236}">
                      <a16:creationId xmlns:a16="http://schemas.microsoft.com/office/drawing/2014/main" id="{1BE6FDA2-2D70-5B15-C180-A5A6C386C2A5}"/>
                    </a:ext>
                  </a:extLst>
                </xdr:cNvPr>
                <xdr:cNvSpPr/>
              </xdr:nvSpPr>
              <xdr:spPr>
                <a:xfrm rot="16200000">
                  <a:off x="5933283" y="11527194"/>
                  <a:ext cx="733828" cy="320956"/>
                </a:xfrm>
                <a:prstGeom prst="chevron">
                  <a:avLst/>
                </a:prstGeom>
                <a:solidFill>
                  <a:srgbClr val="FF9999"/>
                </a:solidFill>
                <a:ln>
                  <a:solidFill>
                    <a:srgbClr val="FF9999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>
                    <a:solidFill>
                      <a:schemeClr val="tx1"/>
                    </a:solidFill>
                  </a:endParaRPr>
                </a:p>
              </xdr:txBody>
            </xdr:sp>
            <xdr:sp macro="" textlink="">
              <xdr:nvSpPr>
                <xdr:cNvPr id="41" name="Arrow: Chevron 40">
                  <a:extLst>
                    <a:ext uri="{FF2B5EF4-FFF2-40B4-BE49-F238E27FC236}">
                      <a16:creationId xmlns:a16="http://schemas.microsoft.com/office/drawing/2014/main" id="{5B2553F0-9930-5927-2A4C-49B5495FBDE1}"/>
                    </a:ext>
                  </a:extLst>
                </xdr:cNvPr>
                <xdr:cNvSpPr/>
              </xdr:nvSpPr>
              <xdr:spPr>
                <a:xfrm rot="16200000">
                  <a:off x="5951764" y="10877548"/>
                  <a:ext cx="696685" cy="321129"/>
                </a:xfrm>
                <a:prstGeom prst="chevron">
                  <a:avLst/>
                </a:prstGeom>
                <a:solidFill>
                  <a:srgbClr val="C00000"/>
                </a:solidFill>
                <a:ln>
                  <a:solidFill>
                    <a:srgbClr val="C00000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>
                    <a:solidFill>
                      <a:schemeClr val="tx1"/>
                    </a:solidFill>
                  </a:endParaRPr>
                </a:p>
              </xdr:txBody>
            </xdr:sp>
            <xdr:sp macro="" textlink="">
              <xdr:nvSpPr>
                <xdr:cNvPr id="42" name="Arrow: Chevron 41">
                  <a:extLst>
                    <a:ext uri="{FF2B5EF4-FFF2-40B4-BE49-F238E27FC236}">
                      <a16:creationId xmlns:a16="http://schemas.microsoft.com/office/drawing/2014/main" id="{BC4D1829-4F2C-F446-B44D-3A03D23FC943}"/>
                    </a:ext>
                  </a:extLst>
                </xdr:cNvPr>
                <xdr:cNvSpPr/>
              </xdr:nvSpPr>
              <xdr:spPr>
                <a:xfrm rot="16200000">
                  <a:off x="5829305" y="10150928"/>
                  <a:ext cx="930726" cy="332013"/>
                </a:xfrm>
                <a:prstGeom prst="chevron">
                  <a:avLst/>
                </a:prstGeom>
                <a:solidFill>
                  <a:srgbClr val="EE0000"/>
                </a:solidFill>
                <a:ln>
                  <a:solidFill>
                    <a:srgbClr val="EE0000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600">
                    <a:solidFill>
                      <a:schemeClr val="tx1"/>
                    </a:solidFill>
                  </a:endParaRPr>
                </a:p>
              </xdr:txBody>
            </xdr:sp>
          </xdr:grpSp>
          <xdr:grpSp>
            <xdr:nvGrpSpPr>
              <xdr:cNvPr id="43" name="Group 42">
                <a:extLst>
                  <a:ext uri="{FF2B5EF4-FFF2-40B4-BE49-F238E27FC236}">
                    <a16:creationId xmlns:a16="http://schemas.microsoft.com/office/drawing/2014/main" id="{A702CB57-ED49-4588-9BB7-0143F9CBD2FD}"/>
                  </a:ext>
                </a:extLst>
              </xdr:cNvPr>
              <xdr:cNvGrpSpPr/>
            </xdr:nvGrpSpPr>
            <xdr:grpSpPr>
              <a:xfrm>
                <a:off x="7097489" y="9078686"/>
                <a:ext cx="478968" cy="3091539"/>
                <a:chOff x="6128661" y="9851572"/>
                <a:chExt cx="332014" cy="2203014"/>
              </a:xfrm>
            </xdr:grpSpPr>
            <xdr:sp macro="" textlink="">
              <xdr:nvSpPr>
                <xdr:cNvPr id="44" name="Arrow: Chevron 43">
                  <a:extLst>
                    <a:ext uri="{FF2B5EF4-FFF2-40B4-BE49-F238E27FC236}">
                      <a16:creationId xmlns:a16="http://schemas.microsoft.com/office/drawing/2014/main" id="{84B11E18-9072-A8C5-1129-002C7671E2FC}"/>
                    </a:ext>
                  </a:extLst>
                </xdr:cNvPr>
                <xdr:cNvSpPr/>
              </xdr:nvSpPr>
              <xdr:spPr>
                <a:xfrm rot="16200000">
                  <a:off x="5933283" y="11527194"/>
                  <a:ext cx="733828" cy="320956"/>
                </a:xfrm>
                <a:prstGeom prst="chevron">
                  <a:avLst/>
                </a:prstGeom>
                <a:solidFill>
                  <a:srgbClr val="FF9999"/>
                </a:solidFill>
                <a:ln>
                  <a:solidFill>
                    <a:srgbClr val="FF9999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>
                    <a:solidFill>
                      <a:schemeClr val="tx1"/>
                    </a:solidFill>
                  </a:endParaRPr>
                </a:p>
              </xdr:txBody>
            </xdr:sp>
            <xdr:sp macro="" textlink="">
              <xdr:nvSpPr>
                <xdr:cNvPr id="45" name="Arrow: Chevron 44">
                  <a:extLst>
                    <a:ext uri="{FF2B5EF4-FFF2-40B4-BE49-F238E27FC236}">
                      <a16:creationId xmlns:a16="http://schemas.microsoft.com/office/drawing/2014/main" id="{060147F5-F757-0E6E-E1B6-14AE592FEF3E}"/>
                    </a:ext>
                  </a:extLst>
                </xdr:cNvPr>
                <xdr:cNvSpPr/>
              </xdr:nvSpPr>
              <xdr:spPr>
                <a:xfrm rot="16200000">
                  <a:off x="5951764" y="10877548"/>
                  <a:ext cx="696685" cy="321129"/>
                </a:xfrm>
                <a:prstGeom prst="chevron">
                  <a:avLst/>
                </a:prstGeom>
                <a:solidFill>
                  <a:srgbClr val="C00000"/>
                </a:solidFill>
                <a:ln>
                  <a:solidFill>
                    <a:srgbClr val="C00000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>
                    <a:solidFill>
                      <a:schemeClr val="tx1"/>
                    </a:solidFill>
                  </a:endParaRPr>
                </a:p>
              </xdr:txBody>
            </xdr:sp>
            <xdr:sp macro="" textlink="">
              <xdr:nvSpPr>
                <xdr:cNvPr id="46" name="Arrow: Chevron 45">
                  <a:extLst>
                    <a:ext uri="{FF2B5EF4-FFF2-40B4-BE49-F238E27FC236}">
                      <a16:creationId xmlns:a16="http://schemas.microsoft.com/office/drawing/2014/main" id="{CDB6D0F0-6B4D-D550-F222-CA28D946B0CA}"/>
                    </a:ext>
                  </a:extLst>
                </xdr:cNvPr>
                <xdr:cNvSpPr/>
              </xdr:nvSpPr>
              <xdr:spPr>
                <a:xfrm rot="16200000">
                  <a:off x="5829305" y="10150928"/>
                  <a:ext cx="930726" cy="332013"/>
                </a:xfrm>
                <a:prstGeom prst="chevron">
                  <a:avLst/>
                </a:prstGeom>
                <a:solidFill>
                  <a:srgbClr val="EE0000"/>
                </a:solidFill>
                <a:ln>
                  <a:solidFill>
                    <a:srgbClr val="EE0000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600">
                    <a:solidFill>
                      <a:schemeClr val="tx1"/>
                    </a:solidFill>
                  </a:endParaRPr>
                </a:p>
              </xdr:txBody>
            </xdr:sp>
          </xdr:grpSp>
          <xdr:grpSp>
            <xdr:nvGrpSpPr>
              <xdr:cNvPr id="47" name="Group 46">
                <a:extLst>
                  <a:ext uri="{FF2B5EF4-FFF2-40B4-BE49-F238E27FC236}">
                    <a16:creationId xmlns:a16="http://schemas.microsoft.com/office/drawing/2014/main" id="{4C2994DA-9D10-4BB4-A7E1-3909F7B5E655}"/>
                  </a:ext>
                </a:extLst>
              </xdr:cNvPr>
              <xdr:cNvGrpSpPr/>
            </xdr:nvGrpSpPr>
            <xdr:grpSpPr>
              <a:xfrm>
                <a:off x="7707089" y="8490858"/>
                <a:ext cx="555168" cy="3722910"/>
                <a:chOff x="6128661" y="9851572"/>
                <a:chExt cx="332014" cy="2203014"/>
              </a:xfrm>
            </xdr:grpSpPr>
            <xdr:sp macro="" textlink="">
              <xdr:nvSpPr>
                <xdr:cNvPr id="48" name="Arrow: Chevron 47">
                  <a:extLst>
                    <a:ext uri="{FF2B5EF4-FFF2-40B4-BE49-F238E27FC236}">
                      <a16:creationId xmlns:a16="http://schemas.microsoft.com/office/drawing/2014/main" id="{0752AD9A-49B0-9B6B-6C6F-C4BA43AD50AF}"/>
                    </a:ext>
                  </a:extLst>
                </xdr:cNvPr>
                <xdr:cNvSpPr/>
              </xdr:nvSpPr>
              <xdr:spPr>
                <a:xfrm rot="16200000">
                  <a:off x="5933283" y="11527194"/>
                  <a:ext cx="733828" cy="320956"/>
                </a:xfrm>
                <a:prstGeom prst="chevron">
                  <a:avLst/>
                </a:prstGeom>
                <a:solidFill>
                  <a:srgbClr val="FF9999"/>
                </a:solidFill>
                <a:ln>
                  <a:solidFill>
                    <a:srgbClr val="FF9999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>
                    <a:solidFill>
                      <a:schemeClr val="tx1"/>
                    </a:solidFill>
                  </a:endParaRPr>
                </a:p>
              </xdr:txBody>
            </xdr:sp>
            <xdr:sp macro="" textlink="">
              <xdr:nvSpPr>
                <xdr:cNvPr id="49" name="Arrow: Chevron 48">
                  <a:extLst>
                    <a:ext uri="{FF2B5EF4-FFF2-40B4-BE49-F238E27FC236}">
                      <a16:creationId xmlns:a16="http://schemas.microsoft.com/office/drawing/2014/main" id="{F7FCEBFF-0EFA-2795-BBDA-43A595E980BD}"/>
                    </a:ext>
                  </a:extLst>
                </xdr:cNvPr>
                <xdr:cNvSpPr/>
              </xdr:nvSpPr>
              <xdr:spPr>
                <a:xfrm rot="16200000">
                  <a:off x="5951764" y="10877548"/>
                  <a:ext cx="696685" cy="321129"/>
                </a:xfrm>
                <a:prstGeom prst="chevron">
                  <a:avLst/>
                </a:prstGeom>
                <a:solidFill>
                  <a:srgbClr val="C00000"/>
                </a:solidFill>
                <a:ln>
                  <a:solidFill>
                    <a:srgbClr val="C00000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>
                    <a:solidFill>
                      <a:schemeClr val="tx1"/>
                    </a:solidFill>
                  </a:endParaRPr>
                </a:p>
              </xdr:txBody>
            </xdr:sp>
            <xdr:sp macro="" textlink="">
              <xdr:nvSpPr>
                <xdr:cNvPr id="50" name="Arrow: Chevron 49">
                  <a:extLst>
                    <a:ext uri="{FF2B5EF4-FFF2-40B4-BE49-F238E27FC236}">
                      <a16:creationId xmlns:a16="http://schemas.microsoft.com/office/drawing/2014/main" id="{BC149059-B3DF-7A15-79F7-2FB5C5537DF2}"/>
                    </a:ext>
                  </a:extLst>
                </xdr:cNvPr>
                <xdr:cNvSpPr/>
              </xdr:nvSpPr>
              <xdr:spPr>
                <a:xfrm rot="16200000">
                  <a:off x="5829305" y="10150928"/>
                  <a:ext cx="930726" cy="332013"/>
                </a:xfrm>
                <a:prstGeom prst="chevron">
                  <a:avLst/>
                </a:prstGeom>
                <a:solidFill>
                  <a:srgbClr val="EE0000"/>
                </a:solidFill>
                <a:ln>
                  <a:solidFill>
                    <a:srgbClr val="EE0000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600">
                    <a:solidFill>
                      <a:schemeClr val="tx1"/>
                    </a:solidFill>
                  </a:endParaRPr>
                </a:p>
              </xdr:txBody>
            </xdr:sp>
          </xdr:grpSp>
        </xdr:grpSp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EEAFF1F5-457E-2613-C729-AC182FC13C84}"/>
                </a:ext>
              </a:extLst>
            </xdr:cNvPr>
            <xdr:cNvSpPr txBox="1"/>
          </xdr:nvSpPr>
          <xdr:spPr>
            <a:xfrm>
              <a:off x="3690350" y="9453550"/>
              <a:ext cx="1032766" cy="429551"/>
            </a:xfrm>
            <a:prstGeom prst="rect">
              <a:avLst/>
            </a:prstGeom>
            <a:solidFill>
              <a:srgbClr val="FF9999"/>
            </a:solidFill>
            <a:ln w="9525" cmpd="sng">
              <a:solidFill>
                <a:srgbClr val="FF9999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IN" sz="1400" b="1"/>
                <a:t>109K</a:t>
              </a:r>
            </a:p>
          </xdr:txBody>
        </xdr:sp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CE2CB321-C376-4BA6-8D3D-00C3DDC531AA}"/>
                </a:ext>
              </a:extLst>
            </xdr:cNvPr>
            <xdr:cNvSpPr txBox="1"/>
          </xdr:nvSpPr>
          <xdr:spPr>
            <a:xfrm>
              <a:off x="4995989" y="9546423"/>
              <a:ext cx="1029823" cy="271797"/>
            </a:xfrm>
            <a:prstGeom prst="rect">
              <a:avLst/>
            </a:prstGeom>
            <a:solidFill>
              <a:srgbClr val="C00000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IN" sz="1400" b="1"/>
                <a:t>296K</a:t>
              </a:r>
            </a:p>
          </xdr:txBody>
        </xdr:sp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71240B24-DE8B-4703-AF35-B7B5A970D846}"/>
                </a:ext>
              </a:extLst>
            </xdr:cNvPr>
            <xdr:cNvSpPr txBox="1"/>
          </xdr:nvSpPr>
          <xdr:spPr>
            <a:xfrm>
              <a:off x="3777345" y="10196554"/>
              <a:ext cx="980981" cy="417020"/>
            </a:xfrm>
            <a:prstGeom prst="rect">
              <a:avLst/>
            </a:prstGeom>
            <a:solidFill>
              <a:srgbClr val="FF9999"/>
            </a:solidFill>
            <a:ln w="9525" cmpd="sng">
              <a:solidFill>
                <a:srgbClr val="FF9999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400" b="1"/>
                <a:t>167K</a:t>
              </a:r>
            </a:p>
          </xdr:txBody>
        </xdr:sp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048E3411-FC7C-4F4F-8152-FFCC684F3425}"/>
                </a:ext>
              </a:extLst>
            </xdr:cNvPr>
            <xdr:cNvSpPr txBox="1"/>
          </xdr:nvSpPr>
          <xdr:spPr>
            <a:xfrm>
              <a:off x="7976431" y="12007613"/>
              <a:ext cx="1699267" cy="683107"/>
            </a:xfrm>
            <a:prstGeom prst="rect">
              <a:avLst/>
            </a:prstGeom>
            <a:solidFill>
              <a:srgbClr val="EE0000"/>
            </a:solidFill>
            <a:ln w="9525" cmpd="sng">
              <a:solidFill>
                <a:srgbClr val="EE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IN" sz="1400" b="1"/>
                <a:t>617K</a:t>
              </a:r>
            </a:p>
          </xdr:txBody>
        </xdr:sp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E7C5C97E-2600-4517-97BF-D0FEC3D19080}"/>
                </a:ext>
              </a:extLst>
            </xdr:cNvPr>
            <xdr:cNvSpPr txBox="1"/>
          </xdr:nvSpPr>
          <xdr:spPr>
            <a:xfrm>
              <a:off x="6003251" y="12170229"/>
              <a:ext cx="1322835" cy="446313"/>
            </a:xfrm>
            <a:prstGeom prst="rect">
              <a:avLst/>
            </a:prstGeom>
            <a:solidFill>
              <a:srgbClr val="C00000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IN" sz="1400" b="1"/>
                <a:t>1.2M</a:t>
              </a:r>
            </a:p>
          </xdr:txBody>
        </xdr:sp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BAD7DBD6-2030-42D6-B398-F0EEF2B686F1}"/>
                </a:ext>
              </a:extLst>
            </xdr:cNvPr>
            <xdr:cNvSpPr txBox="1"/>
          </xdr:nvSpPr>
          <xdr:spPr>
            <a:xfrm>
              <a:off x="3806767" y="12052659"/>
              <a:ext cx="1251857" cy="609599"/>
            </a:xfrm>
            <a:prstGeom prst="rect">
              <a:avLst/>
            </a:prstGeom>
            <a:solidFill>
              <a:srgbClr val="FF9999"/>
            </a:solidFill>
            <a:ln w="9525" cmpd="sng">
              <a:solidFill>
                <a:srgbClr val="FF9999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r>
                <a:rPr lang="en-IN" sz="1400" b="1"/>
                <a:t>457K</a:t>
              </a:r>
            </a:p>
          </xdr:txBody>
        </xdr:sp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5B18408E-F226-4DBE-A0B0-D1D60E0B3E8A}"/>
                </a:ext>
              </a:extLst>
            </xdr:cNvPr>
            <xdr:cNvSpPr txBox="1"/>
          </xdr:nvSpPr>
          <xdr:spPr>
            <a:xfrm>
              <a:off x="5292226" y="10254345"/>
              <a:ext cx="1010603" cy="413656"/>
            </a:xfrm>
            <a:prstGeom prst="rect">
              <a:avLst/>
            </a:prstGeom>
            <a:solidFill>
              <a:srgbClr val="C00000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IN" sz="1400" b="1"/>
                <a:t>455K</a:t>
              </a:r>
            </a:p>
          </xdr:txBody>
        </xdr:sp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87532784-2A7A-4C3A-9ABF-DCF313306CDF}"/>
                </a:ext>
              </a:extLst>
            </xdr:cNvPr>
            <xdr:cNvSpPr txBox="1"/>
          </xdr:nvSpPr>
          <xdr:spPr>
            <a:xfrm>
              <a:off x="5558778" y="11070772"/>
              <a:ext cx="939992" cy="478972"/>
            </a:xfrm>
            <a:prstGeom prst="rect">
              <a:avLst/>
            </a:prstGeom>
            <a:solidFill>
              <a:srgbClr val="C00000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400" b="1"/>
                <a:t>739K</a:t>
              </a:r>
            </a:p>
          </xdr:txBody>
        </xdr:sp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2B185B2D-194C-4CFA-86C6-609122D48634}"/>
                </a:ext>
              </a:extLst>
            </xdr:cNvPr>
            <xdr:cNvSpPr txBox="1"/>
          </xdr:nvSpPr>
          <xdr:spPr>
            <a:xfrm>
              <a:off x="3820888" y="11059885"/>
              <a:ext cx="1034142" cy="500743"/>
            </a:xfrm>
            <a:prstGeom prst="rect">
              <a:avLst/>
            </a:prstGeom>
            <a:solidFill>
              <a:srgbClr val="FF9999"/>
            </a:solidFill>
            <a:ln w="9525" cmpd="sng">
              <a:solidFill>
                <a:srgbClr val="FF9999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400" b="1"/>
                <a:t>272K</a:t>
              </a:r>
            </a:p>
          </xdr:txBody>
        </xdr:sp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3DEDA3F7-D08D-4478-B43B-8CF8576A933D}"/>
                </a:ext>
              </a:extLst>
            </xdr:cNvPr>
            <xdr:cNvSpPr txBox="1"/>
          </xdr:nvSpPr>
          <xdr:spPr>
            <a:xfrm>
              <a:off x="7315200" y="11103431"/>
              <a:ext cx="1426028" cy="489856"/>
            </a:xfrm>
            <a:prstGeom prst="rect">
              <a:avLst/>
            </a:prstGeom>
            <a:solidFill>
              <a:srgbClr val="EE0000"/>
            </a:solidFill>
            <a:ln w="9525" cmpd="sng">
              <a:solidFill>
                <a:srgbClr val="EE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IN" sz="1400" b="1"/>
                <a:t>368K</a:t>
              </a:r>
            </a:p>
          </xdr:txBody>
        </xdr:sp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417C0526-D3AC-48D4-86B5-0A547852B072}"/>
                </a:ext>
              </a:extLst>
            </xdr:cNvPr>
            <xdr:cNvSpPr txBox="1"/>
          </xdr:nvSpPr>
          <xdr:spPr>
            <a:xfrm>
              <a:off x="6324600" y="9448807"/>
              <a:ext cx="1273831" cy="402767"/>
            </a:xfrm>
            <a:prstGeom prst="rect">
              <a:avLst/>
            </a:prstGeom>
            <a:solidFill>
              <a:srgbClr val="EE0000"/>
            </a:solidFill>
            <a:ln w="9525" cmpd="sng">
              <a:solidFill>
                <a:srgbClr val="EE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IN" sz="1400" b="1"/>
                <a:t>147K</a:t>
              </a:r>
            </a:p>
          </xdr:txBody>
        </xdr:sp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CE61A51F-1938-4165-A0DC-9B50BC7230E9}"/>
                </a:ext>
              </a:extLst>
            </xdr:cNvPr>
            <xdr:cNvSpPr txBox="1"/>
          </xdr:nvSpPr>
          <xdr:spPr>
            <a:xfrm>
              <a:off x="6749144" y="10254343"/>
              <a:ext cx="1353794" cy="378386"/>
            </a:xfrm>
            <a:prstGeom prst="rect">
              <a:avLst/>
            </a:prstGeom>
            <a:solidFill>
              <a:srgbClr val="EE0000"/>
            </a:solidFill>
            <a:ln w="9525" cmpd="sng">
              <a:solidFill>
                <a:srgbClr val="EE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en-IN" sz="1400" b="1"/>
                <a:t>296K</a:t>
              </a:r>
            </a:p>
          </xdr:txBody>
        </xdr:sp>
      </xdr:grpSp>
      <xdr:grpSp>
        <xdr:nvGrpSpPr>
          <xdr:cNvPr id="75" name="Group 74">
            <a:extLst>
              <a:ext uri="{FF2B5EF4-FFF2-40B4-BE49-F238E27FC236}">
                <a16:creationId xmlns:a16="http://schemas.microsoft.com/office/drawing/2014/main" id="{1AB8E8A8-2C21-0BE2-1C2A-42BFA1114338}"/>
              </a:ext>
            </a:extLst>
          </xdr:cNvPr>
          <xdr:cNvGrpSpPr/>
        </xdr:nvGrpSpPr>
        <xdr:grpSpPr>
          <a:xfrm>
            <a:off x="18973159" y="7894192"/>
            <a:ext cx="448235" cy="460273"/>
            <a:chOff x="16778240" y="8766969"/>
            <a:chExt cx="375076" cy="644931"/>
          </a:xfrm>
        </xdr:grpSpPr>
        <xdr:sp macro="" textlink="">
          <xdr:nvSpPr>
            <xdr:cNvPr id="8" name="Rectangle: Diagonal Corners Rounded 7">
              <a:extLst>
                <a:ext uri="{FF2B5EF4-FFF2-40B4-BE49-F238E27FC236}">
                  <a16:creationId xmlns:a16="http://schemas.microsoft.com/office/drawing/2014/main" id="{5C62426A-C24E-D97E-2E78-464EDAB15C2C}"/>
                </a:ext>
              </a:extLst>
            </xdr:cNvPr>
            <xdr:cNvSpPr/>
          </xdr:nvSpPr>
          <xdr:spPr>
            <a:xfrm>
              <a:off x="16784109" y="9051514"/>
              <a:ext cx="358321" cy="99129"/>
            </a:xfrm>
            <a:prstGeom prst="round2DiagRect">
              <a:avLst/>
            </a:prstGeom>
            <a:solidFill>
              <a:srgbClr val="C00000"/>
            </a:solidFill>
            <a:ln>
              <a:solidFill>
                <a:srgbClr val="C0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9" name="Rectangle: Diagonal Corners Rounded 8">
              <a:extLst>
                <a:ext uri="{FF2B5EF4-FFF2-40B4-BE49-F238E27FC236}">
                  <a16:creationId xmlns:a16="http://schemas.microsoft.com/office/drawing/2014/main" id="{DE5DF3DF-0E92-B721-B14E-EFAB0F49C59C}"/>
                </a:ext>
              </a:extLst>
            </xdr:cNvPr>
            <xdr:cNvSpPr/>
          </xdr:nvSpPr>
          <xdr:spPr>
            <a:xfrm>
              <a:off x="16778240" y="8766969"/>
              <a:ext cx="359310" cy="99129"/>
            </a:xfrm>
            <a:prstGeom prst="round2DiagRect">
              <a:avLst/>
            </a:prstGeom>
            <a:solidFill>
              <a:srgbClr val="EE0000"/>
            </a:solidFill>
            <a:ln>
              <a:solidFill>
                <a:srgbClr val="EE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74" name="Rectangle: Diagonal Corners Rounded 73">
              <a:extLst>
                <a:ext uri="{FF2B5EF4-FFF2-40B4-BE49-F238E27FC236}">
                  <a16:creationId xmlns:a16="http://schemas.microsoft.com/office/drawing/2014/main" id="{BB24A305-2705-40D7-99F5-D51F5EBD1406}"/>
                </a:ext>
              </a:extLst>
            </xdr:cNvPr>
            <xdr:cNvSpPr/>
          </xdr:nvSpPr>
          <xdr:spPr>
            <a:xfrm>
              <a:off x="16794995" y="9312771"/>
              <a:ext cx="358321" cy="99129"/>
            </a:xfrm>
            <a:prstGeom prst="round2DiagRect">
              <a:avLst/>
            </a:prstGeom>
            <a:solidFill>
              <a:srgbClr val="FF9999"/>
            </a:solidFill>
            <a:ln>
              <a:solidFill>
                <a:srgbClr val="FF9999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</xdr:grpSp>
      <xdr:grpSp>
        <xdr:nvGrpSpPr>
          <xdr:cNvPr id="80" name="Group 79">
            <a:extLst>
              <a:ext uri="{FF2B5EF4-FFF2-40B4-BE49-F238E27FC236}">
                <a16:creationId xmlns:a16="http://schemas.microsoft.com/office/drawing/2014/main" id="{0937852B-7F6D-8FCD-D8B8-E566636CAD6D}"/>
              </a:ext>
            </a:extLst>
          </xdr:cNvPr>
          <xdr:cNvGrpSpPr/>
        </xdr:nvGrpSpPr>
        <xdr:grpSpPr>
          <a:xfrm>
            <a:off x="16043963" y="4765208"/>
            <a:ext cx="1539027" cy="1040846"/>
            <a:chOff x="16024112" y="4621132"/>
            <a:chExt cx="1537747" cy="1006269"/>
          </a:xfrm>
        </xdr:grpSpPr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FA4636FF-1A13-63BA-9803-1476D2C0A92C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75692" b="38724"/>
            <a:stretch>
              <a:fillRect/>
            </a:stretch>
          </xdr:blipFill>
          <xdr:spPr>
            <a:xfrm rot="16200000">
              <a:off x="16348536" y="4296708"/>
              <a:ext cx="868528" cy="1517376"/>
            </a:xfrm>
            <a:prstGeom prst="rect">
              <a:avLst/>
            </a:prstGeom>
          </xdr:spPr>
        </xdr:pic>
        <xdr:sp macro="" textlink="">
          <xdr:nvSpPr>
            <xdr:cNvPr id="78" name="Oval 77">
              <a:extLst>
                <a:ext uri="{FF2B5EF4-FFF2-40B4-BE49-F238E27FC236}">
                  <a16:creationId xmlns:a16="http://schemas.microsoft.com/office/drawing/2014/main" id="{63D7B1D1-853C-011D-C50A-4082096A7244}"/>
                </a:ext>
              </a:extLst>
            </xdr:cNvPr>
            <xdr:cNvSpPr/>
          </xdr:nvSpPr>
          <xdr:spPr>
            <a:xfrm>
              <a:off x="17283953" y="5056094"/>
              <a:ext cx="277906" cy="528918"/>
            </a:xfrm>
            <a:prstGeom prst="ellipse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79" name="Oval 78">
              <a:extLst>
                <a:ext uri="{FF2B5EF4-FFF2-40B4-BE49-F238E27FC236}">
                  <a16:creationId xmlns:a16="http://schemas.microsoft.com/office/drawing/2014/main" id="{F496AE12-6E57-445F-9F1A-DD50BC593ECC}"/>
                </a:ext>
              </a:extLst>
            </xdr:cNvPr>
            <xdr:cNvSpPr/>
          </xdr:nvSpPr>
          <xdr:spPr>
            <a:xfrm rot="14752515">
              <a:off x="17033698" y="5138064"/>
              <a:ext cx="328462" cy="650212"/>
            </a:xfrm>
            <a:prstGeom prst="ellipse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</xdr:grpSp>
      <xdr:cxnSp macro="">
        <xdr:nvCxnSpPr>
          <xdr:cNvPr id="82" name="Straight Arrow Connector 81">
            <a:extLst>
              <a:ext uri="{FF2B5EF4-FFF2-40B4-BE49-F238E27FC236}">
                <a16:creationId xmlns:a16="http://schemas.microsoft.com/office/drawing/2014/main" id="{03926E1A-E56C-13B4-C9BE-B787455CBCBB}"/>
              </a:ext>
            </a:extLst>
          </xdr:cNvPr>
          <xdr:cNvCxnSpPr/>
        </xdr:nvCxnSpPr>
        <xdr:spPr>
          <a:xfrm flipV="1">
            <a:off x="16766561" y="4769864"/>
            <a:ext cx="1524641" cy="1372881"/>
          </a:xfrm>
          <a:prstGeom prst="straightConnector1">
            <a:avLst/>
          </a:prstGeom>
          <a:ln w="9525" cap="flat" cmpd="sng" algn="ctr">
            <a:solidFill>
              <a:srgbClr val="C00000"/>
            </a:solidFill>
            <a:prstDash val="solid"/>
            <a:round/>
            <a:headEnd type="none" w="med" len="med"/>
            <a:tailEnd type="arrow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83" name="Rectangle 82">
            <a:extLst>
              <a:ext uri="{FF2B5EF4-FFF2-40B4-BE49-F238E27FC236}">
                <a16:creationId xmlns:a16="http://schemas.microsoft.com/office/drawing/2014/main" id="{143CBD62-D91F-41E6-8140-EF4FBEB0A45F}"/>
              </a:ext>
            </a:extLst>
          </xdr:cNvPr>
          <xdr:cNvSpPr/>
        </xdr:nvSpPr>
        <xdr:spPr>
          <a:xfrm>
            <a:off x="16721738" y="8769404"/>
            <a:ext cx="2262473" cy="512480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IN" sz="1600" b="1">
                <a:solidFill>
                  <a:sysClr val="windowText" lastClr="000000"/>
                </a:solidFill>
              </a:rPr>
              <a:t>Q3-25  Q4-25    Q1-26     Q2-26</a:t>
            </a:r>
          </a:p>
        </xdr:txBody>
      </xdr:sp>
      <xdr:sp macro="" textlink="">
        <xdr:nvSpPr>
          <xdr:cNvPr id="84" name="TextBox 83">
            <a:extLst>
              <a:ext uri="{FF2B5EF4-FFF2-40B4-BE49-F238E27FC236}">
                <a16:creationId xmlns:a16="http://schemas.microsoft.com/office/drawing/2014/main" id="{90C9297A-9AE8-F213-6B35-2014418E0F14}"/>
              </a:ext>
            </a:extLst>
          </xdr:cNvPr>
          <xdr:cNvSpPr txBox="1"/>
        </xdr:nvSpPr>
        <xdr:spPr>
          <a:xfrm rot="10800000" flipV="1">
            <a:off x="19484787" y="7781365"/>
            <a:ext cx="1820476" cy="89262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50" b="1"/>
              <a:t>Premium Merch Revenue</a:t>
            </a:r>
          </a:p>
          <a:p>
            <a:r>
              <a:rPr lang="en-IN" sz="1150" b="1"/>
              <a:t>Mid</a:t>
            </a:r>
            <a:r>
              <a:rPr lang="en-IN" sz="1150" b="1" baseline="0"/>
              <a:t> Merch Revenue</a:t>
            </a:r>
          </a:p>
          <a:p>
            <a:r>
              <a:rPr lang="en-IN" sz="1150" b="1" baseline="0"/>
              <a:t>Low Tier Merch Revenue</a:t>
            </a:r>
            <a:endParaRPr lang="en-IN" sz="115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13</xdr:row>
      <xdr:rowOff>19050</xdr:rowOff>
    </xdr:from>
    <xdr:to>
      <xdr:col>14</xdr:col>
      <xdr:colOff>182880</xdr:colOff>
      <xdr:row>29</xdr:row>
      <xdr:rowOff>26670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2A159950-CC09-BE26-61C5-CFF0D2564358}"/>
            </a:ext>
          </a:extLst>
        </xdr:cNvPr>
        <xdr:cNvGrpSpPr/>
      </xdr:nvGrpSpPr>
      <xdr:grpSpPr>
        <a:xfrm>
          <a:off x="4743450" y="2552700"/>
          <a:ext cx="4450080" cy="2903220"/>
          <a:chOff x="0" y="3150870"/>
          <a:chExt cx="4122420" cy="2933700"/>
        </a:xfrm>
      </xdr:grpSpPr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9FE4F2D8-F9CA-2EE7-5444-01337FF61F03}"/>
              </a:ext>
            </a:extLst>
          </xdr:cNvPr>
          <xdr:cNvGrpSpPr/>
        </xdr:nvGrpSpPr>
        <xdr:grpSpPr>
          <a:xfrm>
            <a:off x="0" y="3150870"/>
            <a:ext cx="4122420" cy="2933700"/>
            <a:chOff x="8884920" y="2533650"/>
            <a:chExt cx="4122420" cy="2933700"/>
          </a:xfrm>
        </xdr:grpSpPr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925F33C-44D5-6FBD-45F2-2F70C17F409B}"/>
                </a:ext>
              </a:extLst>
            </xdr:cNvPr>
            <xdr:cNvGraphicFramePr/>
          </xdr:nvGraphicFramePr>
          <xdr:xfrm>
            <a:off x="8884920" y="2880360"/>
            <a:ext cx="4122420" cy="258699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E8D3E38-264E-B7AA-C5BF-5835E4BD203D}"/>
                </a:ext>
              </a:extLst>
            </xdr:cNvPr>
            <xdr:cNvGraphicFramePr/>
          </xdr:nvGraphicFramePr>
          <xdr:xfrm>
            <a:off x="8884920" y="2533650"/>
            <a:ext cx="2819400" cy="26479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1859C3DD-3B16-58A2-5F3B-55E805BACEEA}"/>
              </a:ext>
            </a:extLst>
          </xdr:cNvPr>
          <xdr:cNvCxnSpPr/>
        </xdr:nvCxnSpPr>
        <xdr:spPr>
          <a:xfrm>
            <a:off x="1409700" y="3611880"/>
            <a:ext cx="2232660" cy="426720"/>
          </a:xfrm>
          <a:prstGeom prst="line">
            <a:avLst/>
          </a:prstGeom>
          <a:ln w="9525" cap="flat" cmpd="sng" algn="ctr">
            <a:solidFill>
              <a:schemeClr val="tx1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10C85451-548C-41A3-A723-ED84654EE539}"/>
              </a:ext>
            </a:extLst>
          </xdr:cNvPr>
          <xdr:cNvCxnSpPr/>
        </xdr:nvCxnSpPr>
        <xdr:spPr>
          <a:xfrm flipV="1">
            <a:off x="1402080" y="5257800"/>
            <a:ext cx="2247900" cy="419100"/>
          </a:xfrm>
          <a:prstGeom prst="line">
            <a:avLst/>
          </a:prstGeom>
          <a:ln w="9525" cap="flat" cmpd="sng" algn="ctr">
            <a:solidFill>
              <a:schemeClr val="tx1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373AF4F8-D3DF-91F4-2D7D-9D1ED170FF85}"/>
              </a:ext>
            </a:extLst>
          </xdr:cNvPr>
          <xdr:cNvSpPr txBox="1"/>
        </xdr:nvSpPr>
        <xdr:spPr>
          <a:xfrm>
            <a:off x="3238500" y="4442460"/>
            <a:ext cx="487680" cy="4648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1100" b="1">
                <a:solidFill>
                  <a:schemeClr val="tx1"/>
                </a:solidFill>
              </a:rPr>
              <a:t>1115 Sales</a:t>
            </a: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69D94662-1C4E-1C6C-CD9B-83A5F3A24F37}"/>
              </a:ext>
            </a:extLst>
          </xdr:cNvPr>
          <xdr:cNvSpPr txBox="1"/>
        </xdr:nvSpPr>
        <xdr:spPr>
          <a:xfrm>
            <a:off x="1165860" y="4396740"/>
            <a:ext cx="495300" cy="4419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IN" sz="1100" b="1"/>
              <a:t>2211 Sales</a:t>
            </a:r>
          </a:p>
        </xdr:txBody>
      </xdr:sp>
    </xdr:grpSp>
    <xdr:clientData/>
  </xdr:twoCellAnchor>
  <xdr:twoCellAnchor>
    <xdr:from>
      <xdr:col>8</xdr:col>
      <xdr:colOff>259080</xdr:colOff>
      <xdr:row>27</xdr:row>
      <xdr:rowOff>99060</xdr:rowOff>
    </xdr:from>
    <xdr:to>
      <xdr:col>10</xdr:col>
      <xdr:colOff>472440</xdr:colOff>
      <xdr:row>30</xdr:row>
      <xdr:rowOff>7620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F9DF94C-D201-4D6E-9891-FC16234D1571}"/>
            </a:ext>
          </a:extLst>
        </xdr:cNvPr>
        <xdr:cNvSpPr txBox="1"/>
      </xdr:nvSpPr>
      <xdr:spPr>
        <a:xfrm>
          <a:off x="5737860" y="5219700"/>
          <a:ext cx="127254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CC0000"/>
              </a:solidFill>
            </a:rPr>
            <a:t>Total Sales</a:t>
          </a:r>
        </a:p>
      </xdr:txBody>
    </xdr:sp>
    <xdr:clientData/>
  </xdr:twoCellAnchor>
  <xdr:twoCellAnchor>
    <xdr:from>
      <xdr:col>11</xdr:col>
      <xdr:colOff>487680</xdr:colOff>
      <xdr:row>27</xdr:row>
      <xdr:rowOff>53340</xdr:rowOff>
    </xdr:from>
    <xdr:to>
      <xdr:col>14</xdr:col>
      <xdr:colOff>419100</xdr:colOff>
      <xdr:row>29</xdr:row>
      <xdr:rowOff>83820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B16CEAF9-DAD7-4C6C-BDE5-E4EC3BAC3D9D}"/>
            </a:ext>
          </a:extLst>
        </xdr:cNvPr>
        <xdr:cNvSpPr txBox="1"/>
      </xdr:nvSpPr>
      <xdr:spPr>
        <a:xfrm>
          <a:off x="7589520" y="5173980"/>
          <a:ext cx="1645920" cy="39624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rgbClr val="00B050"/>
              </a:solidFill>
            </a:rPr>
            <a:t>Breakeven</a:t>
          </a:r>
          <a:r>
            <a:rPr lang="en-IN" sz="1600" b="1" baseline="0">
              <a:solidFill>
                <a:srgbClr val="00B050"/>
              </a:solidFill>
            </a:rPr>
            <a:t> Point</a:t>
          </a:r>
          <a:endParaRPr lang="en-IN" sz="1600" b="1">
            <a:solidFill>
              <a:srgbClr val="00B05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D3155-2A37-4B81-A2D4-729E18D2B786}">
  <sheetPr>
    <tabColor rgb="FFFF0000"/>
    <pageSetUpPr autoPageBreaks="0"/>
  </sheetPr>
  <dimension ref="B1:Q37"/>
  <sheetViews>
    <sheetView showGridLines="0" tabSelected="1" topLeftCell="I2" zoomScale="79" zoomScaleNormal="80" workbookViewId="0">
      <selection activeCell="M9" sqref="M9"/>
    </sheetView>
  </sheetViews>
  <sheetFormatPr defaultRowHeight="14.45"/>
  <cols>
    <col min="1" max="1" width="1.85546875" customWidth="1"/>
    <col min="2" max="2" width="30.42578125" bestFit="1" customWidth="1"/>
    <col min="3" max="3" width="35" bestFit="1" customWidth="1"/>
    <col min="4" max="4" width="30.28515625" customWidth="1"/>
    <col min="5" max="5" width="8.85546875" customWidth="1"/>
    <col min="7" max="7" width="61.5703125" customWidth="1"/>
    <col min="8" max="8" width="20.7109375" bestFit="1" customWidth="1"/>
    <col min="9" max="9" width="29.28515625" bestFit="1" customWidth="1"/>
    <col min="10" max="10" width="15.140625" customWidth="1"/>
  </cols>
  <sheetData>
    <row r="1" spans="2:17">
      <c r="B1" s="3"/>
      <c r="C1" s="3"/>
      <c r="D1" s="3"/>
      <c r="E1" s="3"/>
      <c r="F1" s="3"/>
      <c r="G1" s="3"/>
      <c r="H1" s="3"/>
      <c r="I1" s="3"/>
      <c r="J1" s="3"/>
    </row>
    <row r="2" spans="2:17" s="49" customFormat="1"/>
    <row r="3" spans="2:17" ht="28.9">
      <c r="B3" s="48" t="s">
        <v>0</v>
      </c>
    </row>
    <row r="5" spans="2:17">
      <c r="B5" s="68" t="s">
        <v>1</v>
      </c>
      <c r="C5" s="68"/>
      <c r="D5" s="68"/>
      <c r="E5" s="68"/>
      <c r="F5" s="68"/>
      <c r="G5" s="68"/>
      <c r="H5" s="68"/>
      <c r="I5" s="68"/>
      <c r="J5" s="68"/>
    </row>
    <row r="6" spans="2:17">
      <c r="B6" s="5" t="s">
        <v>2</v>
      </c>
      <c r="C6" s="59" t="s">
        <v>3</v>
      </c>
    </row>
    <row r="7" spans="2:17">
      <c r="B7" s="4" t="s">
        <v>4</v>
      </c>
      <c r="C7" s="18">
        <v>45839</v>
      </c>
      <c r="G7" s="67" t="s">
        <v>5</v>
      </c>
      <c r="H7" s="67"/>
      <c r="I7" s="67"/>
      <c r="J7" s="67"/>
      <c r="L7" s="69" t="s">
        <v>6</v>
      </c>
      <c r="M7" s="69"/>
      <c r="N7" s="69"/>
      <c r="O7" s="69"/>
      <c r="P7" s="69"/>
      <c r="Q7" s="69"/>
    </row>
    <row r="8" spans="2:17">
      <c r="B8" s="4" t="s">
        <v>7</v>
      </c>
      <c r="C8" s="6" t="s">
        <v>8</v>
      </c>
      <c r="G8" s="11" t="s">
        <v>9</v>
      </c>
      <c r="H8" s="59" t="s">
        <v>10</v>
      </c>
      <c r="I8" s="11" t="s">
        <v>11</v>
      </c>
      <c r="J8" s="5" t="s">
        <v>12</v>
      </c>
      <c r="L8" s="63">
        <v>4049.7688531909607</v>
      </c>
      <c r="M8" s="60">
        <v>2000</v>
      </c>
      <c r="N8" s="60">
        <v>3500</v>
      </c>
      <c r="O8" s="60">
        <v>4300</v>
      </c>
      <c r="P8" s="60">
        <v>6000</v>
      </c>
      <c r="Q8" s="60">
        <v>8000</v>
      </c>
    </row>
    <row r="9" spans="2:17">
      <c r="B9" s="4" t="s">
        <v>13</v>
      </c>
      <c r="C9" s="6" t="s">
        <v>14</v>
      </c>
      <c r="G9" s="8" t="s">
        <v>15</v>
      </c>
      <c r="H9" s="2">
        <v>1</v>
      </c>
      <c r="I9" s="15">
        <v>325000</v>
      </c>
      <c r="J9" s="15">
        <f>I9</f>
        <v>325000</v>
      </c>
      <c r="L9" s="64">
        <v>0.02</v>
      </c>
      <c r="M9" s="61">
        <v>1674.3230400789503</v>
      </c>
      <c r="N9" s="61">
        <v>2930.0653201381624</v>
      </c>
      <c r="O9" s="61">
        <v>3599.7945361697434</v>
      </c>
      <c r="P9" s="61">
        <v>5022.9691202368513</v>
      </c>
      <c r="Q9" s="61">
        <v>6697.2921603158011</v>
      </c>
    </row>
    <row r="10" spans="2:17">
      <c r="B10" s="4" t="s">
        <v>16</v>
      </c>
      <c r="C10" s="19">
        <v>500</v>
      </c>
      <c r="G10" s="8" t="s">
        <v>17</v>
      </c>
      <c r="H10" s="2">
        <v>1</v>
      </c>
      <c r="I10" s="2" t="s">
        <v>18</v>
      </c>
      <c r="J10" s="2" t="s">
        <v>18</v>
      </c>
      <c r="L10" s="65">
        <v>2.2499999999999999E-2</v>
      </c>
      <c r="M10" s="61">
        <v>1883.6134200888187</v>
      </c>
      <c r="N10" s="61">
        <v>3296.323485155433</v>
      </c>
      <c r="O10" s="62">
        <v>4049.7688531909607</v>
      </c>
      <c r="P10" s="61">
        <v>5650.8402602664573</v>
      </c>
      <c r="Q10" s="61">
        <v>7534.4536803552746</v>
      </c>
    </row>
    <row r="11" spans="2:17">
      <c r="B11" s="4" t="s">
        <v>19</v>
      </c>
      <c r="C11" s="19">
        <v>200</v>
      </c>
      <c r="G11" s="8" t="s">
        <v>20</v>
      </c>
      <c r="H11" s="2">
        <v>1</v>
      </c>
      <c r="I11" s="2" t="s">
        <v>18</v>
      </c>
      <c r="J11" s="2" t="s">
        <v>18</v>
      </c>
      <c r="L11" s="66">
        <v>0.03</v>
      </c>
      <c r="M11" s="61">
        <v>2511.4845601184252</v>
      </c>
      <c r="N11" s="61">
        <v>4395.0979802072434</v>
      </c>
      <c r="O11" s="61">
        <v>5399.6918042546149</v>
      </c>
      <c r="P11" s="61">
        <v>7534.4536803552746</v>
      </c>
      <c r="Q11" s="61">
        <v>10045.938240473701</v>
      </c>
    </row>
    <row r="12" spans="2:17">
      <c r="B12" s="4" t="s">
        <v>21</v>
      </c>
      <c r="C12" s="19">
        <v>30000</v>
      </c>
      <c r="G12" s="8" t="s">
        <v>22</v>
      </c>
      <c r="H12" s="2">
        <v>1</v>
      </c>
      <c r="I12" s="2" t="s">
        <v>18</v>
      </c>
      <c r="J12" s="2" t="s">
        <v>18</v>
      </c>
      <c r="L12" s="66">
        <v>0.05</v>
      </c>
      <c r="M12" s="61">
        <v>4185.807600197375</v>
      </c>
      <c r="N12" s="61">
        <v>7325.1633003454062</v>
      </c>
      <c r="O12" s="61">
        <v>8999.4863404243588</v>
      </c>
      <c r="P12" s="61">
        <v>12557.422800592127</v>
      </c>
      <c r="Q12" s="61">
        <v>16743.2304007895</v>
      </c>
    </row>
    <row r="13" spans="2:17">
      <c r="B13" s="4" t="s">
        <v>23</v>
      </c>
      <c r="C13" s="24">
        <v>4300</v>
      </c>
      <c r="D13" t="s">
        <v>24</v>
      </c>
      <c r="G13" s="8" t="s">
        <v>25</v>
      </c>
      <c r="H13" s="2">
        <v>1</v>
      </c>
      <c r="I13" s="2" t="s">
        <v>18</v>
      </c>
      <c r="J13" s="2" t="s">
        <v>18</v>
      </c>
      <c r="L13" s="66">
        <v>7.0000000000000007E-2</v>
      </c>
      <c r="M13" s="61">
        <v>5860.1306402763257</v>
      </c>
      <c r="N13" s="61">
        <v>10255.228620483569</v>
      </c>
      <c r="O13" s="61">
        <v>12599.280876594101</v>
      </c>
      <c r="P13" s="61">
        <v>17580.391920828977</v>
      </c>
      <c r="Q13" s="61">
        <v>23440.522561105303</v>
      </c>
    </row>
    <row r="14" spans="2:17">
      <c r="B14" s="4" t="s">
        <v>26</v>
      </c>
      <c r="C14" s="24">
        <f>C19*C13</f>
        <v>96.75</v>
      </c>
      <c r="D14" t="s">
        <v>27</v>
      </c>
      <c r="G14" s="8" t="s">
        <v>28</v>
      </c>
      <c r="H14" s="2">
        <v>2</v>
      </c>
      <c r="I14" s="2" t="s">
        <v>18</v>
      </c>
      <c r="J14" s="2" t="s">
        <v>18</v>
      </c>
      <c r="L14" s="66">
        <v>0.09</v>
      </c>
      <c r="M14" s="61">
        <v>7534.4536803552746</v>
      </c>
      <c r="N14" s="61">
        <v>13185.293940621732</v>
      </c>
      <c r="O14" s="61">
        <v>16199.075412763843</v>
      </c>
      <c r="P14" s="61">
        <v>22603.361041065829</v>
      </c>
      <c r="Q14" s="61">
        <v>30137.814721421099</v>
      </c>
    </row>
    <row r="15" spans="2:17">
      <c r="B15" s="4" t="s">
        <v>29</v>
      </c>
      <c r="C15" s="24">
        <v>1.33</v>
      </c>
      <c r="D15" t="s">
        <v>30</v>
      </c>
      <c r="H15" s="2"/>
    </row>
    <row r="16" spans="2:17">
      <c r="B16" s="4" t="s">
        <v>31</v>
      </c>
      <c r="C16" s="20">
        <v>0.2</v>
      </c>
    </row>
    <row r="17" spans="2:10">
      <c r="B17" s="4" t="s">
        <v>32</v>
      </c>
      <c r="C17" s="20">
        <v>7.0000000000000007E-2</v>
      </c>
    </row>
    <row r="18" spans="2:10">
      <c r="B18" s="4" t="s">
        <v>33</v>
      </c>
      <c r="C18" s="20">
        <v>0.1</v>
      </c>
      <c r="D18" t="s">
        <v>34</v>
      </c>
      <c r="G18" s="12" t="s">
        <v>35</v>
      </c>
      <c r="H18" s="13"/>
      <c r="I18" s="13"/>
      <c r="J18" s="13"/>
    </row>
    <row r="19" spans="2:10">
      <c r="B19" s="4" t="s">
        <v>36</v>
      </c>
      <c r="C19" s="21">
        <v>2.2499999999999999E-2</v>
      </c>
      <c r="G19" s="11" t="s">
        <v>37</v>
      </c>
      <c r="H19" s="11" t="s">
        <v>38</v>
      </c>
      <c r="I19" s="59" t="s">
        <v>39</v>
      </c>
    </row>
    <row r="20" spans="2:10">
      <c r="B20" s="4" t="s">
        <v>40</v>
      </c>
      <c r="C20" s="19">
        <v>930</v>
      </c>
      <c r="D20" t="s">
        <v>41</v>
      </c>
      <c r="G20" s="8" t="s">
        <v>42</v>
      </c>
      <c r="H20" s="15">
        <v>75000</v>
      </c>
      <c r="I20" t="s">
        <v>43</v>
      </c>
    </row>
    <row r="21" spans="2:10">
      <c r="B21" s="4" t="s">
        <v>44</v>
      </c>
      <c r="C21" s="20">
        <v>0.3</v>
      </c>
      <c r="G21" s="8" t="s">
        <v>45</v>
      </c>
      <c r="H21" s="15">
        <v>100000</v>
      </c>
      <c r="I21" t="s">
        <v>46</v>
      </c>
    </row>
    <row r="22" spans="2:10">
      <c r="B22" s="4" t="s">
        <v>47</v>
      </c>
      <c r="C22" s="1">
        <v>0.1</v>
      </c>
      <c r="D22" t="s">
        <v>48</v>
      </c>
      <c r="G22" s="8" t="s">
        <v>49</v>
      </c>
      <c r="H22" s="15">
        <v>200000</v>
      </c>
      <c r="I22" t="s">
        <v>50</v>
      </c>
    </row>
    <row r="23" spans="2:10">
      <c r="B23" s="8" t="s">
        <v>51</v>
      </c>
      <c r="C23" s="7">
        <v>7</v>
      </c>
      <c r="G23" s="8" t="s">
        <v>52</v>
      </c>
      <c r="H23" s="15">
        <v>150000</v>
      </c>
      <c r="I23" t="s">
        <v>53</v>
      </c>
    </row>
    <row r="24" spans="2:10">
      <c r="B24" t="s">
        <v>54</v>
      </c>
      <c r="C24" s="6" t="s">
        <v>55</v>
      </c>
      <c r="G24" s="8" t="s">
        <v>56</v>
      </c>
      <c r="H24" s="15">
        <v>7</v>
      </c>
      <c r="I24" t="s">
        <v>57</v>
      </c>
    </row>
    <row r="25" spans="2:10">
      <c r="B25" s="58" t="s">
        <v>13</v>
      </c>
      <c r="C25" s="10" t="s">
        <v>58</v>
      </c>
      <c r="G25" s="8"/>
      <c r="H25" s="19"/>
    </row>
    <row r="26" spans="2:10">
      <c r="B26" s="8" t="s">
        <v>59</v>
      </c>
      <c r="C26" s="7">
        <v>500</v>
      </c>
      <c r="G26" s="12" t="s">
        <v>60</v>
      </c>
      <c r="H26" s="13"/>
      <c r="I26" s="13"/>
      <c r="J26" s="13"/>
    </row>
    <row r="27" spans="2:10">
      <c r="B27" s="8" t="s">
        <v>61</v>
      </c>
      <c r="C27" s="7">
        <v>900</v>
      </c>
      <c r="G27" s="8" t="s">
        <v>62</v>
      </c>
      <c r="H27" s="15">
        <v>410</v>
      </c>
    </row>
    <row r="28" spans="2:10">
      <c r="B28" s="8" t="s">
        <v>63</v>
      </c>
      <c r="C28" s="7">
        <v>1500</v>
      </c>
      <c r="G28" s="8" t="s">
        <v>64</v>
      </c>
      <c r="H28" s="15">
        <v>90</v>
      </c>
    </row>
    <row r="29" spans="2:10">
      <c r="B29" s="8"/>
      <c r="C29" s="7"/>
      <c r="G29" s="8"/>
      <c r="H29" s="15"/>
    </row>
    <row r="30" spans="2:10">
      <c r="B30" s="8"/>
      <c r="C30" s="7"/>
      <c r="G30" s="41" t="s">
        <v>60</v>
      </c>
      <c r="H30" s="37">
        <f>SUM(H27:H29)</f>
        <v>500</v>
      </c>
      <c r="I30" s="38"/>
      <c r="J30" s="38"/>
    </row>
    <row r="31" spans="2:10">
      <c r="B31" s="12" t="s">
        <v>65</v>
      </c>
      <c r="C31" s="12"/>
    </row>
    <row r="32" spans="2:10">
      <c r="B32" s="11" t="s">
        <v>37</v>
      </c>
      <c r="C32" s="11" t="s">
        <v>66</v>
      </c>
    </row>
    <row r="33" spans="2:3">
      <c r="B33" s="8" t="s">
        <v>67</v>
      </c>
      <c r="C33" s="17">
        <f>J9</f>
        <v>325000</v>
      </c>
    </row>
    <row r="34" spans="2:3">
      <c r="B34" s="8" t="s">
        <v>68</v>
      </c>
      <c r="C34" s="16">
        <f>SUM(H20:H21)</f>
        <v>175000</v>
      </c>
    </row>
    <row r="35" spans="2:3">
      <c r="B35" s="8" t="s">
        <v>69</v>
      </c>
      <c r="C35" s="17">
        <f>H23</f>
        <v>150000</v>
      </c>
    </row>
    <row r="36" spans="2:3">
      <c r="B36" s="8" t="s">
        <v>70</v>
      </c>
      <c r="C36" s="16">
        <f>H22 + 50000</f>
        <v>250000</v>
      </c>
    </row>
    <row r="37" spans="2:3">
      <c r="B37" s="39" t="s">
        <v>71</v>
      </c>
      <c r="C37" s="40">
        <f>SUM(C33:C36)</f>
        <v>900000</v>
      </c>
    </row>
  </sheetData>
  <mergeCells count="3">
    <mergeCell ref="G7:J7"/>
    <mergeCell ref="B5:J5"/>
    <mergeCell ref="L7:Q7"/>
  </mergeCells>
  <pageMargins left="0.70866141732283472" right="0.70866141732283472" top="0.74803149606299213" bottom="0.74803149606299213" header="0.31496062992125984" footer="0.31496062992125984"/>
  <pageSetup paperSize="24" orientation="landscape" r:id="rId1"/>
  <ignoredErrors>
    <ignoredError sqref="C34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4DAA-AFD1-4B22-825E-005B8F61A2E9}">
  <sheetPr>
    <tabColor rgb="FFFF0000"/>
    <pageSetUpPr autoPageBreaks="0"/>
  </sheetPr>
  <dimension ref="B2:Z46"/>
  <sheetViews>
    <sheetView showGridLines="0" topLeftCell="B1" zoomScale="49" zoomScaleNormal="145" workbookViewId="0">
      <selection activeCell="AA23" sqref="AA23"/>
    </sheetView>
  </sheetViews>
  <sheetFormatPr defaultRowHeight="14.45"/>
  <cols>
    <col min="1" max="1" width="1.85546875" customWidth="1"/>
    <col min="2" max="2" width="34" customWidth="1"/>
    <col min="3" max="3" width="16.85546875" customWidth="1"/>
    <col min="4" max="5" width="16.85546875" bestFit="1" customWidth="1"/>
    <col min="6" max="15" width="17.42578125" bestFit="1" customWidth="1"/>
    <col min="16" max="16" width="17.85546875" bestFit="1" customWidth="1"/>
    <col min="17" max="17" width="18.28515625" bestFit="1" customWidth="1"/>
    <col min="18" max="19" width="17.85546875" bestFit="1" customWidth="1"/>
    <col min="20" max="20" width="18.28515625" bestFit="1" customWidth="1"/>
    <col min="21" max="22" width="18.7109375" bestFit="1" customWidth="1"/>
    <col min="23" max="26" width="18.28515625" bestFit="1" customWidth="1"/>
  </cols>
  <sheetData>
    <row r="2" spans="2:26">
      <c r="B2" s="68" t="s">
        <v>72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4" spans="2:26">
      <c r="B4" s="12" t="s">
        <v>73</v>
      </c>
      <c r="C4" s="23">
        <v>45839</v>
      </c>
      <c r="D4" s="23">
        <f>EDATE(C4,1)</f>
        <v>45870</v>
      </c>
      <c r="E4" s="23">
        <f t="shared" ref="E4:Z4" si="0">EDATE(D4,1)</f>
        <v>45901</v>
      </c>
      <c r="F4" s="23">
        <f t="shared" si="0"/>
        <v>45931</v>
      </c>
      <c r="G4" s="23">
        <f t="shared" si="0"/>
        <v>45962</v>
      </c>
      <c r="H4" s="23">
        <f t="shared" si="0"/>
        <v>45992</v>
      </c>
      <c r="I4" s="23">
        <f t="shared" si="0"/>
        <v>46023</v>
      </c>
      <c r="J4" s="23">
        <f t="shared" si="0"/>
        <v>46054</v>
      </c>
      <c r="K4" s="23">
        <f t="shared" si="0"/>
        <v>46082</v>
      </c>
      <c r="L4" s="23">
        <f t="shared" si="0"/>
        <v>46113</v>
      </c>
      <c r="M4" s="23">
        <f t="shared" si="0"/>
        <v>46143</v>
      </c>
      <c r="N4" s="23">
        <f t="shared" si="0"/>
        <v>46174</v>
      </c>
      <c r="O4" s="23">
        <f t="shared" si="0"/>
        <v>46204</v>
      </c>
      <c r="P4" s="23">
        <f t="shared" si="0"/>
        <v>46235</v>
      </c>
      <c r="Q4" s="23">
        <f t="shared" si="0"/>
        <v>46266</v>
      </c>
      <c r="R4" s="23">
        <f t="shared" si="0"/>
        <v>46296</v>
      </c>
      <c r="S4" s="23">
        <f t="shared" si="0"/>
        <v>46327</v>
      </c>
      <c r="T4" s="23">
        <f t="shared" si="0"/>
        <v>46357</v>
      </c>
      <c r="U4" s="23">
        <f t="shared" si="0"/>
        <v>46388</v>
      </c>
      <c r="V4" s="23">
        <f t="shared" si="0"/>
        <v>46419</v>
      </c>
      <c r="W4" s="23">
        <f t="shared" si="0"/>
        <v>46447</v>
      </c>
      <c r="X4" s="23">
        <f t="shared" si="0"/>
        <v>46478</v>
      </c>
      <c r="Y4" s="23">
        <f t="shared" si="0"/>
        <v>46508</v>
      </c>
      <c r="Z4" s="23">
        <f t="shared" si="0"/>
        <v>46539</v>
      </c>
    </row>
    <row r="6" spans="2:26">
      <c r="B6" s="30" t="s">
        <v>13</v>
      </c>
    </row>
    <row r="7" spans="2:26">
      <c r="B7" t="s">
        <v>59</v>
      </c>
      <c r="C7" s="31">
        <f>'Merch Sale Forecast'!C10*'Inputs and Assumptions'!$C$26</f>
        <v>21444.105374999999</v>
      </c>
      <c r="D7" s="31">
        <f>'Merch Sale Forecast'!D10*'Inputs and Assumptions'!$C$26</f>
        <v>24231.839073749998</v>
      </c>
      <c r="E7" s="31">
        <f>'Merch Sale Forecast'!E10*'Inputs and Assumptions'!$C$26</f>
        <v>27682.195628587499</v>
      </c>
      <c r="F7" s="31">
        <f>'Merch Sale Forecast'!F10*'Inputs and Assumptions'!$C$26</f>
        <v>31920.344282586368</v>
      </c>
      <c r="G7" s="31">
        <f>'Merch Sale Forecast'!G10*'Inputs and Assumptions'!$C$26</f>
        <v>37097.003000405319</v>
      </c>
      <c r="H7" s="31">
        <f>'Merch Sale Forecast'!H10*'Inputs and Assumptions'!$C$26</f>
        <v>43393.51217149695</v>
      </c>
      <c r="I7" s="31">
        <f>'Merch Sale Forecast'!I10*'Inputs and Assumptions'!$C$26</f>
        <v>51027.925576836155</v>
      </c>
      <c r="J7" s="31">
        <f>'Merch Sale Forecast'!J10*'Inputs and Assumptions'!$C$26</f>
        <v>60262.321895270426</v>
      </c>
      <c r="K7" s="31">
        <f>'Merch Sale Forecast'!K10*'Inputs and Assumptions'!$C$26</f>
        <v>71411.580693176846</v>
      </c>
      <c r="L7" s="31">
        <f>'Merch Sale Forecast'!L10*'Inputs and Assumptions'!$C$26</f>
        <v>84853.915641344895</v>
      </c>
      <c r="M7" s="31">
        <f>'Merch Sale Forecast'!M10*'Inputs and Assumptions'!$C$26</f>
        <v>101043.51626247926</v>
      </c>
      <c r="N7" s="31">
        <f>'Merch Sale Forecast'!N10*'Inputs and Assumptions'!$C$26</f>
        <v>120525.71978333991</v>
      </c>
      <c r="O7" s="31">
        <f>'Merch Sale Forecast'!O10*'Inputs and Assumptions'!$C$26</f>
        <v>143955.21898958716</v>
      </c>
      <c r="P7" s="31">
        <f>'Merch Sale Forecast'!P10*'Inputs and Assumptions'!$C$26</f>
        <v>172117.91316961325</v>
      </c>
      <c r="Q7" s="31">
        <f>'Merch Sale Forecast'!Q10*'Inputs and Assumptions'!$C$26</f>
        <v>205957.13065889702</v>
      </c>
      <c r="R7" s="31">
        <f>'Merch Sale Forecast'!R10*'Inputs and Assumptions'!$C$26</f>
        <v>246605.09720616226</v>
      </c>
      <c r="S7" s="31">
        <f>'Merch Sale Forecast'!S10*'Inputs and Assumptions'!$C$26</f>
        <v>295420.69923379656</v>
      </c>
      <c r="T7" s="31">
        <f>'Merch Sale Forecast'!T10*'Inputs and Assumptions'!$C$26</f>
        <v>354034.80088590947</v>
      </c>
      <c r="U7" s="31">
        <f>'Merch Sale Forecast'!U10*'Inputs and Assumptions'!$C$26</f>
        <v>424404.62554207037</v>
      </c>
      <c r="V7" s="31">
        <f>'Merch Sale Forecast'!V10*'Inputs and Assumptions'!$C$26</f>
        <v>508879.01461593492</v>
      </c>
      <c r="W7" s="31">
        <f>'Merch Sale Forecast'!W10*'Inputs and Assumptions'!$C$26</f>
        <v>610276.73902699072</v>
      </c>
      <c r="X7" s="31">
        <f>'Merch Sale Forecast'!X10*'Inputs and Assumptions'!$C$26</f>
        <v>731980.47381610691</v>
      </c>
      <c r="Y7" s="31">
        <f>'Merch Sale Forecast'!Y10*'Inputs and Assumptions'!$C$26</f>
        <v>878049.56847418624</v>
      </c>
      <c r="Z7" s="31">
        <f>'Merch Sale Forecast'!Z10*'Inputs and Assumptions'!$C$26</f>
        <v>1053355.372071241</v>
      </c>
    </row>
    <row r="8" spans="2:26">
      <c r="B8" t="s">
        <v>61</v>
      </c>
      <c r="C8" s="31">
        <f>'Inputs and Assumptions'!$C$27*'Merch Sale Forecast'!C11</f>
        <v>59838.897825000007</v>
      </c>
      <c r="D8" s="31">
        <f>'Inputs and Assumptions'!$C$27*'Merch Sale Forecast'!D11</f>
        <v>67617.954542249994</v>
      </c>
      <c r="E8" s="31">
        <f>'Inputs and Assumptions'!$C$27*'Merch Sale Forecast'!E11</f>
        <v>77246.033202292514</v>
      </c>
      <c r="F8" s="31">
        <f>'Inputs and Assumptions'!$C$27*'Merch Sale Forecast'!F11</f>
        <v>89072.413451732005</v>
      </c>
      <c r="G8" s="31">
        <f>'Inputs and Assumptions'!$C$27*'Merch Sale Forecast'!G11</f>
        <v>103517.66759843077</v>
      </c>
      <c r="H8" s="31">
        <f>'Inputs and Assumptions'!$C$27*'Merch Sale Forecast'!H11</f>
        <v>121087.81857252461</v>
      </c>
      <c r="I8" s="31">
        <f>'Inputs and Assumptions'!$C$27*'Merch Sale Forecast'!I11</f>
        <v>142391.33651962868</v>
      </c>
      <c r="J8" s="31">
        <f>'Inputs and Assumptions'!$C$27*'Merch Sale Forecast'!J11</f>
        <v>168159.54125987165</v>
      </c>
      <c r="K8" s="31">
        <f>'Inputs and Assumptions'!$C$27*'Merch Sale Forecast'!K11</f>
        <v>199271.09132762096</v>
      </c>
      <c r="L8" s="31">
        <f>'Inputs and Assumptions'!$C$27*'Merch Sale Forecast'!L11</f>
        <v>236781.37648181591</v>
      </c>
      <c r="M8" s="31">
        <f>'Inputs and Assumptions'!$C$27*'Merch Sale Forecast'!M11</f>
        <v>281957.79398464289</v>
      </c>
      <c r="N8" s="31">
        <f>'Inputs and Assumptions'!$C$27*'Merch Sale Forecast'!N11</f>
        <v>336322.08503358276</v>
      </c>
      <c r="O8" s="31">
        <f>'Inputs and Assumptions'!$C$27*'Merch Sale Forecast'!O11</f>
        <v>401701.1430346698</v>
      </c>
      <c r="P8" s="31">
        <f>'Inputs and Assumptions'!$C$27*'Merch Sale Forecast'!P11</f>
        <v>480287.98776636814</v>
      </c>
      <c r="Q8" s="31">
        <f>'Inputs and Assumptions'!$C$27*'Merch Sale Forecast'!Q11</f>
        <v>574714.93831567292</v>
      </c>
      <c r="R8" s="31">
        <f>'Inputs and Assumptions'!$C$27*'Merch Sale Forecast'!R11</f>
        <v>688141.42426511645</v>
      </c>
      <c r="S8" s="31">
        <f>'Inputs and Assumptions'!$C$27*'Merch Sale Forecast'!S11</f>
        <v>824359.36252440698</v>
      </c>
      <c r="T8" s="31">
        <f>'Inputs and Assumptions'!$C$27*'Merch Sale Forecast'!T11</f>
        <v>987919.61269711691</v>
      </c>
      <c r="U8" s="31">
        <f>'Inputs and Assumptions'!$C$27*'Merch Sale Forecast'!U11</f>
        <v>1184283.7264676208</v>
      </c>
      <c r="V8" s="31">
        <f>'Inputs and Assumptions'!$C$27*'Merch Sale Forecast'!V11</f>
        <v>1420006.0496060501</v>
      </c>
      <c r="W8" s="31">
        <f>'Inputs and Assumptions'!$C$27*'Merch Sale Forecast'!W11</f>
        <v>1702952.2469230217</v>
      </c>
      <c r="X8" s="31">
        <f>'Inputs and Assumptions'!$C$27*'Merch Sale Forecast'!X11</f>
        <v>2042561.5345856845</v>
      </c>
      <c r="Y8" s="31">
        <f>'Inputs and Assumptions'!$C$27*'Merch Sale Forecast'!Y11</f>
        <v>2450161.3611014155</v>
      </c>
      <c r="Z8" s="31">
        <f>'Inputs and Assumptions'!$C$27*'Merch Sale Forecast'!Z11</f>
        <v>2939345.0265483903</v>
      </c>
    </row>
    <row r="9" spans="2:26">
      <c r="B9" t="s">
        <v>63</v>
      </c>
      <c r="C9" s="31">
        <f>'Inputs and Assumptions'!$C$28*'Merch Sale Forecast'!C12</f>
        <v>28952.437500000004</v>
      </c>
      <c r="D9" s="31">
        <f>'Inputs and Assumptions'!$C$28*'Merch Sale Forecast'!D12</f>
        <v>32716.254374999997</v>
      </c>
      <c r="E9" s="31">
        <f>'Inputs and Assumptions'!$C$28*'Merch Sale Forecast'!E12</f>
        <v>37374.701568749995</v>
      </c>
      <c r="F9" s="31">
        <f>'Inputs and Assumptions'!$C$28*'Merch Sale Forecast'!F12</f>
        <v>43096.774458937492</v>
      </c>
      <c r="G9" s="31">
        <f>'Inputs and Assumptions'!$C$28*'Merch Sale Forecast'!G12</f>
        <v>50085.962646811866</v>
      </c>
      <c r="H9" s="31">
        <f>'Inputs and Assumptions'!$C$28*'Merch Sale Forecast'!H12</f>
        <v>58587.100141535033</v>
      </c>
      <c r="I9" s="31">
        <f>'Inputs and Assumptions'!$C$28*'Merch Sale Forecast'!I12</f>
        <v>68894.588987627576</v>
      </c>
      <c r="J9" s="31">
        <f>'Inputs and Assumptions'!$C$28*'Merch Sale Forecast'!J12</f>
        <v>81362.270785693632</v>
      </c>
      <c r="K9" s="31">
        <f>'Inputs and Assumptions'!$C$28*'Merch Sale Forecast'!K12</f>
        <v>96415.275463335071</v>
      </c>
      <c r="L9" s="31">
        <f>'Inputs and Assumptions'!$C$28*'Merch Sale Forecast'!L12</f>
        <v>114564.24254006961</v>
      </c>
      <c r="M9" s="31">
        <f>'Inputs and Assumptions'!$C$28*'Merch Sale Forecast'!M12</f>
        <v>136422.38919326631</v>
      </c>
      <c r="N9" s="31">
        <f>'Inputs and Assumptions'!$C$28*'Merch Sale Forecast'!N12</f>
        <v>162725.99430693957</v>
      </c>
      <c r="O9" s="31">
        <f>'Inputs and Assumptions'!$C$28*'Merch Sale Forecast'!O12</f>
        <v>194358.98153409606</v>
      </c>
      <c r="P9" s="31">
        <f>'Inputs and Assumptions'!$C$28*'Merch Sale Forecast'!P12</f>
        <v>232382.42102108002</v>
      </c>
      <c r="Q9" s="31">
        <f>'Inputs and Assumptions'!$C$28*'Merch Sale Forecast'!Q12</f>
        <v>278069.93338284927</v>
      </c>
      <c r="R9" s="31">
        <f>'Inputs and Assumptions'!$C$28*'Merch Sale Forecast'!R12</f>
        <v>332950.17624594364</v>
      </c>
      <c r="S9" s="31">
        <f>'Inputs and Assumptions'!$C$28*'Merch Sale Forecast'!S12</f>
        <v>398857.8297486002</v>
      </c>
      <c r="T9" s="31">
        <f>'Inputs and Assumptions'!$C$28*'Merch Sale Forecast'!T12</f>
        <v>477994.78067404521</v>
      </c>
      <c r="U9" s="31">
        <f>'Inputs and Assumptions'!$C$28*'Merch Sale Forecast'!U12</f>
        <v>573003.54483627866</v>
      </c>
      <c r="V9" s="31">
        <f>'Inputs and Assumptions'!$C$28*'Merch Sale Forecast'!V12</f>
        <v>687055.37526903907</v>
      </c>
      <c r="W9" s="31">
        <f>'Inputs and Assumptions'!$C$28*'Merch Sale Forecast'!W12</f>
        <v>823955.99328576622</v>
      </c>
      <c r="X9" s="31">
        <f>'Inputs and Assumptions'!$C$28*'Merch Sale Forecast'!X12</f>
        <v>988272.46689843433</v>
      </c>
      <c r="Y9" s="31">
        <f>'Inputs and Assumptions'!$C$28*'Merch Sale Forecast'!Y12</f>
        <v>1185485.4659867501</v>
      </c>
      <c r="Z9" s="31">
        <f>'Inputs and Assumptions'!$C$28*'Merch Sale Forecast'!Z12</f>
        <v>1422171.9694931246</v>
      </c>
    </row>
    <row r="10" spans="2:26">
      <c r="B10" s="11" t="s">
        <v>74</v>
      </c>
      <c r="C10" s="32">
        <f>SUM(C7:C9)</f>
        <v>110235.44070000001</v>
      </c>
      <c r="D10" s="32">
        <f t="shared" ref="D10:N10" si="1">SUM(D7:D9)</f>
        <v>124566.047991</v>
      </c>
      <c r="E10" s="32">
        <f t="shared" si="1"/>
        <v>142302.93039963002</v>
      </c>
      <c r="F10" s="32">
        <f t="shared" si="1"/>
        <v>164089.53219325587</v>
      </c>
      <c r="G10" s="32">
        <f t="shared" si="1"/>
        <v>190700.63324564794</v>
      </c>
      <c r="H10" s="32">
        <f t="shared" si="1"/>
        <v>223068.43088555662</v>
      </c>
      <c r="I10" s="32">
        <f t="shared" si="1"/>
        <v>262313.8510840924</v>
      </c>
      <c r="J10" s="32">
        <f t="shared" si="1"/>
        <v>309784.13394083572</v>
      </c>
      <c r="K10" s="32">
        <f t="shared" si="1"/>
        <v>367097.94748413283</v>
      </c>
      <c r="L10" s="32">
        <f t="shared" si="1"/>
        <v>436199.53466323041</v>
      </c>
      <c r="M10" s="32">
        <f t="shared" si="1"/>
        <v>519423.69944038847</v>
      </c>
      <c r="N10" s="32">
        <f t="shared" si="1"/>
        <v>619573.79912386218</v>
      </c>
      <c r="O10" s="32">
        <f t="shared" ref="O10" si="2">SUM(O7:O9)</f>
        <v>740015.34355835302</v>
      </c>
      <c r="P10" s="32">
        <f t="shared" ref="P10" si="3">SUM(P7:P9)</f>
        <v>884788.32195706142</v>
      </c>
      <c r="Q10" s="32">
        <f t="shared" ref="Q10" si="4">SUM(Q7:Q9)</f>
        <v>1058742.0023574191</v>
      </c>
      <c r="R10" s="32">
        <f t="shared" ref="R10" si="5">SUM(R7:R9)</f>
        <v>1267696.6977172224</v>
      </c>
      <c r="S10" s="32">
        <f t="shared" ref="S10" si="6">SUM(S7:S9)</f>
        <v>1518637.8915068037</v>
      </c>
      <c r="T10" s="32">
        <f t="shared" ref="T10" si="7">SUM(T7:T9)</f>
        <v>1819949.1942570715</v>
      </c>
      <c r="U10" s="32">
        <f t="shared" ref="U10" si="8">SUM(U7:U9)</f>
        <v>2181691.8968459698</v>
      </c>
      <c r="V10" s="32">
        <f t="shared" ref="V10" si="9">SUM(V7:V9)</f>
        <v>2615940.4394910242</v>
      </c>
      <c r="W10" s="32">
        <f t="shared" ref="W10" si="10">SUM(W7:W9)</f>
        <v>3137184.979235779</v>
      </c>
      <c r="X10" s="32">
        <f t="shared" ref="X10" si="11">SUM(X7:X9)</f>
        <v>3762814.4753002259</v>
      </c>
      <c r="Y10" s="32">
        <f t="shared" ref="Y10" si="12">SUM(Y7:Y9)</f>
        <v>4513696.3955623517</v>
      </c>
      <c r="Z10" s="32">
        <f t="shared" ref="Z10" si="13">SUM(Z7:Z9)</f>
        <v>5414872.3681127559</v>
      </c>
    </row>
    <row r="11" spans="2:26">
      <c r="B11" t="s">
        <v>75</v>
      </c>
      <c r="C11" s="14">
        <f>C10*'Inputs and Assumptions'!$C$18</f>
        <v>11023.544070000002</v>
      </c>
      <c r="D11" s="14">
        <f>D10*'Inputs and Assumptions'!$C$18</f>
        <v>12456.604799100001</v>
      </c>
      <c r="E11" s="14">
        <f>E10*'Inputs and Assumptions'!$C$18</f>
        <v>14230.293039963002</v>
      </c>
      <c r="F11" s="14">
        <f>F10*'Inputs and Assumptions'!$C$18</f>
        <v>16408.953219325587</v>
      </c>
      <c r="G11" s="14">
        <f>G10*'Inputs and Assumptions'!$C$18</f>
        <v>19070.063324564795</v>
      </c>
      <c r="H11" s="14">
        <f>H10*'Inputs and Assumptions'!$C$18</f>
        <v>22306.843088555663</v>
      </c>
      <c r="I11" s="14">
        <f>I10*'Inputs and Assumptions'!$C$18</f>
        <v>26231.385108409242</v>
      </c>
      <c r="J11" s="14">
        <f>J10*'Inputs and Assumptions'!$C$18</f>
        <v>30978.413394083575</v>
      </c>
      <c r="K11" s="14">
        <f>K10*'Inputs and Assumptions'!$C$18</f>
        <v>36709.794748413282</v>
      </c>
      <c r="L11" s="14">
        <f>L10*'Inputs and Assumptions'!$C$18</f>
        <v>43619.953466323044</v>
      </c>
      <c r="M11" s="14">
        <f>M10*'Inputs and Assumptions'!$C$18</f>
        <v>51942.369944038852</v>
      </c>
      <c r="N11" s="14">
        <f>N10*'Inputs and Assumptions'!$C$18</f>
        <v>61957.379912386219</v>
      </c>
      <c r="O11" s="14">
        <f>O10*'Inputs and Assumptions'!$C$18</f>
        <v>74001.534355835305</v>
      </c>
      <c r="P11" s="14">
        <f>P10*'Inputs and Assumptions'!$C$18</f>
        <v>88478.832195706142</v>
      </c>
      <c r="Q11" s="14">
        <f>Q10*'Inputs and Assumptions'!$C$18</f>
        <v>105874.20023574191</v>
      </c>
      <c r="R11" s="14">
        <f>R10*'Inputs and Assumptions'!$C$18</f>
        <v>126769.66977172224</v>
      </c>
      <c r="S11" s="14">
        <f>S10*'Inputs and Assumptions'!$C$18</f>
        <v>151863.78915068039</v>
      </c>
      <c r="T11" s="14">
        <f>T10*'Inputs and Assumptions'!$C$18</f>
        <v>181994.91942570716</v>
      </c>
      <c r="U11" s="14">
        <f>U10*'Inputs and Assumptions'!$C$18</f>
        <v>218169.18968459699</v>
      </c>
      <c r="V11" s="14">
        <f>V10*'Inputs and Assumptions'!$C$18</f>
        <v>261594.04394910243</v>
      </c>
      <c r="W11" s="14">
        <f>W10*'Inputs and Assumptions'!$C$18</f>
        <v>313718.4979235779</v>
      </c>
      <c r="X11" s="14">
        <f>X10*'Inputs and Assumptions'!$C$18</f>
        <v>376281.44753002259</v>
      </c>
      <c r="Y11" s="14">
        <f>Y10*'Inputs and Assumptions'!$C$18</f>
        <v>451369.63955623517</v>
      </c>
      <c r="Z11" s="14">
        <f>Z10*'Inputs and Assumptions'!$C$18</f>
        <v>541487.23681127559</v>
      </c>
    </row>
    <row r="12" spans="2:26">
      <c r="B12" s="26" t="s">
        <v>76</v>
      </c>
      <c r="C12" s="36">
        <f>C10-C11</f>
        <v>99211.896630000003</v>
      </c>
      <c r="D12" s="36">
        <f t="shared" ref="D12:N12" si="14">D10-D11</f>
        <v>112109.44319190001</v>
      </c>
      <c r="E12" s="36">
        <f t="shared" si="14"/>
        <v>128072.63735966702</v>
      </c>
      <c r="F12" s="36">
        <f t="shared" si="14"/>
        <v>147680.57897393027</v>
      </c>
      <c r="G12" s="36">
        <f t="shared" si="14"/>
        <v>171630.56992108314</v>
      </c>
      <c r="H12" s="36">
        <f t="shared" si="14"/>
        <v>200761.58779700095</v>
      </c>
      <c r="I12" s="36">
        <f t="shared" si="14"/>
        <v>236082.46597568315</v>
      </c>
      <c r="J12" s="36">
        <f t="shared" si="14"/>
        <v>278805.72054675216</v>
      </c>
      <c r="K12" s="36">
        <f t="shared" si="14"/>
        <v>330388.15273571957</v>
      </c>
      <c r="L12" s="36">
        <f t="shared" si="14"/>
        <v>392579.58119690738</v>
      </c>
      <c r="M12" s="36">
        <f t="shared" si="14"/>
        <v>467481.32949634962</v>
      </c>
      <c r="N12" s="36">
        <f t="shared" si="14"/>
        <v>557616.41921147599</v>
      </c>
      <c r="O12" s="36">
        <f t="shared" ref="O12" si="15">O10-O11</f>
        <v>666013.80920251773</v>
      </c>
      <c r="P12" s="36">
        <f t="shared" ref="P12" si="16">P10-P11</f>
        <v>796309.48976135533</v>
      </c>
      <c r="Q12" s="36">
        <f t="shared" ref="Q12" si="17">Q10-Q11</f>
        <v>952867.8021216772</v>
      </c>
      <c r="R12" s="36">
        <f t="shared" ref="R12" si="18">R10-R11</f>
        <v>1140927.0279455001</v>
      </c>
      <c r="S12" s="36">
        <f t="shared" ref="S12" si="19">S10-S11</f>
        <v>1366774.1023561233</v>
      </c>
      <c r="T12" s="36">
        <f t="shared" ref="T12" si="20">T10-T11</f>
        <v>1637954.2748313644</v>
      </c>
      <c r="U12" s="36">
        <f t="shared" ref="U12" si="21">U10-U11</f>
        <v>1963522.7071613728</v>
      </c>
      <c r="V12" s="36">
        <f t="shared" ref="V12" si="22">V10-V11</f>
        <v>2354346.3955419217</v>
      </c>
      <c r="W12" s="36">
        <f t="shared" ref="W12" si="23">W10-W11</f>
        <v>2823466.4813122014</v>
      </c>
      <c r="X12" s="36">
        <f t="shared" ref="X12" si="24">X10-X11</f>
        <v>3386533.0277702035</v>
      </c>
      <c r="Y12" s="36">
        <f t="shared" ref="Y12" si="25">Y10-Y11</f>
        <v>4062326.7560061165</v>
      </c>
      <c r="Z12" s="36">
        <f t="shared" ref="Z12" si="26">Z10-Z11</f>
        <v>4873385.1313014803</v>
      </c>
    </row>
    <row r="13" spans="2:26">
      <c r="B13" t="s">
        <v>62</v>
      </c>
      <c r="C13">
        <f>'Inputs and Assumptions'!$H$27*'Merch Sale Forecast'!C6</f>
        <v>52757.775000000001</v>
      </c>
      <c r="D13">
        <f>'Inputs and Assumptions'!$H$27*'Merch Sale Forecast'!D6</f>
        <v>59616.285750000003</v>
      </c>
      <c r="E13">
        <f>'Inputs and Assumptions'!$H$27*'Merch Sale Forecast'!E6</f>
        <v>68105.011747500001</v>
      </c>
      <c r="F13">
        <f>'Inputs and Assumptions'!$H$27*'Merch Sale Forecast'!F6</f>
        <v>78531.900125174987</v>
      </c>
      <c r="G13">
        <f>'Inputs and Assumptions'!$H$27*'Merch Sale Forecast'!G6</f>
        <v>91267.754156412731</v>
      </c>
      <c r="H13">
        <f>'Inputs and Assumptions'!$H$27*'Merch Sale Forecast'!H6</f>
        <v>106758.71581346384</v>
      </c>
      <c r="I13">
        <f>'Inputs and Assumptions'!$H$27*'Merch Sale Forecast'!I6</f>
        <v>125541.25104412135</v>
      </c>
      <c r="J13">
        <f>'Inputs and Assumptions'!$H$27*'Merch Sale Forecast'!J6</f>
        <v>148260.13787615285</v>
      </c>
      <c r="K13">
        <f>'Inputs and Assumptions'!$H$27*'Merch Sale Forecast'!K6</f>
        <v>175690.05751096614</v>
      </c>
      <c r="L13">
        <f>'Inputs and Assumptions'!$H$27*'Merch Sale Forecast'!L6</f>
        <v>208761.50862857132</v>
      </c>
      <c r="M13">
        <f>'Inputs and Assumptions'!$H$27*'Merch Sale Forecast'!M6</f>
        <v>248591.90919661862</v>
      </c>
      <c r="N13">
        <f>'Inputs and Assumptions'!$H$27*'Merch Sale Forecast'!N6</f>
        <v>296522.9229593121</v>
      </c>
      <c r="O13">
        <f>'Inputs and Assumptions'!$H$27*'Merch Sale Forecast'!O6</f>
        <v>354165.25523990841</v>
      </c>
      <c r="P13">
        <f>'Inputs and Assumptions'!$H$27*'Merch Sale Forecast'!P6</f>
        <v>423452.41163841245</v>
      </c>
      <c r="Q13">
        <f>'Inputs and Assumptions'!$H$27*'Merch Sale Forecast'!Q6</f>
        <v>506705.21194208087</v>
      </c>
      <c r="R13">
        <f>'Inputs and Assumptions'!$H$27*'Merch Sale Forecast'!R6</f>
        <v>606709.21004816401</v>
      </c>
      <c r="S13">
        <f>'Inputs and Assumptions'!$H$27*'Merch Sale Forecast'!S6</f>
        <v>726807.60087522701</v>
      </c>
      <c r="T13">
        <f>'Inputs and Assumptions'!$H$27*'Merch Sale Forecast'!T6</f>
        <v>871012.71145048249</v>
      </c>
      <c r="U13">
        <f>'Inputs and Assumptions'!$H$27*'Merch Sale Forecast'!U6</f>
        <v>1044139.7928127744</v>
      </c>
      <c r="V13">
        <f>'Inputs and Assumptions'!$H$27*'Merch Sale Forecast'!V6</f>
        <v>1251967.5727124712</v>
      </c>
      <c r="W13">
        <f>'Inputs and Assumptions'!$H$27*'Merch Sale Forecast'!W6</f>
        <v>1501430.9210985072</v>
      </c>
      <c r="X13">
        <f>'Inputs and Assumptions'!$H$27*'Merch Sale Forecast'!X6</f>
        <v>1800852.0507927025</v>
      </c>
      <c r="Y13">
        <f>'Inputs and Assumptions'!$H$27*'Merch Sale Forecast'!Y6</f>
        <v>2160217.9602425224</v>
      </c>
      <c r="Z13">
        <f>'Inputs and Assumptions'!$H$27*'Merch Sale Forecast'!Z6</f>
        <v>2591513.3666319163</v>
      </c>
    </row>
    <row r="14" spans="2:26">
      <c r="B14" t="s">
        <v>77</v>
      </c>
      <c r="C14">
        <f>'Inputs and Assumptions'!$H$28*'Merch Sale Forecast'!C6</f>
        <v>11580.975</v>
      </c>
      <c r="D14">
        <f>'Inputs and Assumptions'!$H$28*'Merch Sale Forecast'!D6</f>
        <v>13086.501749999999</v>
      </c>
      <c r="E14">
        <f>'Inputs and Assumptions'!$H$28*'Merch Sale Forecast'!E6</f>
        <v>14949.880627499999</v>
      </c>
      <c r="F14">
        <f>'Inputs and Assumptions'!$H$28*'Merch Sale Forecast'!F6</f>
        <v>17238.709783574996</v>
      </c>
      <c r="G14">
        <f>'Inputs and Assumptions'!$H$28*'Merch Sale Forecast'!G6</f>
        <v>20034.385058724743</v>
      </c>
      <c r="H14">
        <f>'Inputs and Assumptions'!$H$28*'Merch Sale Forecast'!H6</f>
        <v>23434.840056614015</v>
      </c>
      <c r="I14">
        <f>'Inputs and Assumptions'!$H$28*'Merch Sale Forecast'!I6</f>
        <v>27557.83559505103</v>
      </c>
      <c r="J14">
        <f>'Inputs and Assumptions'!$H$28*'Merch Sale Forecast'!J6</f>
        <v>32544.908314277458</v>
      </c>
      <c r="K14">
        <f>'Inputs and Assumptions'!$H$28*'Merch Sale Forecast'!K6</f>
        <v>38566.11018533403</v>
      </c>
      <c r="L14">
        <f>'Inputs and Assumptions'!$H$28*'Merch Sale Forecast'!L6</f>
        <v>45825.697016027851</v>
      </c>
      <c r="M14">
        <f>'Inputs and Assumptions'!$H$28*'Merch Sale Forecast'!M6</f>
        <v>54568.955677306527</v>
      </c>
      <c r="N14">
        <f>'Inputs and Assumptions'!$H$28*'Merch Sale Forecast'!N6</f>
        <v>65090.39772277583</v>
      </c>
      <c r="O14">
        <f>'Inputs and Assumptions'!$H$28*'Merch Sale Forecast'!O6</f>
        <v>77743.592613638437</v>
      </c>
      <c r="P14">
        <f>'Inputs and Assumptions'!$H$28*'Merch Sale Forecast'!P6</f>
        <v>92952.968408432003</v>
      </c>
      <c r="Q14">
        <f>'Inputs and Assumptions'!$H$28*'Merch Sale Forecast'!Q6</f>
        <v>111227.97335313971</v>
      </c>
      <c r="R14">
        <f>'Inputs and Assumptions'!$H$28*'Merch Sale Forecast'!R6</f>
        <v>133180.07049837746</v>
      </c>
      <c r="S14">
        <f>'Inputs and Assumptions'!$H$28*'Merch Sale Forecast'!S6</f>
        <v>159543.13189944008</v>
      </c>
      <c r="T14">
        <f>'Inputs and Assumptions'!$H$28*'Merch Sale Forecast'!T6</f>
        <v>191197.9122696181</v>
      </c>
      <c r="U14">
        <f>'Inputs and Assumptions'!$H$28*'Merch Sale Forecast'!U6</f>
        <v>229201.41793451147</v>
      </c>
      <c r="V14">
        <f>'Inputs and Assumptions'!$H$28*'Merch Sale Forecast'!V6</f>
        <v>274822.15010761563</v>
      </c>
      <c r="W14">
        <f>'Inputs and Assumptions'!$H$28*'Merch Sale Forecast'!W6</f>
        <v>329582.39731430646</v>
      </c>
      <c r="X14">
        <f>'Inputs and Assumptions'!$H$28*'Merch Sale Forecast'!X6</f>
        <v>395308.98675937374</v>
      </c>
      <c r="Y14">
        <f>'Inputs and Assumptions'!$H$28*'Merch Sale Forecast'!Y6</f>
        <v>474194.18639470008</v>
      </c>
      <c r="Z14">
        <f>'Inputs and Assumptions'!$H$28*'Merch Sale Forecast'!Z6</f>
        <v>568868.78779724985</v>
      </c>
    </row>
    <row r="15" spans="2:26">
      <c r="B15" s="11" t="s">
        <v>60</v>
      </c>
      <c r="C15" s="11">
        <f>SUM(C13:C14)</f>
        <v>64338.75</v>
      </c>
      <c r="D15" s="11">
        <f t="shared" ref="D15:N15" si="27">SUM(D13:D14)</f>
        <v>72702.787500000006</v>
      </c>
      <c r="E15" s="11">
        <f t="shared" si="27"/>
        <v>83054.892374999996</v>
      </c>
      <c r="F15" s="11">
        <f t="shared" si="27"/>
        <v>95770.60990874999</v>
      </c>
      <c r="G15" s="11">
        <f t="shared" si="27"/>
        <v>111302.13921513747</v>
      </c>
      <c r="H15" s="11">
        <f t="shared" si="27"/>
        <v>130193.55587007786</v>
      </c>
      <c r="I15" s="11">
        <f t="shared" si="27"/>
        <v>153099.0866391724</v>
      </c>
      <c r="J15" s="11">
        <f t="shared" si="27"/>
        <v>180805.04619043029</v>
      </c>
      <c r="K15" s="11">
        <f t="shared" si="27"/>
        <v>214256.16769630017</v>
      </c>
      <c r="L15" s="11">
        <f t="shared" si="27"/>
        <v>254587.20564459916</v>
      </c>
      <c r="M15" s="11">
        <f t="shared" si="27"/>
        <v>303160.86487392517</v>
      </c>
      <c r="N15" s="11">
        <f t="shared" si="27"/>
        <v>361613.32068208791</v>
      </c>
      <c r="O15" s="11">
        <f t="shared" ref="O15" si="28">SUM(O13:O14)</f>
        <v>431908.84785354685</v>
      </c>
      <c r="P15" s="11">
        <f t="shared" ref="P15" si="29">SUM(P13:P14)</f>
        <v>516405.38004684448</v>
      </c>
      <c r="Q15" s="11">
        <f t="shared" ref="Q15" si="30">SUM(Q13:Q14)</f>
        <v>617933.18529522058</v>
      </c>
      <c r="R15" s="11">
        <f t="shared" ref="R15" si="31">SUM(R13:R14)</f>
        <v>739889.28054654144</v>
      </c>
      <c r="S15" s="11">
        <f t="shared" ref="S15" si="32">SUM(S13:S14)</f>
        <v>886350.73277466709</v>
      </c>
      <c r="T15" s="11">
        <f t="shared" ref="T15" si="33">SUM(T13:T14)</f>
        <v>1062210.6237201006</v>
      </c>
      <c r="U15" s="11">
        <f t="shared" ref="U15" si="34">SUM(U13:U14)</f>
        <v>1273341.210747286</v>
      </c>
      <c r="V15" s="11">
        <f t="shared" ref="V15" si="35">SUM(V13:V14)</f>
        <v>1526789.7228200869</v>
      </c>
      <c r="W15" s="11">
        <f t="shared" ref="W15" si="36">SUM(W13:W14)</f>
        <v>1831013.3184128138</v>
      </c>
      <c r="X15" s="11">
        <f t="shared" ref="X15" si="37">SUM(X13:X14)</f>
        <v>2196161.0375520764</v>
      </c>
      <c r="Y15" s="11">
        <f t="shared" ref="Y15" si="38">SUM(Y13:Y14)</f>
        <v>2634412.1466372227</v>
      </c>
      <c r="Z15" s="11">
        <f t="shared" ref="Z15" si="39">SUM(Z13:Z14)</f>
        <v>3160382.1544291661</v>
      </c>
    </row>
    <row r="16" spans="2:26">
      <c r="B16" s="26" t="s">
        <v>78</v>
      </c>
      <c r="C16" s="36">
        <f t="shared" ref="C16:Z16" si="40">C12-C15</f>
        <v>34873.146630000003</v>
      </c>
      <c r="D16" s="36">
        <f t="shared" si="40"/>
        <v>39406.6556919</v>
      </c>
      <c r="E16" s="36">
        <f t="shared" si="40"/>
        <v>45017.744984667021</v>
      </c>
      <c r="F16" s="36">
        <f t="shared" si="40"/>
        <v>51909.969065180281</v>
      </c>
      <c r="G16" s="36">
        <f t="shared" si="40"/>
        <v>60328.430705945662</v>
      </c>
      <c r="H16" s="36">
        <f t="shared" si="40"/>
        <v>70568.031926923082</v>
      </c>
      <c r="I16" s="36">
        <f t="shared" si="40"/>
        <v>82983.379336510756</v>
      </c>
      <c r="J16" s="36">
        <f t="shared" si="40"/>
        <v>98000.674356321862</v>
      </c>
      <c r="K16" s="36">
        <f t="shared" si="40"/>
        <v>116131.98503941941</v>
      </c>
      <c r="L16" s="36">
        <f t="shared" si="40"/>
        <v>137992.37555230822</v>
      </c>
      <c r="M16" s="36">
        <f t="shared" si="40"/>
        <v>164320.46462242445</v>
      </c>
      <c r="N16" s="36">
        <f t="shared" si="40"/>
        <v>196003.09852938808</v>
      </c>
      <c r="O16" s="36">
        <f t="shared" si="40"/>
        <v>234104.96134897089</v>
      </c>
      <c r="P16" s="36">
        <f t="shared" si="40"/>
        <v>279904.10971451085</v>
      </c>
      <c r="Q16" s="36">
        <f t="shared" si="40"/>
        <v>334934.61682645662</v>
      </c>
      <c r="R16" s="36">
        <f t="shared" si="40"/>
        <v>401037.74739895866</v>
      </c>
      <c r="S16" s="36">
        <f t="shared" si="40"/>
        <v>480423.36958145618</v>
      </c>
      <c r="T16" s="36">
        <f t="shared" si="40"/>
        <v>575743.65111126378</v>
      </c>
      <c r="U16" s="36">
        <f t="shared" si="40"/>
        <v>690181.49641408678</v>
      </c>
      <c r="V16" s="36">
        <f t="shared" si="40"/>
        <v>827556.67272183485</v>
      </c>
      <c r="W16" s="36">
        <f t="shared" si="40"/>
        <v>992453.16289938753</v>
      </c>
      <c r="X16" s="36">
        <f t="shared" si="40"/>
        <v>1190371.9902181271</v>
      </c>
      <c r="Y16" s="36">
        <f t="shared" si="40"/>
        <v>1427914.6093688938</v>
      </c>
      <c r="Z16" s="36">
        <f t="shared" si="40"/>
        <v>1713002.9768723142</v>
      </c>
    </row>
    <row r="17" spans="2:26">
      <c r="B17" t="s">
        <v>67</v>
      </c>
      <c r="C17" s="14">
        <f>'Inputs and Assumptions'!C33</f>
        <v>325000</v>
      </c>
      <c r="D17" s="14">
        <f xml:space="preserve"> C17 * (1 + IF(MONTH(DATE(2025, COLUMN()-COLUMN($C$17)+7, 1))=4, 'Inputs and Assumptions'!$C$22, 0))</f>
        <v>325000</v>
      </c>
      <c r="E17" s="14">
        <f xml:space="preserve"> D17 * (1 + IF(MONTH(DATE(2025, COLUMN()-COLUMN($C$17)+7, 1))=4, 'Inputs and Assumptions'!$C$22, 0))</f>
        <v>325000</v>
      </c>
      <c r="F17" s="14">
        <f xml:space="preserve"> E17 * (1 + IF(MONTH(DATE(2025, COLUMN()-COLUMN($C$17)+7, 1))=4, 'Inputs and Assumptions'!$C$22, 0))</f>
        <v>325000</v>
      </c>
      <c r="G17" s="14">
        <f xml:space="preserve"> F17 * (1 + IF(MONTH(DATE(2025, COLUMN()-COLUMN($C$17)+7, 1))=4, 'Inputs and Assumptions'!$C$22, 0))</f>
        <v>325000</v>
      </c>
      <c r="H17" s="14">
        <f xml:space="preserve"> G17 * (1 + IF(MONTH(DATE(2025, COLUMN()-COLUMN($C$17)+7, 1))=4, 'Inputs and Assumptions'!$C$22, 0))</f>
        <v>325000</v>
      </c>
      <c r="I17" s="14">
        <f xml:space="preserve"> H17 * (1 + IF(MONTH(DATE(2025, COLUMN()-COLUMN($C$17)+7, 1))=4, 'Inputs and Assumptions'!$C$22, 0))</f>
        <v>325000</v>
      </c>
      <c r="J17" s="14">
        <f xml:space="preserve"> I17 * (1 + IF(MONTH(DATE(2025, COLUMN()-COLUMN($C$17)+7, 1))=4, 'Inputs and Assumptions'!$C$22, 0))</f>
        <v>325000</v>
      </c>
      <c r="K17" s="14">
        <f xml:space="preserve"> J17 * (1 + IF(MONTH(DATE(2025, COLUMN()-COLUMN($C$17)+7, 1))=4, 'Inputs and Assumptions'!$C$22, 0))</f>
        <v>325000</v>
      </c>
      <c r="L17" s="14">
        <f xml:space="preserve"> K17 * (1 + IF(MONTH(DATE(2025, COLUMN()-COLUMN($C$17)+7, 1))=4, 'Inputs and Assumptions'!$C$22, 0))</f>
        <v>357500</v>
      </c>
      <c r="M17" s="14">
        <f xml:space="preserve"> L17 * (1 + IF(MONTH(DATE(2025, COLUMN()-COLUMN($C$17)+7, 1))=4, 'Inputs and Assumptions'!$C$22, 0))</f>
        <v>357500</v>
      </c>
      <c r="N17" s="14">
        <f xml:space="preserve"> M17 * (1 + IF(MONTH(DATE(2025, COLUMN()-COLUMN($C$17)+7, 1))=4, 'Inputs and Assumptions'!$C$22, 0))</f>
        <v>357500</v>
      </c>
      <c r="O17" s="14">
        <f xml:space="preserve"> N17 * (1 + IF(MONTH(DATE(2025, COLUMN()-COLUMN($C$17)+7, 1))=4, 'Inputs and Assumptions'!$C$22, 0))</f>
        <v>357500</v>
      </c>
      <c r="P17" s="14">
        <f xml:space="preserve"> O17 * (1 + IF(MONTH(DATE(2025, COLUMN()-COLUMN($C$17)+7, 1))=4, 'Inputs and Assumptions'!$C$22, 0))</f>
        <v>357500</v>
      </c>
      <c r="Q17" s="14">
        <f xml:space="preserve"> P17 * (1 + IF(MONTH(DATE(2025, COLUMN()-COLUMN($C$17)+7, 1))=4, 'Inputs and Assumptions'!$C$22, 0))</f>
        <v>357500</v>
      </c>
      <c r="R17" s="14">
        <f xml:space="preserve"> Q17 * (1 + IF(MONTH(DATE(2025, COLUMN()-COLUMN($C$17)+7, 1))=4, 'Inputs and Assumptions'!$C$22, 0))</f>
        <v>357500</v>
      </c>
      <c r="S17" s="14">
        <f xml:space="preserve"> R17 * (1 + IF(MONTH(DATE(2025, COLUMN()-COLUMN($C$17)+7, 1))=4, 'Inputs and Assumptions'!$C$22, 0))</f>
        <v>357500</v>
      </c>
      <c r="T17" s="14">
        <f xml:space="preserve"> S17 * (1 + IF(MONTH(DATE(2025, COLUMN()-COLUMN($C$17)+7, 1))=4, 'Inputs and Assumptions'!$C$22, 0))</f>
        <v>357500</v>
      </c>
      <c r="U17" s="14">
        <f xml:space="preserve"> T17 * (1 + IF(MONTH(DATE(2025, COLUMN()-COLUMN($C$17)+7, 1))=4, 'Inputs and Assumptions'!$C$22, 0))</f>
        <v>357500</v>
      </c>
      <c r="V17" s="14">
        <f xml:space="preserve"> U17 * (1 + IF(MONTH(DATE(2025, COLUMN()-COLUMN($C$17)+7, 1))=4, 'Inputs and Assumptions'!$C$22, 0))</f>
        <v>357500</v>
      </c>
      <c r="W17" s="14">
        <f xml:space="preserve"> V17 * (1 + IF(MONTH(DATE(2025, COLUMN()-COLUMN($C$17)+7, 1))=4, 'Inputs and Assumptions'!$C$22, 0))</f>
        <v>357500</v>
      </c>
      <c r="X17" s="14">
        <f xml:space="preserve"> W17 * (1 + IF(MONTH(DATE(2025, COLUMN()-COLUMN($C$17)+7, 1))=4, 'Inputs and Assumptions'!$C$22, 0))</f>
        <v>393250.00000000006</v>
      </c>
      <c r="Y17" s="14">
        <f xml:space="preserve"> X17 * (1 + IF(MONTH(DATE(2025, COLUMN()-COLUMN($C$17)+7, 1))=4, 'Inputs and Assumptions'!$C$22, 0))</f>
        <v>393250.00000000006</v>
      </c>
      <c r="Z17" s="14">
        <f xml:space="preserve"> Y17 * (1 + IF(MONTH(DATE(2025, COLUMN()-COLUMN($C$17)+7, 1))=4, 'Inputs and Assumptions'!$C$22, 0))</f>
        <v>393250.00000000006</v>
      </c>
    </row>
    <row r="18" spans="2:26">
      <c r="B18" t="s">
        <v>68</v>
      </c>
      <c r="C18" s="7">
        <f>'Inputs and Assumptions'!C34</f>
        <v>175000</v>
      </c>
      <c r="D18" s="7">
        <f xml:space="preserve"> C18 * (1 + IF(MONTH(DATE(2025, COLUMN()-COLUMN($C$18)+7, 1))=4, 'Inputs and Assumptions'!$C$22, 0))</f>
        <v>175000</v>
      </c>
      <c r="E18" s="7">
        <f xml:space="preserve"> D18 * (1 + IF(MONTH(DATE(2025, COLUMN()-COLUMN($C$18)+7, 1))=4, 'Inputs and Assumptions'!$C$22, 0))</f>
        <v>175000</v>
      </c>
      <c r="F18" s="7">
        <f xml:space="preserve"> E18 * (1 + IF(MONTH(DATE(2025, COLUMN()-COLUMN($C$18)+7, 1))=4, 'Inputs and Assumptions'!$C$22, 0))</f>
        <v>175000</v>
      </c>
      <c r="G18" s="7">
        <f xml:space="preserve"> F18 * (1 + IF(MONTH(DATE(2025, COLUMN()-COLUMN($C$18)+7, 1))=4, 'Inputs and Assumptions'!$C$22, 0))</f>
        <v>175000</v>
      </c>
      <c r="H18" s="7">
        <f xml:space="preserve"> G18 * (1 + IF(MONTH(DATE(2025, COLUMN()-COLUMN($C$18)+7, 1))=4, 'Inputs and Assumptions'!$C$22, 0))</f>
        <v>175000</v>
      </c>
      <c r="I18" s="7">
        <f xml:space="preserve"> H18 * (1 + IF(MONTH(DATE(2025, COLUMN()-COLUMN($C$18)+7, 1))=4, 'Inputs and Assumptions'!$C$22, 0))</f>
        <v>175000</v>
      </c>
      <c r="J18" s="7">
        <f xml:space="preserve"> I18 * (1 + IF(MONTH(DATE(2025, COLUMN()-COLUMN($C$18)+7, 1))=4, 'Inputs and Assumptions'!$C$22, 0))</f>
        <v>175000</v>
      </c>
      <c r="K18" s="7">
        <f xml:space="preserve"> J18 * (1 + IF(MONTH(DATE(2025, COLUMN()-COLUMN($C$18)+7, 1))=4, 'Inputs and Assumptions'!$C$22, 0))</f>
        <v>175000</v>
      </c>
      <c r="L18" s="7">
        <f xml:space="preserve"> K18 * (1 + IF(MONTH(DATE(2025, COLUMN()-COLUMN($C$18)+7, 1))=4, 'Inputs and Assumptions'!$C$22, 0))</f>
        <v>192500.00000000003</v>
      </c>
      <c r="M18" s="7">
        <f xml:space="preserve"> L18 * (1 + IF(MONTH(DATE(2025, COLUMN()-COLUMN($C$18)+7, 1))=4, 'Inputs and Assumptions'!$C$22, 0))</f>
        <v>192500.00000000003</v>
      </c>
      <c r="N18" s="7">
        <f xml:space="preserve"> M18 * (1 + IF(MONTH(DATE(2025, COLUMN()-COLUMN($C$18)+7, 1))=4, 'Inputs and Assumptions'!$C$22, 0))</f>
        <v>192500.00000000003</v>
      </c>
      <c r="O18" s="7">
        <f xml:space="preserve"> N18 * (1 + IF(MONTH(DATE(2025, COLUMN()-COLUMN($C$18)+7, 1))=4, 'Inputs and Assumptions'!$C$22, 0))</f>
        <v>192500.00000000003</v>
      </c>
      <c r="P18" s="7">
        <f xml:space="preserve"> O18 * (1 + IF(MONTH(DATE(2025, COLUMN()-COLUMN($C$18)+7, 1))=4, 'Inputs and Assumptions'!$C$22, 0))</f>
        <v>192500.00000000003</v>
      </c>
      <c r="Q18" s="7">
        <f xml:space="preserve"> P18 * (1 + IF(MONTH(DATE(2025, COLUMN()-COLUMN($C$18)+7, 1))=4, 'Inputs and Assumptions'!$C$22, 0))</f>
        <v>192500.00000000003</v>
      </c>
      <c r="R18" s="7">
        <f xml:space="preserve"> Q18 * (1 + IF(MONTH(DATE(2025, COLUMN()-COLUMN($C$18)+7, 1))=4, 'Inputs and Assumptions'!$C$22, 0))</f>
        <v>192500.00000000003</v>
      </c>
      <c r="S18" s="7">
        <f xml:space="preserve"> R18 * (1 + IF(MONTH(DATE(2025, COLUMN()-COLUMN($C$18)+7, 1))=4, 'Inputs and Assumptions'!$C$22, 0))</f>
        <v>192500.00000000003</v>
      </c>
      <c r="T18" s="7">
        <f xml:space="preserve"> S18 * (1 + IF(MONTH(DATE(2025, COLUMN()-COLUMN($C$18)+7, 1))=4, 'Inputs and Assumptions'!$C$22, 0))</f>
        <v>192500.00000000003</v>
      </c>
      <c r="U18" s="7">
        <f xml:space="preserve"> T18 * (1 + IF(MONTH(DATE(2025, COLUMN()-COLUMN($C$18)+7, 1))=4, 'Inputs and Assumptions'!$C$22, 0))</f>
        <v>192500.00000000003</v>
      </c>
      <c r="V18" s="7">
        <f xml:space="preserve"> U18 * (1 + IF(MONTH(DATE(2025, COLUMN()-COLUMN($C$18)+7, 1))=4, 'Inputs and Assumptions'!$C$22, 0))</f>
        <v>192500.00000000003</v>
      </c>
      <c r="W18" s="7">
        <f xml:space="preserve"> V18 * (1 + IF(MONTH(DATE(2025, COLUMN()-COLUMN($C$18)+7, 1))=4, 'Inputs and Assumptions'!$C$22, 0))</f>
        <v>192500.00000000003</v>
      </c>
      <c r="X18" s="7">
        <f xml:space="preserve"> W18 * (1 + IF(MONTH(DATE(2025, COLUMN()-COLUMN($C$18)+7, 1))=4, 'Inputs and Assumptions'!$C$22, 0))</f>
        <v>211750.00000000006</v>
      </c>
      <c r="Y18" s="7">
        <f xml:space="preserve"> X18 * (1 + IF(MONTH(DATE(2025, COLUMN()-COLUMN($C$18)+7, 1))=4, 'Inputs and Assumptions'!$C$22, 0))</f>
        <v>211750.00000000006</v>
      </c>
      <c r="Z18" s="7">
        <f xml:space="preserve"> Y18 * (1 + IF(MONTH(DATE(2025, COLUMN()-COLUMN($C$18)+7, 1))=4, 'Inputs and Assumptions'!$C$22, 0))</f>
        <v>211750.00000000006</v>
      </c>
    </row>
    <row r="19" spans="2:26">
      <c r="B19" t="s">
        <v>69</v>
      </c>
      <c r="C19" s="14">
        <f>'Inputs and Assumptions'!C35</f>
        <v>150000</v>
      </c>
      <c r="D19" s="14">
        <f xml:space="preserve"> C19 * (1 + IF(MONTH(DATE(2025, COLUMN()-COLUMN($C$19)+7, 1))=4, 'Inputs and Assumptions'!$C$22, 0))</f>
        <v>150000</v>
      </c>
      <c r="E19" s="14">
        <f xml:space="preserve"> D19 * (1 + IF(MONTH(DATE(2025, COLUMN()-COLUMN($C$19)+7, 1))=4, 'Inputs and Assumptions'!$C$22, 0))</f>
        <v>150000</v>
      </c>
      <c r="F19" s="14">
        <f xml:space="preserve"> E19 * (1 + IF(MONTH(DATE(2025, COLUMN()-COLUMN($C$19)+7, 1))=4, 'Inputs and Assumptions'!$C$22, 0))</f>
        <v>150000</v>
      </c>
      <c r="G19" s="14">
        <f xml:space="preserve"> F19 * (1 + IF(MONTH(DATE(2025, COLUMN()-COLUMN($C$19)+7, 1))=4, 'Inputs and Assumptions'!$C$22, 0))</f>
        <v>150000</v>
      </c>
      <c r="H19" s="14">
        <f xml:space="preserve"> G19 * (1 + IF(MONTH(DATE(2025, COLUMN()-COLUMN($C$19)+7, 1))=4, 'Inputs and Assumptions'!$C$22, 0))</f>
        <v>150000</v>
      </c>
      <c r="I19" s="14">
        <f xml:space="preserve"> H19 * (1 + IF(MONTH(DATE(2025, COLUMN()-COLUMN($C$19)+7, 1))=4, 'Inputs and Assumptions'!$C$22, 0))</f>
        <v>150000</v>
      </c>
      <c r="J19" s="14">
        <f xml:space="preserve"> I19 * (1 + IF(MONTH(DATE(2025, COLUMN()-COLUMN($C$19)+7, 1))=4, 'Inputs and Assumptions'!$C$22, 0))</f>
        <v>150000</v>
      </c>
      <c r="K19" s="14">
        <f xml:space="preserve"> J19 * (1 + IF(MONTH(DATE(2025, COLUMN()-COLUMN($C$19)+7, 1))=4, 'Inputs and Assumptions'!$C$22, 0))</f>
        <v>150000</v>
      </c>
      <c r="L19" s="14">
        <f xml:space="preserve"> K19 * (1 + IF(MONTH(DATE(2025, COLUMN()-COLUMN($C$19)+7, 1))=4, 'Inputs and Assumptions'!$C$22, 0))</f>
        <v>165000</v>
      </c>
      <c r="M19" s="14">
        <f xml:space="preserve"> L19 * (1 + IF(MONTH(DATE(2025, COLUMN()-COLUMN($C$19)+7, 1))=4, 'Inputs and Assumptions'!$C$22, 0))</f>
        <v>165000</v>
      </c>
      <c r="N19" s="14">
        <f xml:space="preserve"> M19 * (1 + IF(MONTH(DATE(2025, COLUMN()-COLUMN($C$19)+7, 1))=4, 'Inputs and Assumptions'!$C$22, 0))</f>
        <v>165000</v>
      </c>
      <c r="O19" s="14">
        <f xml:space="preserve"> N19 * (1 + IF(MONTH(DATE(2025, COLUMN()-COLUMN($C$19)+7, 1))=4, 'Inputs and Assumptions'!$C$22, 0))</f>
        <v>165000</v>
      </c>
      <c r="P19" s="14">
        <f xml:space="preserve"> O19 * (1 + IF(MONTH(DATE(2025, COLUMN()-COLUMN($C$19)+7, 1))=4, 'Inputs and Assumptions'!$C$22, 0))</f>
        <v>165000</v>
      </c>
      <c r="Q19" s="14">
        <f xml:space="preserve"> P19 * (1 + IF(MONTH(DATE(2025, COLUMN()-COLUMN($C$19)+7, 1))=4, 'Inputs and Assumptions'!$C$22, 0))</f>
        <v>165000</v>
      </c>
      <c r="R19" s="14">
        <f xml:space="preserve"> Q19 * (1 + IF(MONTH(DATE(2025, COLUMN()-COLUMN($C$19)+7, 1))=4, 'Inputs and Assumptions'!$C$22, 0))</f>
        <v>165000</v>
      </c>
      <c r="S19" s="14">
        <f xml:space="preserve"> R19 * (1 + IF(MONTH(DATE(2025, COLUMN()-COLUMN($C$19)+7, 1))=4, 'Inputs and Assumptions'!$C$22, 0))</f>
        <v>165000</v>
      </c>
      <c r="T19" s="14">
        <f xml:space="preserve"> S19 * (1 + IF(MONTH(DATE(2025, COLUMN()-COLUMN($C$19)+7, 1))=4, 'Inputs and Assumptions'!$C$22, 0))</f>
        <v>165000</v>
      </c>
      <c r="U19" s="14">
        <f xml:space="preserve"> T19 * (1 + IF(MONTH(DATE(2025, COLUMN()-COLUMN($C$19)+7, 1))=4, 'Inputs and Assumptions'!$C$22, 0))</f>
        <v>165000</v>
      </c>
      <c r="V19" s="14">
        <f xml:space="preserve"> U19 * (1 + IF(MONTH(DATE(2025, COLUMN()-COLUMN($C$19)+7, 1))=4, 'Inputs and Assumptions'!$C$22, 0))</f>
        <v>165000</v>
      </c>
      <c r="W19" s="14">
        <f xml:space="preserve"> V19 * (1 + IF(MONTH(DATE(2025, COLUMN()-COLUMN($C$19)+7, 1))=4, 'Inputs and Assumptions'!$C$22, 0))</f>
        <v>165000</v>
      </c>
      <c r="X19" s="14">
        <f xml:space="preserve"> W19 * (1 + IF(MONTH(DATE(2025, COLUMN()-COLUMN($C$19)+7, 1))=4, 'Inputs and Assumptions'!$C$22, 0))</f>
        <v>181500.00000000003</v>
      </c>
      <c r="Y19" s="14">
        <f xml:space="preserve"> X19 * (1 + IF(MONTH(DATE(2025, COLUMN()-COLUMN($C$19)+7, 1))=4, 'Inputs and Assumptions'!$C$22, 0))</f>
        <v>181500.00000000003</v>
      </c>
      <c r="Z19" s="14">
        <f xml:space="preserve"> Y19 * (1 + IF(MONTH(DATE(2025, COLUMN()-COLUMN($C$19)+7, 1))=4, 'Inputs and Assumptions'!$C$22, 0))</f>
        <v>181500.00000000003</v>
      </c>
    </row>
    <row r="20" spans="2:26">
      <c r="B20" t="s">
        <v>70</v>
      </c>
      <c r="C20" s="57">
        <f>'Inputs and Assumptions'!C36</f>
        <v>250000</v>
      </c>
      <c r="D20" s="7">
        <f xml:space="preserve"> C20 * (1 + IF(MONTH(DATE(2025, COLUMN()-COLUMN($C$20)+7, 1))=4, 'Inputs and Assumptions'!$C$22, 0))</f>
        <v>250000</v>
      </c>
      <c r="E20" s="7">
        <f xml:space="preserve"> D20 * (1 + IF(MONTH(DATE(2025, COLUMN()-COLUMN($C$20)+7, 1))=4, 'Inputs and Assumptions'!$C$22, 0))</f>
        <v>250000</v>
      </c>
      <c r="F20" s="7">
        <f xml:space="preserve"> E20 * (1 + IF(MONTH(DATE(2025, COLUMN()-COLUMN($C$20)+7, 1))=4, 'Inputs and Assumptions'!$C$22, 0))</f>
        <v>250000</v>
      </c>
      <c r="G20" s="7">
        <f xml:space="preserve"> F20 * (1 + IF(MONTH(DATE(2025, COLUMN()-COLUMN($C$20)+7, 1))=4, 'Inputs and Assumptions'!$C$22, 0))</f>
        <v>250000</v>
      </c>
      <c r="H20" s="7">
        <f xml:space="preserve"> G20 * (1 + IF(MONTH(DATE(2025, COLUMN()-COLUMN($C$20)+7, 1))=4, 'Inputs and Assumptions'!$C$22, 0))</f>
        <v>250000</v>
      </c>
      <c r="I20" s="7">
        <f xml:space="preserve"> H20 * (1 + IF(MONTH(DATE(2025, COLUMN()-COLUMN($C$20)+7, 1))=4, 'Inputs and Assumptions'!$C$22, 0))</f>
        <v>250000</v>
      </c>
      <c r="J20" s="7">
        <f xml:space="preserve"> I20 * (1 + IF(MONTH(DATE(2025, COLUMN()-COLUMN($C$20)+7, 1))=4, 'Inputs and Assumptions'!$C$22, 0))</f>
        <v>250000</v>
      </c>
      <c r="K20" s="7">
        <f xml:space="preserve"> J20 * (1 + IF(MONTH(DATE(2025, COLUMN()-COLUMN($C$20)+7, 1))=4, 'Inputs and Assumptions'!$C$22, 0))</f>
        <v>250000</v>
      </c>
      <c r="L20" s="7">
        <f xml:space="preserve"> K20 * (1 + IF(MONTH(DATE(2025, COLUMN()-COLUMN($C$20)+7, 1))=4, 'Inputs and Assumptions'!$C$22, 0))</f>
        <v>275000</v>
      </c>
      <c r="M20" s="7">
        <f xml:space="preserve"> L20 * (1 + IF(MONTH(DATE(2025, COLUMN()-COLUMN($C$20)+7, 1))=4, 'Inputs and Assumptions'!$C$22, 0))</f>
        <v>275000</v>
      </c>
      <c r="N20" s="7">
        <f xml:space="preserve"> M20 * (1 + IF(MONTH(DATE(2025, COLUMN()-COLUMN($C$20)+7, 1))=4, 'Inputs and Assumptions'!$C$22, 0))</f>
        <v>275000</v>
      </c>
      <c r="O20" s="7">
        <f xml:space="preserve"> N20 * (1 + IF(MONTH(DATE(2025, COLUMN()-COLUMN($C$20)+7, 1))=4, 'Inputs and Assumptions'!$C$22, 0))</f>
        <v>275000</v>
      </c>
      <c r="P20" s="7">
        <f xml:space="preserve"> O20 * (1 + IF(MONTH(DATE(2025, COLUMN()-COLUMN($C$20)+7, 1))=4, 'Inputs and Assumptions'!$C$22, 0))</f>
        <v>275000</v>
      </c>
      <c r="Q20" s="7">
        <f xml:space="preserve"> P20 * (1 + IF(MONTH(DATE(2025, COLUMN()-COLUMN($C$20)+7, 1))=4, 'Inputs and Assumptions'!$C$22, 0))</f>
        <v>275000</v>
      </c>
      <c r="R20" s="7">
        <f xml:space="preserve"> Q20 * (1 + IF(MONTH(DATE(2025, COLUMN()-COLUMN($C$20)+7, 1))=4, 'Inputs and Assumptions'!$C$22, 0))</f>
        <v>275000</v>
      </c>
      <c r="S20" s="7">
        <f xml:space="preserve"> R20 * (1 + IF(MONTH(DATE(2025, COLUMN()-COLUMN($C$20)+7, 1))=4, 'Inputs and Assumptions'!$C$22, 0))</f>
        <v>275000</v>
      </c>
      <c r="T20" s="7">
        <f xml:space="preserve"> S20 * (1 + IF(MONTH(DATE(2025, COLUMN()-COLUMN($C$20)+7, 1))=4, 'Inputs and Assumptions'!$C$22, 0))</f>
        <v>275000</v>
      </c>
      <c r="U20" s="7">
        <f xml:space="preserve"> T20 * (1 + IF(MONTH(DATE(2025, COLUMN()-COLUMN($C$20)+7, 1))=4, 'Inputs and Assumptions'!$C$22, 0))</f>
        <v>275000</v>
      </c>
      <c r="V20" s="7">
        <f xml:space="preserve"> U20 * (1 + IF(MONTH(DATE(2025, COLUMN()-COLUMN($C$20)+7, 1))=4, 'Inputs and Assumptions'!$C$22, 0))</f>
        <v>275000</v>
      </c>
      <c r="W20" s="7">
        <f xml:space="preserve"> V20 * (1 + IF(MONTH(DATE(2025, COLUMN()-COLUMN($C$20)+7, 1))=4, 'Inputs and Assumptions'!$C$22, 0))</f>
        <v>275000</v>
      </c>
      <c r="X20" s="7">
        <f xml:space="preserve"> W20 * (1 + IF(MONTH(DATE(2025, COLUMN()-COLUMN($C$20)+7, 1))=4, 'Inputs and Assumptions'!$C$22, 0))</f>
        <v>302500</v>
      </c>
      <c r="Y20" s="7">
        <f xml:space="preserve"> X20 * (1 + IF(MONTH(DATE(2025, COLUMN()-COLUMN($C$20)+7, 1))=4, 'Inputs and Assumptions'!$C$22, 0))</f>
        <v>302500</v>
      </c>
      <c r="Z20" s="7">
        <f xml:space="preserve"> Y20 * (1 + IF(MONTH(DATE(2025, COLUMN()-COLUMN($C$20)+7, 1))=4, 'Inputs and Assumptions'!$C$22, 0))</f>
        <v>302500</v>
      </c>
    </row>
    <row r="21" spans="2:26">
      <c r="B21" s="11" t="s">
        <v>79</v>
      </c>
      <c r="C21" s="33">
        <f>SUM(C17:C20)</f>
        <v>900000</v>
      </c>
      <c r="D21" s="33">
        <f t="shared" ref="D21:N21" si="41">SUM(D17:D20)</f>
        <v>900000</v>
      </c>
      <c r="E21" s="33">
        <f t="shared" si="41"/>
        <v>900000</v>
      </c>
      <c r="F21" s="33">
        <f t="shared" si="41"/>
        <v>900000</v>
      </c>
      <c r="G21" s="33">
        <f t="shared" si="41"/>
        <v>900000</v>
      </c>
      <c r="H21" s="33">
        <f t="shared" si="41"/>
        <v>900000</v>
      </c>
      <c r="I21" s="33">
        <f t="shared" si="41"/>
        <v>900000</v>
      </c>
      <c r="J21" s="33">
        <f t="shared" si="41"/>
        <v>900000</v>
      </c>
      <c r="K21" s="33">
        <f t="shared" si="41"/>
        <v>900000</v>
      </c>
      <c r="L21" s="33">
        <f t="shared" si="41"/>
        <v>990000</v>
      </c>
      <c r="M21" s="33">
        <f t="shared" si="41"/>
        <v>990000</v>
      </c>
      <c r="N21" s="33">
        <f t="shared" si="41"/>
        <v>990000</v>
      </c>
      <c r="O21" s="33">
        <f t="shared" ref="O21" si="42">SUM(O17:O20)</f>
        <v>990000</v>
      </c>
      <c r="P21" s="33">
        <f t="shared" ref="P21" si="43">SUM(P17:P20)</f>
        <v>990000</v>
      </c>
      <c r="Q21" s="33">
        <f t="shared" ref="Q21" si="44">SUM(Q17:Q20)</f>
        <v>990000</v>
      </c>
      <c r="R21" s="33">
        <f t="shared" ref="R21" si="45">SUM(R17:R20)</f>
        <v>990000</v>
      </c>
      <c r="S21" s="33">
        <f t="shared" ref="S21" si="46">SUM(S17:S20)</f>
        <v>990000</v>
      </c>
      <c r="T21" s="33">
        <f t="shared" ref="T21" si="47">SUM(T17:T20)</f>
        <v>990000</v>
      </c>
      <c r="U21" s="33">
        <f t="shared" ref="U21" si="48">SUM(U17:U20)</f>
        <v>990000</v>
      </c>
      <c r="V21" s="33">
        <f t="shared" ref="V21" si="49">SUM(V17:V20)</f>
        <v>990000</v>
      </c>
      <c r="W21" s="33">
        <f t="shared" ref="W21" si="50">SUM(W17:W20)</f>
        <v>990000</v>
      </c>
      <c r="X21" s="33">
        <f t="shared" ref="X21" si="51">SUM(X17:X20)</f>
        <v>1089000</v>
      </c>
      <c r="Y21" s="33">
        <f t="shared" ref="Y21" si="52">SUM(Y17:Y20)</f>
        <v>1089000</v>
      </c>
      <c r="Z21" s="33">
        <f t="shared" ref="Z21" si="53">SUM(Z17:Z20)</f>
        <v>1089000</v>
      </c>
    </row>
    <row r="22" spans="2:26">
      <c r="B22" s="26" t="s">
        <v>80</v>
      </c>
      <c r="C22" s="36">
        <f t="shared" ref="C22:Z22" si="54">C16-C21</f>
        <v>-865126.85337000003</v>
      </c>
      <c r="D22" s="36">
        <f t="shared" si="54"/>
        <v>-860593.34430809994</v>
      </c>
      <c r="E22" s="36">
        <f t="shared" si="54"/>
        <v>-854982.25501533295</v>
      </c>
      <c r="F22" s="36">
        <f t="shared" si="54"/>
        <v>-848090.03093481972</v>
      </c>
      <c r="G22" s="36">
        <f t="shared" si="54"/>
        <v>-839671.56929405429</v>
      </c>
      <c r="H22" s="36">
        <f t="shared" si="54"/>
        <v>-829431.96807307692</v>
      </c>
      <c r="I22" s="36">
        <f t="shared" si="54"/>
        <v>-817016.62066348922</v>
      </c>
      <c r="J22" s="36">
        <f t="shared" si="54"/>
        <v>-801999.3256436782</v>
      </c>
      <c r="K22" s="36">
        <f t="shared" si="54"/>
        <v>-783868.01496058062</v>
      </c>
      <c r="L22" s="36">
        <f t="shared" si="54"/>
        <v>-852007.62444769172</v>
      </c>
      <c r="M22" s="36">
        <f t="shared" si="54"/>
        <v>-825679.53537757555</v>
      </c>
      <c r="N22" s="36">
        <f t="shared" si="54"/>
        <v>-793996.90147061192</v>
      </c>
      <c r="O22" s="36">
        <f t="shared" si="54"/>
        <v>-755895.03865102911</v>
      </c>
      <c r="P22" s="36">
        <f t="shared" si="54"/>
        <v>-710095.89028548915</v>
      </c>
      <c r="Q22" s="36">
        <f t="shared" si="54"/>
        <v>-655065.38317354338</v>
      </c>
      <c r="R22" s="36">
        <f t="shared" si="54"/>
        <v>-588962.25260104134</v>
      </c>
      <c r="S22" s="36">
        <f t="shared" si="54"/>
        <v>-509576.63041854382</v>
      </c>
      <c r="T22" s="36">
        <f t="shared" si="54"/>
        <v>-414256.34888873622</v>
      </c>
      <c r="U22" s="36">
        <f t="shared" si="54"/>
        <v>-299818.50358591322</v>
      </c>
      <c r="V22" s="36">
        <f t="shared" si="54"/>
        <v>-162443.32727816515</v>
      </c>
      <c r="W22" s="36">
        <f t="shared" si="54"/>
        <v>2453.1628993875347</v>
      </c>
      <c r="X22" s="36">
        <f t="shared" si="54"/>
        <v>101371.99021812715</v>
      </c>
      <c r="Y22" s="36">
        <f t="shared" si="54"/>
        <v>338914.60936889378</v>
      </c>
      <c r="Z22" s="36">
        <f t="shared" si="54"/>
        <v>624002.97687231423</v>
      </c>
    </row>
    <row r="23" spans="2:26">
      <c r="B23" t="s">
        <v>81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</row>
    <row r="24" spans="2:26">
      <c r="B24" s="34" t="s">
        <v>82</v>
      </c>
      <c r="C24" s="35">
        <f>C22*(1-C23)</f>
        <v>-865126.85337000003</v>
      </c>
      <c r="D24" s="35">
        <f t="shared" ref="D24:Z24" si="55">D22*(1-D23)</f>
        <v>-860593.34430809994</v>
      </c>
      <c r="E24" s="35">
        <f t="shared" si="55"/>
        <v>-854982.25501533295</v>
      </c>
      <c r="F24" s="35">
        <f t="shared" si="55"/>
        <v>-848090.03093481972</v>
      </c>
      <c r="G24" s="35">
        <f t="shared" si="55"/>
        <v>-839671.56929405429</v>
      </c>
      <c r="H24" s="35">
        <f t="shared" si="55"/>
        <v>-829431.96807307692</v>
      </c>
      <c r="I24" s="35">
        <f t="shared" si="55"/>
        <v>-817016.62066348922</v>
      </c>
      <c r="J24" s="35">
        <f t="shared" si="55"/>
        <v>-801999.3256436782</v>
      </c>
      <c r="K24" s="35">
        <f t="shared" si="55"/>
        <v>-783868.01496058062</v>
      </c>
      <c r="L24" s="35">
        <f t="shared" si="55"/>
        <v>-852007.62444769172</v>
      </c>
      <c r="M24" s="35">
        <f t="shared" si="55"/>
        <v>-825679.53537757555</v>
      </c>
      <c r="N24" s="35">
        <f t="shared" si="55"/>
        <v>-793996.90147061192</v>
      </c>
      <c r="O24" s="35">
        <f t="shared" si="55"/>
        <v>-755895.03865102911</v>
      </c>
      <c r="P24" s="35">
        <f t="shared" si="55"/>
        <v>-710095.89028548915</v>
      </c>
      <c r="Q24" s="35">
        <f t="shared" si="55"/>
        <v>-655065.38317354338</v>
      </c>
      <c r="R24" s="35">
        <f t="shared" si="55"/>
        <v>-588962.25260104134</v>
      </c>
      <c r="S24" s="35">
        <f t="shared" si="55"/>
        <v>-509576.63041854382</v>
      </c>
      <c r="T24" s="35">
        <f t="shared" si="55"/>
        <v>-414256.34888873622</v>
      </c>
      <c r="U24" s="35">
        <f t="shared" si="55"/>
        <v>-299818.50358591322</v>
      </c>
      <c r="V24" s="35">
        <f t="shared" si="55"/>
        <v>-162443.32727816515</v>
      </c>
      <c r="W24" s="35">
        <f t="shared" si="55"/>
        <v>2453.1628993875347</v>
      </c>
      <c r="X24" s="35">
        <f t="shared" si="55"/>
        <v>101371.99021812715</v>
      </c>
      <c r="Y24" s="35">
        <f t="shared" si="55"/>
        <v>338914.60936889378</v>
      </c>
      <c r="Z24" s="35">
        <f t="shared" si="55"/>
        <v>624002.97687231423</v>
      </c>
    </row>
    <row r="29" spans="2:26">
      <c r="H29" s="56" t="s">
        <v>83</v>
      </c>
      <c r="I29" s="73" t="s">
        <v>84</v>
      </c>
      <c r="J29" s="73"/>
      <c r="K29" s="56" t="s">
        <v>85</v>
      </c>
      <c r="L29" s="56" t="s">
        <v>78</v>
      </c>
    </row>
    <row r="30" spans="2:26">
      <c r="H30" s="12" t="s">
        <v>86</v>
      </c>
      <c r="I30" s="74">
        <f>SUM('Merch Sale Forecast'!C6:E6)</f>
        <v>440.19285975000003</v>
      </c>
      <c r="J30" s="74"/>
      <c r="K30" s="7">
        <f>SUM(C12:E12)</f>
        <v>339393.977181567</v>
      </c>
      <c r="L30" s="7">
        <f>SUM(C16:E16)</f>
        <v>119297.54730656702</v>
      </c>
    </row>
    <row r="31" spans="2:26">
      <c r="H31" s="12" t="s">
        <v>87</v>
      </c>
      <c r="I31" s="72">
        <f>SUM('Merch Sale Forecast'!F6:H6)</f>
        <v>674.53260998793053</v>
      </c>
      <c r="J31" s="72"/>
      <c r="K31" s="7">
        <f>SUM(F12:H12)</f>
        <v>520072.73669201432</v>
      </c>
      <c r="L31" s="7">
        <f>SUM(F16:H16)</f>
        <v>182806.43169804901</v>
      </c>
    </row>
    <row r="32" spans="2:26">
      <c r="H32" s="12" t="s">
        <v>88</v>
      </c>
      <c r="I32" s="72">
        <f>SUM('Merch Sale Forecast'!I6:K6)</f>
        <v>1096.3206010518056</v>
      </c>
      <c r="J32" s="72"/>
      <c r="K32" s="7">
        <f>SUM(I12:K12)</f>
        <v>845276.33925815485</v>
      </c>
      <c r="L32" s="7">
        <f>SUM(I16:K16)</f>
        <v>297116.03873225203</v>
      </c>
    </row>
    <row r="33" spans="8:14">
      <c r="H33" s="12" t="s">
        <v>89</v>
      </c>
      <c r="I33" s="72">
        <f>SUM('Merch Sale Forecast'!L6:N6)</f>
        <v>1838.7227824012243</v>
      </c>
      <c r="J33" s="72"/>
      <c r="K33" s="7">
        <f>SUM(L12:N12)</f>
        <v>1417677.329904733</v>
      </c>
      <c r="L33" s="7">
        <f>SUM(L16:N16)</f>
        <v>498315.93870412075</v>
      </c>
    </row>
    <row r="36" spans="8:14" ht="28.9">
      <c r="H36" s="54" t="s">
        <v>90</v>
      </c>
      <c r="I36" s="55" t="s">
        <v>91</v>
      </c>
      <c r="J36" s="55" t="s">
        <v>61</v>
      </c>
      <c r="K36" s="55" t="s">
        <v>63</v>
      </c>
      <c r="L36" s="55" t="s">
        <v>92</v>
      </c>
    </row>
    <row r="37" spans="8:14">
      <c r="H37" s="12" t="s">
        <v>86</v>
      </c>
      <c r="I37" s="7">
        <f>SUM('Merch Sale Forecast'!C10:E10)*'Inputs and Assumptions'!$C$26</f>
        <v>73358.140077337492</v>
      </c>
      <c r="J37" s="7">
        <f>(SUM('Merch Sale Forecast'!C11:E11))*700</f>
        <v>159213.35544297751</v>
      </c>
      <c r="K37" s="7">
        <f>(SUM('Merch Sale Forecast'!C12:E12))*1200</f>
        <v>79234.714754999994</v>
      </c>
      <c r="L37" s="7">
        <f>SUM(I37:K37)</f>
        <v>311806.21027531498</v>
      </c>
    </row>
    <row r="38" spans="8:14">
      <c r="H38" s="12" t="s">
        <v>87</v>
      </c>
      <c r="I38" s="7">
        <f>SUM('Merch Sale Forecast'!F10:H10)*'Inputs and Assumptions'!$C$26</f>
        <v>112410.85945448863</v>
      </c>
      <c r="J38" s="7">
        <f>(SUM('Merch Sale Forecast'!F11:H11))*700</f>
        <v>243971.69970653462</v>
      </c>
      <c r="K38" s="7">
        <f>(SUM('Merch Sale Forecast'!F12:H12))*1200</f>
        <v>121415.8697978275</v>
      </c>
      <c r="L38" s="7">
        <f t="shared" ref="L38:L40" si="56">SUM(I38:K38)</f>
        <v>477798.42895885074</v>
      </c>
    </row>
    <row r="39" spans="8:14">
      <c r="H39" s="12" t="s">
        <v>88</v>
      </c>
      <c r="I39" s="7">
        <f>SUM('Merch Sale Forecast'!I10:K10)*'Inputs and Assumptions'!C26</f>
        <v>182701.82816528343</v>
      </c>
      <c r="J39" s="7">
        <f>(SUM('Merch Sale Forecast'!I11:K11))*700</f>
        <v>396528.19819442765</v>
      </c>
      <c r="K39" s="7">
        <f>(SUM('Merch Sale Forecast'!I12:K12))*1200</f>
        <v>197337.70818932506</v>
      </c>
      <c r="L39" s="7">
        <f t="shared" si="56"/>
        <v>776567.73454903613</v>
      </c>
      <c r="M39" s="70" t="s">
        <v>84</v>
      </c>
      <c r="N39" s="70"/>
    </row>
    <row r="40" spans="8:14">
      <c r="H40" s="12" t="s">
        <v>89</v>
      </c>
      <c r="I40" s="7">
        <f>SUM('Merch Sale Forecast'!L10:N10)*'Inputs and Assumptions'!C26</f>
        <v>306423.15168716409</v>
      </c>
      <c r="J40" s="7">
        <f>(SUM('Merch Sale Forecast'!L11:N11))*700</f>
        <v>665047.64316669898</v>
      </c>
      <c r="K40" s="7">
        <f>(SUM('Merch Sale Forecast'!L12:N12))*1200</f>
        <v>330970.10083222034</v>
      </c>
      <c r="L40" s="7">
        <f t="shared" si="56"/>
        <v>1302440.8956860835</v>
      </c>
    </row>
    <row r="41" spans="8:14">
      <c r="H41" s="53"/>
      <c r="M41" s="6"/>
    </row>
    <row r="42" spans="8:14">
      <c r="M42" s="70" t="s">
        <v>85</v>
      </c>
      <c r="N42" s="70"/>
    </row>
    <row r="43" spans="8:14">
      <c r="M43" s="70"/>
      <c r="N43" s="70"/>
    </row>
    <row r="44" spans="8:14">
      <c r="M44" s="6"/>
    </row>
    <row r="45" spans="8:14">
      <c r="M45" s="70" t="s">
        <v>78</v>
      </c>
      <c r="N45" s="70"/>
    </row>
    <row r="46" spans="8:14">
      <c r="I46" s="71"/>
      <c r="J46" s="71"/>
    </row>
  </sheetData>
  <mergeCells count="11">
    <mergeCell ref="I33:J33"/>
    <mergeCell ref="B2:N2"/>
    <mergeCell ref="I29:J29"/>
    <mergeCell ref="I30:J30"/>
    <mergeCell ref="I31:J31"/>
    <mergeCell ref="I32:J32"/>
    <mergeCell ref="M43:N43"/>
    <mergeCell ref="M39:N39"/>
    <mergeCell ref="I46:J46"/>
    <mergeCell ref="M42:N42"/>
    <mergeCell ref="M45:N45"/>
  </mergeCells>
  <pageMargins left="0.70866141732283472" right="0.70866141732283472" top="0.74803149606299213" bottom="0.74803149606299213" header="0.31496062992125984" footer="0.31496062992125984"/>
  <pageSetup paperSize="12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9BEB7-18B9-4F4B-B38F-4312528A47D4}">
  <sheetPr>
    <tabColor rgb="FFFF0000"/>
    <pageSetUpPr autoPageBreaks="0"/>
  </sheetPr>
  <dimension ref="B2:Z16"/>
  <sheetViews>
    <sheetView showGridLines="0" zoomScale="79" zoomScaleNormal="85" workbookViewId="0">
      <selection activeCell="C4" sqref="C4"/>
    </sheetView>
  </sheetViews>
  <sheetFormatPr defaultRowHeight="14.45"/>
  <cols>
    <col min="1" max="1" width="1.85546875" customWidth="1"/>
    <col min="2" max="2" width="28.28515625" customWidth="1"/>
    <col min="3" max="3" width="7.7109375" customWidth="1"/>
    <col min="4" max="4" width="9" customWidth="1"/>
    <col min="5" max="5" width="8.28515625" customWidth="1"/>
    <col min="6" max="6" width="8.140625" customWidth="1"/>
    <col min="7" max="7" width="7.85546875" customWidth="1"/>
    <col min="8" max="8" width="8.7109375" customWidth="1"/>
    <col min="9" max="9" width="8.42578125" customWidth="1"/>
    <col min="10" max="10" width="9.28515625" customWidth="1"/>
    <col min="11" max="11" width="10" customWidth="1"/>
    <col min="12" max="12" width="9.42578125" customWidth="1"/>
    <col min="13" max="13" width="8.42578125" customWidth="1"/>
    <col min="14" max="14" width="9.7109375" customWidth="1"/>
    <col min="22" max="22" width="10.5703125" customWidth="1"/>
    <col min="23" max="23" width="10.140625" customWidth="1"/>
    <col min="24" max="24" width="11.140625" customWidth="1"/>
    <col min="25" max="25" width="9.7109375" customWidth="1"/>
    <col min="26" max="26" width="10" customWidth="1"/>
  </cols>
  <sheetData>
    <row r="2" spans="2:26">
      <c r="B2" s="22" t="s">
        <v>73</v>
      </c>
      <c r="C2" s="29">
        <f>'Revenue Forecast'!C4</f>
        <v>45839</v>
      </c>
      <c r="D2" s="29">
        <f>'Revenue Forecast'!D4</f>
        <v>45870</v>
      </c>
      <c r="E2" s="29">
        <f>'Revenue Forecast'!E4</f>
        <v>45901</v>
      </c>
      <c r="F2" s="29">
        <f>'Revenue Forecast'!F4</f>
        <v>45931</v>
      </c>
      <c r="G2" s="29">
        <f>'Revenue Forecast'!G4</f>
        <v>45962</v>
      </c>
      <c r="H2" s="29">
        <f>'Revenue Forecast'!H4</f>
        <v>45992</v>
      </c>
      <c r="I2" s="29">
        <f>'Revenue Forecast'!I4</f>
        <v>46023</v>
      </c>
      <c r="J2" s="29">
        <f>'Revenue Forecast'!J4</f>
        <v>46054</v>
      </c>
      <c r="K2" s="29">
        <f>'Revenue Forecast'!K4</f>
        <v>46082</v>
      </c>
      <c r="L2" s="29">
        <f>'Revenue Forecast'!L4</f>
        <v>46113</v>
      </c>
      <c r="M2" s="29">
        <f>'Revenue Forecast'!M4</f>
        <v>46143</v>
      </c>
      <c r="N2" s="29">
        <f>'Revenue Forecast'!N4</f>
        <v>46174</v>
      </c>
      <c r="O2" s="29">
        <f>'Revenue Forecast'!O4</f>
        <v>46204</v>
      </c>
      <c r="P2" s="29">
        <f>'Revenue Forecast'!P4</f>
        <v>46235</v>
      </c>
      <c r="Q2" s="29">
        <f>'Revenue Forecast'!Q4</f>
        <v>46266</v>
      </c>
      <c r="R2" s="29">
        <f>'Revenue Forecast'!R4</f>
        <v>46296</v>
      </c>
      <c r="S2" s="29">
        <f>'Revenue Forecast'!S4</f>
        <v>46327</v>
      </c>
      <c r="T2" s="29">
        <f>'Revenue Forecast'!T4</f>
        <v>46357</v>
      </c>
      <c r="U2" s="29">
        <f>'Revenue Forecast'!U4</f>
        <v>46388</v>
      </c>
      <c r="V2" s="29">
        <f>'Revenue Forecast'!V4</f>
        <v>46419</v>
      </c>
      <c r="W2" s="29">
        <f>'Revenue Forecast'!W4</f>
        <v>46447</v>
      </c>
      <c r="X2" s="29">
        <f>'Revenue Forecast'!X4</f>
        <v>46478</v>
      </c>
      <c r="Y2" s="29">
        <f>'Revenue Forecast'!Y4</f>
        <v>46508</v>
      </c>
      <c r="Z2" s="29">
        <f>'Revenue Forecast'!Z4</f>
        <v>46539</v>
      </c>
    </row>
    <row r="3" spans="2:26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26" ht="28.9">
      <c r="B4" s="28" t="s">
        <v>93</v>
      </c>
      <c r="C4" s="25">
        <f>'Inputs and Assumptions'!C13</f>
        <v>4300</v>
      </c>
      <c r="D4" s="25">
        <f>C4*(1+'Inputs and Assumptions'!$C$16)</f>
        <v>5160</v>
      </c>
      <c r="E4" s="25">
        <f>D4*(1+'Inputs and Assumptions'!$C$16)</f>
        <v>6192</v>
      </c>
      <c r="F4" s="25">
        <f>E4*(1+'Inputs and Assumptions'!$C$16)</f>
        <v>7430.4</v>
      </c>
      <c r="G4" s="25">
        <f>F4*(1+'Inputs and Assumptions'!$C$16)</f>
        <v>8916.48</v>
      </c>
      <c r="H4" s="25">
        <f>G4*(1+'Inputs and Assumptions'!$C$16)</f>
        <v>10699.776</v>
      </c>
      <c r="I4" s="25">
        <f>H4*(1+'Inputs and Assumptions'!$C$16)</f>
        <v>12839.7312</v>
      </c>
      <c r="J4" s="25">
        <f>I4*(1+'Inputs and Assumptions'!$C$16)</f>
        <v>15407.677439999999</v>
      </c>
      <c r="K4" s="25">
        <f>J4*(1+'Inputs and Assumptions'!$C$16)</f>
        <v>18489.212927999997</v>
      </c>
      <c r="L4" s="25">
        <f>K4*(1+'Inputs and Assumptions'!$C$16)</f>
        <v>22187.055513599997</v>
      </c>
      <c r="M4" s="25">
        <f>L4*(1+'Inputs and Assumptions'!$C$16)</f>
        <v>26624.466616319995</v>
      </c>
      <c r="N4" s="25">
        <f>M4*(1+'Inputs and Assumptions'!$C$16)</f>
        <v>31949.359939583992</v>
      </c>
      <c r="O4" s="25">
        <f>N4*(1+'Inputs and Assumptions'!$C$16)</f>
        <v>38339.23192750079</v>
      </c>
      <c r="P4" s="25">
        <f>O4*(1+'Inputs and Assumptions'!$C$16)</f>
        <v>46007.078313000944</v>
      </c>
      <c r="Q4" s="25">
        <f>P4*(1+'Inputs and Assumptions'!$C$16)</f>
        <v>55208.49397560113</v>
      </c>
      <c r="R4" s="25">
        <f>Q4*(1+'Inputs and Assumptions'!$C$16)</f>
        <v>66250.192770721347</v>
      </c>
      <c r="S4" s="25">
        <f>R4*(1+'Inputs and Assumptions'!$C$16)</f>
        <v>79500.231324865614</v>
      </c>
      <c r="T4" s="25">
        <f>S4*(1+'Inputs and Assumptions'!$C$16)</f>
        <v>95400.277589838734</v>
      </c>
      <c r="U4" s="25">
        <f>T4*(1+'Inputs and Assumptions'!$C$16)</f>
        <v>114480.33310780648</v>
      </c>
      <c r="V4" s="25">
        <f>U4*(1+'Inputs and Assumptions'!$C$16)</f>
        <v>137376.39972936778</v>
      </c>
      <c r="W4" s="25">
        <f>V4*(1+'Inputs and Assumptions'!$C$16)</f>
        <v>164851.67967524132</v>
      </c>
      <c r="X4" s="25">
        <f>W4*(1+'Inputs and Assumptions'!$C$16)</f>
        <v>197822.01561028959</v>
      </c>
      <c r="Y4" s="25">
        <f>X4*(1+'Inputs and Assumptions'!$C$16)</f>
        <v>237386.41873234749</v>
      </c>
      <c r="Z4" s="25">
        <f>Y4*(1+'Inputs and Assumptions'!$C$16)</f>
        <v>284863.70247881697</v>
      </c>
    </row>
    <row r="5" spans="2:26">
      <c r="B5" s="46" t="s">
        <v>94</v>
      </c>
      <c r="C5" s="43">
        <f>C4*'Inputs and Assumptions'!C19</f>
        <v>96.75</v>
      </c>
      <c r="D5" s="43">
        <f>C5*(1-'Inputs and Assumptions'!$C$17)+(D4-C4)*('Inputs and Assumptions'!$C$19)</f>
        <v>109.32749999999999</v>
      </c>
      <c r="E5" s="43">
        <f>D5*(1-'Inputs and Assumptions'!$C$17)+(E4-D4)*('Inputs and Assumptions'!$C$19)</f>
        <v>124.89457499999997</v>
      </c>
      <c r="F5" s="43">
        <f>E5*(1-'Inputs and Assumptions'!$C$17)+(F4-E4)*('Inputs and Assumptions'!$C$19)</f>
        <v>144.01595474999996</v>
      </c>
      <c r="G5" s="43">
        <f>F5*(1-'Inputs and Assumptions'!$C$17)+(G4-F4)*('Inputs and Assumptions'!$C$19)</f>
        <v>167.37163791749995</v>
      </c>
      <c r="H5" s="43">
        <f>G5*(1-'Inputs and Assumptions'!$C$17)+(H4-G4)*('Inputs and Assumptions'!$C$19)</f>
        <v>195.77978326327496</v>
      </c>
      <c r="I5" s="43">
        <f>H5*(1-'Inputs and Assumptions'!$C$17)+(I4-H4)*('Inputs and Assumptions'!$C$19)</f>
        <v>230.2241904348457</v>
      </c>
      <c r="J5" s="43">
        <f>I5*(1-'Inputs and Assumptions'!$C$17)+(J4-I4)*('Inputs and Assumptions'!$C$19)</f>
        <v>271.88728750440646</v>
      </c>
      <c r="K5" s="43">
        <f>J5*(1-'Inputs and Assumptions'!$C$17)+(K4-J4)*('Inputs and Assumptions'!$C$19)</f>
        <v>322.18972585909796</v>
      </c>
      <c r="L5" s="43">
        <f>K5*(1-'Inputs and Assumptions'!$C$17)+(L4-K4)*('Inputs and Assumptions'!$C$19)</f>
        <v>382.83790322496111</v>
      </c>
      <c r="M5" s="43">
        <f>L5*(1-'Inputs and Assumptions'!$C$17)+(M4-L4)*('Inputs and Assumptions'!$C$19)</f>
        <v>455.88099981041375</v>
      </c>
      <c r="N5" s="43">
        <f>M5*(1-'Inputs and Assumptions'!$C$17)+(N4-M4)*('Inputs and Assumptions'!$C$19)</f>
        <v>543.7794295971247</v>
      </c>
      <c r="O5" s="43">
        <f>N5*(1-'Inputs and Assumptions'!$C$17)+(O4-N4)*('Inputs and Assumptions'!$C$19)</f>
        <v>649.48698925345388</v>
      </c>
      <c r="P5" s="43">
        <f>O5*(1-'Inputs and Assumptions'!$C$17)+(P4-O4)*('Inputs and Assumptions'!$C$19)</f>
        <v>776.54944367946541</v>
      </c>
      <c r="Q5" s="43">
        <f>P5*(1-'Inputs and Assumptions'!$C$17)+(Q4-P4)*('Inputs and Assumptions'!$C$19)</f>
        <v>929.22283503040694</v>
      </c>
      <c r="R5" s="43">
        <f>Q5*(1-'Inputs and Assumptions'!$C$17)+(R4-Q4)*('Inputs and Assumptions'!$C$19)</f>
        <v>1112.6154594684833</v>
      </c>
      <c r="S5" s="43">
        <f>R5*(1-'Inputs and Assumptions'!$C$17)+(S4-R4)*('Inputs and Assumptions'!$C$19)</f>
        <v>1332.8582447739354</v>
      </c>
      <c r="T5" s="43">
        <f>S5*(1-'Inputs and Assumptions'!$C$17)+(T4-S4)*('Inputs and Assumptions'!$C$19)</f>
        <v>1597.309208601655</v>
      </c>
      <c r="U5" s="43">
        <f>T5*(1-'Inputs and Assumptions'!$C$17)+(U4-T4)*('Inputs and Assumptions'!$C$19)</f>
        <v>1914.7988131538134</v>
      </c>
      <c r="V5" s="43">
        <f>U5*(1-'Inputs and Assumptions'!$C$17)+(V4-U4)*('Inputs and Assumptions'!$C$19)</f>
        <v>2295.9243952181755</v>
      </c>
      <c r="W5" s="43">
        <f>V5*(1-'Inputs and Assumptions'!$C$17)+(W4-V4)*('Inputs and Assumptions'!$C$19)</f>
        <v>2753.403486335058</v>
      </c>
      <c r="X5" s="43">
        <f>W5*(1-'Inputs and Assumptions'!$C$17)+(X4-W4)*('Inputs and Assumptions'!$C$19)</f>
        <v>3302.4978008301896</v>
      </c>
      <c r="Y5" s="43">
        <f>X5*(1-'Inputs and Assumptions'!$C$17)+(Y4-X4)*('Inputs and Assumptions'!$C$19)</f>
        <v>3961.5220250183793</v>
      </c>
      <c r="Z5" s="43">
        <f>Y5*(1-'Inputs and Assumptions'!$C$17)+(Z4-Y4)*('Inputs and Assumptions'!$C$19)</f>
        <v>4752.4543675626555</v>
      </c>
    </row>
    <row r="6" spans="2:26">
      <c r="B6" s="44" t="s">
        <v>95</v>
      </c>
      <c r="C6" s="45">
        <f>C5*'Inputs and Assumptions'!$C$15</f>
        <v>128.67750000000001</v>
      </c>
      <c r="D6" s="45">
        <f>D5*'Inputs and Assumptions'!$C$15</f>
        <v>145.405575</v>
      </c>
      <c r="E6" s="45">
        <f>E5*'Inputs and Assumptions'!$C$15</f>
        <v>166.10978474999999</v>
      </c>
      <c r="F6" s="45">
        <f>F5*'Inputs and Assumptions'!$C$15</f>
        <v>191.54121981749995</v>
      </c>
      <c r="G6" s="45">
        <f>G5*'Inputs and Assumptions'!$C$15</f>
        <v>222.60427843027495</v>
      </c>
      <c r="H6" s="45">
        <f>H5*'Inputs and Assumptions'!$C$15</f>
        <v>260.38711174015572</v>
      </c>
      <c r="I6" s="45">
        <f>I5*'Inputs and Assumptions'!$C$15</f>
        <v>306.19817327834477</v>
      </c>
      <c r="J6" s="45">
        <f>J5*'Inputs and Assumptions'!$C$15</f>
        <v>361.61009238086064</v>
      </c>
      <c r="K6" s="45">
        <f>K5*'Inputs and Assumptions'!$C$15</f>
        <v>428.51233539260033</v>
      </c>
      <c r="L6" s="45">
        <f>L5*'Inputs and Assumptions'!$C$15</f>
        <v>509.1744112891983</v>
      </c>
      <c r="M6" s="45">
        <f>M5*'Inputs and Assumptions'!$C$15</f>
        <v>606.32172974785033</v>
      </c>
      <c r="N6" s="45">
        <f>N5*'Inputs and Assumptions'!$C$15</f>
        <v>723.22664136417586</v>
      </c>
      <c r="O6" s="45">
        <f>O5*'Inputs and Assumptions'!$C$15</f>
        <v>863.81769570709366</v>
      </c>
      <c r="P6" s="45">
        <f>P5*'Inputs and Assumptions'!$C$15</f>
        <v>1032.8107600936889</v>
      </c>
      <c r="Q6" s="45">
        <f>Q5*'Inputs and Assumptions'!$C$15</f>
        <v>1235.8663705904412</v>
      </c>
      <c r="R6" s="45">
        <f>R5*'Inputs and Assumptions'!$C$15</f>
        <v>1479.778561093083</v>
      </c>
      <c r="S6" s="45">
        <f>S5*'Inputs and Assumptions'!$C$15</f>
        <v>1772.7014655493342</v>
      </c>
      <c r="T6" s="45">
        <f>T5*'Inputs and Assumptions'!$C$15</f>
        <v>2124.4212474402011</v>
      </c>
      <c r="U6" s="45">
        <f>U5*'Inputs and Assumptions'!$C$15</f>
        <v>2546.6824214945718</v>
      </c>
      <c r="V6" s="45">
        <f>V5*'Inputs and Assumptions'!$C$15</f>
        <v>3053.5794456401736</v>
      </c>
      <c r="W6" s="45">
        <f>W5*'Inputs and Assumptions'!$C$15</f>
        <v>3662.0266368256275</v>
      </c>
      <c r="X6" s="45">
        <f>X5*'Inputs and Assumptions'!$C$15</f>
        <v>4392.3220751041526</v>
      </c>
      <c r="Y6" s="45">
        <f>Y5*'Inputs and Assumptions'!$C$15</f>
        <v>5268.8242932744452</v>
      </c>
      <c r="Z6" s="45">
        <f>Z5*'Inputs and Assumptions'!$C$15</f>
        <v>6320.7643088583318</v>
      </c>
    </row>
    <row r="8" spans="2:26">
      <c r="B8" s="9" t="s">
        <v>13</v>
      </c>
      <c r="C8" s="69" t="s">
        <v>96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10" spans="2:26">
      <c r="B10" s="42" t="s">
        <v>59</v>
      </c>
      <c r="C10" s="27">
        <f t="shared" ref="C10:N10" si="0">C6*33.33%</f>
        <v>42.888210749999999</v>
      </c>
      <c r="D10" s="27">
        <f t="shared" si="0"/>
        <v>48.463678147499998</v>
      </c>
      <c r="E10" s="27">
        <f t="shared" si="0"/>
        <v>55.364391257174994</v>
      </c>
      <c r="F10" s="27">
        <f t="shared" si="0"/>
        <v>63.840688565172734</v>
      </c>
      <c r="G10" s="27">
        <f t="shared" si="0"/>
        <v>74.194006000810631</v>
      </c>
      <c r="H10" s="27">
        <f t="shared" si="0"/>
        <v>86.787024342993902</v>
      </c>
      <c r="I10" s="27">
        <f t="shared" si="0"/>
        <v>102.05585115367231</v>
      </c>
      <c r="J10" s="27">
        <f t="shared" si="0"/>
        <v>120.52464379054085</v>
      </c>
      <c r="K10" s="27">
        <f t="shared" si="0"/>
        <v>142.82316138635369</v>
      </c>
      <c r="L10" s="27">
        <f t="shared" si="0"/>
        <v>169.7078312826898</v>
      </c>
      <c r="M10" s="27">
        <f t="shared" si="0"/>
        <v>202.08703252495852</v>
      </c>
      <c r="N10" s="27">
        <f t="shared" si="0"/>
        <v>241.05143956667982</v>
      </c>
      <c r="O10" s="27">
        <f t="shared" ref="O10:Z10" si="1">O6*33.33%</f>
        <v>287.91043797917433</v>
      </c>
      <c r="P10" s="27">
        <f t="shared" si="1"/>
        <v>344.23582633922649</v>
      </c>
      <c r="Q10" s="27">
        <f t="shared" si="1"/>
        <v>411.91426131779406</v>
      </c>
      <c r="R10" s="27">
        <f t="shared" si="1"/>
        <v>493.21019441232454</v>
      </c>
      <c r="S10" s="27">
        <f t="shared" si="1"/>
        <v>590.84139846759308</v>
      </c>
      <c r="T10" s="27">
        <f t="shared" si="1"/>
        <v>708.06960177181895</v>
      </c>
      <c r="U10" s="27">
        <f t="shared" si="1"/>
        <v>848.80925108414078</v>
      </c>
      <c r="V10" s="27">
        <f t="shared" si="1"/>
        <v>1017.7580292318698</v>
      </c>
      <c r="W10" s="27">
        <f t="shared" si="1"/>
        <v>1220.5534780539815</v>
      </c>
      <c r="X10" s="27">
        <f t="shared" si="1"/>
        <v>1463.9609476322139</v>
      </c>
      <c r="Y10" s="27">
        <f t="shared" si="1"/>
        <v>1756.0991369483725</v>
      </c>
      <c r="Z10" s="27">
        <f t="shared" si="1"/>
        <v>2106.7107441424819</v>
      </c>
    </row>
    <row r="11" spans="2:26">
      <c r="B11" s="42" t="s">
        <v>61</v>
      </c>
      <c r="C11" s="27">
        <f t="shared" ref="C11:N11" si="2">C6*51.67%</f>
        <v>66.487664250000009</v>
      </c>
      <c r="D11" s="27">
        <f t="shared" si="2"/>
        <v>75.1310606025</v>
      </c>
      <c r="E11" s="27">
        <f t="shared" si="2"/>
        <v>85.828925780325008</v>
      </c>
      <c r="F11" s="27">
        <f t="shared" si="2"/>
        <v>98.969348279702231</v>
      </c>
      <c r="G11" s="27">
        <f t="shared" si="2"/>
        <v>115.01963066492307</v>
      </c>
      <c r="H11" s="27">
        <f t="shared" si="2"/>
        <v>134.54202063613846</v>
      </c>
      <c r="I11" s="27">
        <f t="shared" si="2"/>
        <v>158.21259613292077</v>
      </c>
      <c r="J11" s="27">
        <f t="shared" si="2"/>
        <v>186.84393473319071</v>
      </c>
      <c r="K11" s="27">
        <f t="shared" si="2"/>
        <v>221.41232369735661</v>
      </c>
      <c r="L11" s="27">
        <f t="shared" si="2"/>
        <v>263.09041831312879</v>
      </c>
      <c r="M11" s="27">
        <f t="shared" si="2"/>
        <v>313.28643776071431</v>
      </c>
      <c r="N11" s="27">
        <f t="shared" si="2"/>
        <v>373.69120559286972</v>
      </c>
      <c r="O11" s="27">
        <f t="shared" ref="O11:Z11" si="3">O6*51.67%</f>
        <v>446.33460337185534</v>
      </c>
      <c r="P11" s="27">
        <f t="shared" si="3"/>
        <v>533.65331974040907</v>
      </c>
      <c r="Q11" s="27">
        <f t="shared" si="3"/>
        <v>638.57215368408106</v>
      </c>
      <c r="R11" s="27">
        <f t="shared" si="3"/>
        <v>764.60158251679604</v>
      </c>
      <c r="S11" s="27">
        <f t="shared" si="3"/>
        <v>915.95484724934113</v>
      </c>
      <c r="T11" s="27">
        <f t="shared" si="3"/>
        <v>1097.6884585523521</v>
      </c>
      <c r="U11" s="27">
        <f t="shared" si="3"/>
        <v>1315.8708071862454</v>
      </c>
      <c r="V11" s="27">
        <f t="shared" si="3"/>
        <v>1577.7844995622779</v>
      </c>
      <c r="W11" s="27">
        <f t="shared" si="3"/>
        <v>1892.1691632478019</v>
      </c>
      <c r="X11" s="27">
        <f t="shared" si="3"/>
        <v>2269.5128162063161</v>
      </c>
      <c r="Y11" s="27">
        <f t="shared" si="3"/>
        <v>2722.4015123349059</v>
      </c>
      <c r="Z11" s="27">
        <f t="shared" si="3"/>
        <v>3265.9389183871003</v>
      </c>
    </row>
    <row r="12" spans="2:26">
      <c r="B12" s="47" t="s">
        <v>63</v>
      </c>
      <c r="C12" s="52">
        <f t="shared" ref="C12:N12" si="4">C6*15%</f>
        <v>19.301625000000001</v>
      </c>
      <c r="D12" s="52">
        <f t="shared" si="4"/>
        <v>21.810836249999998</v>
      </c>
      <c r="E12" s="52">
        <f t="shared" si="4"/>
        <v>24.916467712499998</v>
      </c>
      <c r="F12" s="52">
        <f t="shared" si="4"/>
        <v>28.731182972624993</v>
      </c>
      <c r="G12" s="52">
        <f t="shared" si="4"/>
        <v>33.390641764541243</v>
      </c>
      <c r="H12" s="52">
        <f t="shared" si="4"/>
        <v>39.058066761023355</v>
      </c>
      <c r="I12" s="52">
        <f t="shared" si="4"/>
        <v>45.929725991751717</v>
      </c>
      <c r="J12" s="52">
        <f t="shared" si="4"/>
        <v>54.241513857129092</v>
      </c>
      <c r="K12" s="52">
        <f t="shared" si="4"/>
        <v>64.276850308890047</v>
      </c>
      <c r="L12" s="52">
        <f t="shared" si="4"/>
        <v>76.376161693379743</v>
      </c>
      <c r="M12" s="52">
        <f t="shared" si="4"/>
        <v>90.948259462177546</v>
      </c>
      <c r="N12" s="52">
        <f t="shared" si="4"/>
        <v>108.48399620462638</v>
      </c>
      <c r="O12" s="52">
        <f t="shared" ref="O12:Z12" si="5">O6*15%</f>
        <v>129.57265435606405</v>
      </c>
      <c r="P12" s="52">
        <f t="shared" si="5"/>
        <v>154.92161401405335</v>
      </c>
      <c r="Q12" s="52">
        <f t="shared" si="5"/>
        <v>185.37995558856616</v>
      </c>
      <c r="R12" s="52">
        <f t="shared" si="5"/>
        <v>221.96678416396244</v>
      </c>
      <c r="S12" s="52">
        <f t="shared" si="5"/>
        <v>265.90521983240012</v>
      </c>
      <c r="T12" s="52">
        <f t="shared" si="5"/>
        <v>318.66318711603014</v>
      </c>
      <c r="U12" s="52">
        <f t="shared" si="5"/>
        <v>382.00236322418579</v>
      </c>
      <c r="V12" s="52">
        <f t="shared" si="5"/>
        <v>458.03691684602603</v>
      </c>
      <c r="W12" s="52">
        <f t="shared" si="5"/>
        <v>549.30399552384415</v>
      </c>
      <c r="X12" s="52">
        <f t="shared" si="5"/>
        <v>658.8483112656229</v>
      </c>
      <c r="Y12" s="52">
        <f t="shared" si="5"/>
        <v>790.3236439911667</v>
      </c>
      <c r="Z12" s="52">
        <f t="shared" si="5"/>
        <v>948.1146463287497</v>
      </c>
    </row>
    <row r="15" spans="2:26">
      <c r="B15" s="75" t="s">
        <v>97</v>
      </c>
      <c r="C15" s="75"/>
      <c r="D15" s="75"/>
      <c r="E15" s="27">
        <f>SUM(C6:K6)</f>
        <v>2211.0460707897364</v>
      </c>
    </row>
    <row r="16" spans="2:26">
      <c r="B16" s="50" t="s">
        <v>98</v>
      </c>
      <c r="C16" s="51"/>
      <c r="D16" s="51"/>
      <c r="E16" s="27">
        <f>SUM(C6:H6)</f>
        <v>1114.7254697379306</v>
      </c>
    </row>
  </sheetData>
  <mergeCells count="2">
    <mergeCell ref="C8:N8"/>
    <mergeCell ref="B15:D15"/>
  </mergeCells>
  <pageMargins left="0.70866141732283472" right="0.70866141732283472" top="0.74803149606299213" bottom="0.74803149606299213" header="0.31496062992125984" footer="0.31496062992125984"/>
  <pageSetup paperSize="2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Sahil Agale</dc:creator>
  <cp:keywords/>
  <dc:description/>
  <cp:lastModifiedBy>Swara Mandale</cp:lastModifiedBy>
  <cp:revision/>
  <dcterms:created xsi:type="dcterms:W3CDTF">2025-06-30T16:56:11Z</dcterms:created>
  <dcterms:modified xsi:type="dcterms:W3CDTF">2025-07-10T14:14:27Z</dcterms:modified>
  <cp:category/>
  <cp:contentStatus/>
</cp:coreProperties>
</file>