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drawings/drawing8.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9.xml" ContentType="application/vnd.openxmlformats-officedocument.drawingml.chartshape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sangitadasgupta/Library/CloudStorage/GoogleDrive-sangitadasgupta4@gmail.com/My Drive/Education/2. MSU Spring Semester/FI 857 - Securities Analysis and Portfolio Management/Dick's Sporting/Final Presentation/"/>
    </mc:Choice>
  </mc:AlternateContent>
  <xr:revisionPtr revIDLastSave="0" documentId="13_ncr:1_{36A54BC3-E547-0842-B358-FF67B043E6AE}" xr6:coauthVersionLast="47" xr6:coauthVersionMax="47" xr10:uidLastSave="{00000000-0000-0000-0000-000000000000}"/>
  <bookViews>
    <workbookView xWindow="0" yWindow="520" windowWidth="28800" windowHeight="16860" xr2:uid="{18062A72-BE7E-7545-A9D1-C7B9E1854503}"/>
  </bookViews>
  <sheets>
    <sheet name="Income Statement" sheetId="12" r:id="rId1"/>
    <sheet name="Cash Flow Statement" sheetId="4" r:id="rId2"/>
    <sheet name="Balance Sheet" sheetId="5" r:id="rId3"/>
    <sheet name="1-Year Price Target Calculation" sheetId="22" r:id="rId4"/>
    <sheet name="3-Year Price Target Calculation" sheetId="21" r:id="rId5"/>
    <sheet name="Revenue Build" sheetId="3" r:id="rId6"/>
    <sheet name="Supporting Statements" sheetId="14" r:id="rId7"/>
    <sheet name="Companies" sheetId="18" r:id="rId8"/>
    <sheet name="Financials" sheetId="10" r:id="rId9"/>
    <sheet name="Valuation" sheetId="11" r:id="rId10"/>
    <sheet name="Updated Valuation Spread" sheetId="23" r:id="rId11"/>
    <sheet name="NWC Calculation Instructions" sheetId="20" r:id="rId12"/>
    <sheet name="Relative Valuation" sheetId="15" state="hidden" r:id="rId13"/>
    <sheet name="Instructions" sheetId="8" state="hidden" r:id="rId14"/>
    <sheet name="Valuation Spread" sheetId="13" state="hidden" r:id="rId15"/>
    <sheet name="Exhibits" sheetId="16" state="hidden" r:id="rId16"/>
  </sheets>
  <externalReferences>
    <externalReference r:id="rId17"/>
  </externalReferences>
  <definedNames>
    <definedName name="acquisition" localSheetId="0">'Income Statement'!#REF!</definedName>
    <definedName name="acquisition">#REF!</definedName>
    <definedName name="circ" localSheetId="0">'Income Statement'!#REF!</definedName>
    <definedName name="circ">#REF!</definedName>
    <definedName name="circ2">#REF!</definedName>
    <definedName name="_xlnm.Print_Area" localSheetId="4">'3-Year Price Target Calculation'!$B$3:$H$24</definedName>
    <definedName name="_xlnm.Print_Area" localSheetId="2">'Balance Sheet'!$B$3:$G$48</definedName>
    <definedName name="_xlnm.Print_Area" localSheetId="1">'Cash Flow Statement'!$B$3:$G$34</definedName>
    <definedName name="_xlnm.Print_Area" localSheetId="7">Companies!$B$4:$H$17</definedName>
    <definedName name="_xlnm.Print_Area" localSheetId="8">Financials!$B$3:$N$27</definedName>
    <definedName name="_xlnm.Print_Area" localSheetId="0">'Income Statement'!$B$3:$K$42,'Income Statement'!$B$63:$K$74,'Income Statement'!$B$45:$K$60,'Income Statement'!$B$77:$K$95,'Income Statement'!$B$98:$K$102</definedName>
    <definedName name="_xlnm.Print_Area" localSheetId="5">'Revenue Build'!$B$3:$J$18</definedName>
    <definedName name="_xlnm.Print_Area" localSheetId="9">Valuation!$B$3:$L$24</definedName>
    <definedName name="_xlnm.Print_Titles" localSheetId="0">'Income Statement'!$3:$7</definedName>
  </definedNames>
  <calcPr calcId="191029" iterate="1" iterateCount="1000"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2" i="12" l="1"/>
  <c r="I11" i="12"/>
  <c r="J12" i="12"/>
  <c r="J11" i="12"/>
  <c r="K12" i="12"/>
  <c r="K11" i="12"/>
  <c r="K16" i="12"/>
  <c r="K18" i="12"/>
  <c r="G23" i="12"/>
  <c r="G24" i="12"/>
  <c r="H23" i="12"/>
  <c r="H24" i="12"/>
  <c r="I24" i="12"/>
  <c r="J24" i="12"/>
  <c r="K24" i="12"/>
  <c r="K23" i="12"/>
  <c r="K25" i="12"/>
  <c r="D48" i="12"/>
  <c r="D49" i="12"/>
  <c r="E48" i="12"/>
  <c r="E49" i="12"/>
  <c r="F48" i="12"/>
  <c r="F49" i="12"/>
  <c r="G48" i="12"/>
  <c r="G49" i="12"/>
  <c r="H48" i="12"/>
  <c r="H49" i="12"/>
  <c r="K49" i="12"/>
  <c r="K48" i="12"/>
  <c r="K66" i="12"/>
  <c r="E95" i="12"/>
  <c r="F95" i="12"/>
  <c r="I16" i="12"/>
  <c r="I18" i="12"/>
  <c r="I23" i="12"/>
  <c r="I25" i="12"/>
  <c r="I80" i="12"/>
  <c r="I49" i="12"/>
  <c r="I48" i="12"/>
  <c r="I81" i="12"/>
  <c r="I50" i="12"/>
  <c r="I82" i="12"/>
  <c r="I54" i="12"/>
  <c r="I83" i="12"/>
  <c r="H18" i="12"/>
  <c r="H25" i="12"/>
  <c r="H30" i="12"/>
  <c r="H33" i="12"/>
  <c r="I33" i="12"/>
  <c r="I84" i="12"/>
  <c r="I85" i="12"/>
  <c r="I9" i="12"/>
  <c r="I90" i="12"/>
  <c r="J16" i="12"/>
  <c r="J18" i="12"/>
  <c r="J23" i="12"/>
  <c r="J25" i="12"/>
  <c r="J80" i="12"/>
  <c r="J49" i="12"/>
  <c r="J48" i="12"/>
  <c r="J81" i="12"/>
  <c r="J50" i="12"/>
  <c r="J82" i="12"/>
  <c r="J54" i="12"/>
  <c r="J83" i="12"/>
  <c r="J33" i="12"/>
  <c r="J84" i="12"/>
  <c r="J85" i="12"/>
  <c r="J9" i="12"/>
  <c r="J90" i="12"/>
  <c r="K80" i="12"/>
  <c r="K81" i="12"/>
  <c r="K50" i="12"/>
  <c r="K82" i="12"/>
  <c r="E53" i="12"/>
  <c r="D53" i="12"/>
  <c r="E54" i="12"/>
  <c r="E55" i="12"/>
  <c r="F53" i="12"/>
  <c r="F54" i="12"/>
  <c r="F55" i="12"/>
  <c r="G53" i="12"/>
  <c r="G54" i="12"/>
  <c r="G55" i="12"/>
  <c r="K55" i="12"/>
  <c r="K54" i="12"/>
  <c r="K83" i="12"/>
  <c r="K33" i="12"/>
  <c r="K84" i="12"/>
  <c r="K85" i="12"/>
  <c r="K9" i="12"/>
  <c r="K90" i="12"/>
  <c r="K91" i="12"/>
  <c r="H58" i="12"/>
  <c r="G95" i="12"/>
  <c r="H95" i="12"/>
  <c r="I95" i="12"/>
  <c r="D100" i="12"/>
  <c r="C113" i="12"/>
  <c r="H66" i="12"/>
  <c r="F15" i="23"/>
  <c r="E15" i="23"/>
  <c r="H34" i="12"/>
  <c r="H39" i="12"/>
  <c r="F14" i="23"/>
  <c r="E14" i="23"/>
  <c r="L15" i="23"/>
  <c r="J15" i="23"/>
  <c r="K15" i="23"/>
  <c r="H15" i="23"/>
  <c r="L14" i="23"/>
  <c r="J14" i="23"/>
  <c r="K14" i="23"/>
  <c r="H14" i="23"/>
  <c r="L13" i="23"/>
  <c r="J13" i="23"/>
  <c r="K13" i="23"/>
  <c r="H13" i="23"/>
  <c r="L12" i="23"/>
  <c r="J12" i="23"/>
  <c r="K12" i="23"/>
  <c r="H12" i="23"/>
  <c r="H15" i="3"/>
  <c r="E15" i="13"/>
  <c r="F15" i="13"/>
  <c r="C12" i="22"/>
  <c r="I28" i="12"/>
  <c r="D57" i="12"/>
  <c r="E57" i="12"/>
  <c r="F57" i="12"/>
  <c r="G57" i="12"/>
  <c r="H57" i="12"/>
  <c r="I57" i="12"/>
  <c r="I60" i="12"/>
  <c r="J28" i="12"/>
  <c r="J57" i="12"/>
  <c r="J60" i="12"/>
  <c r="K28" i="12"/>
  <c r="K57" i="12"/>
  <c r="K60" i="12"/>
  <c r="I58" i="12"/>
  <c r="H53" i="12"/>
  <c r="I78" i="12"/>
  <c r="J78" i="12"/>
  <c r="K78" i="12"/>
  <c r="D78" i="12"/>
  <c r="E78" i="12"/>
  <c r="F78" i="12"/>
  <c r="G78" i="12"/>
  <c r="H78" i="12"/>
  <c r="I64" i="12"/>
  <c r="J64" i="12"/>
  <c r="K64" i="12"/>
  <c r="D64" i="12"/>
  <c r="E64" i="12"/>
  <c r="F64" i="12"/>
  <c r="G64" i="12"/>
  <c r="H64" i="12"/>
  <c r="I46" i="12"/>
  <c r="J46" i="12"/>
  <c r="K46" i="12"/>
  <c r="D46" i="12"/>
  <c r="E46" i="12"/>
  <c r="F46" i="12"/>
  <c r="G46" i="12"/>
  <c r="H46" i="12"/>
  <c r="E58" i="12"/>
  <c r="F58" i="12"/>
  <c r="G58" i="12"/>
  <c r="D58" i="12"/>
  <c r="G54" i="5"/>
  <c r="F54" i="5"/>
  <c r="E54" i="5"/>
  <c r="D54" i="5"/>
  <c r="C54" i="5"/>
  <c r="C56" i="5"/>
  <c r="G53" i="5"/>
  <c r="F53" i="5"/>
  <c r="E53" i="5"/>
  <c r="D53" i="5"/>
  <c r="C53" i="5"/>
  <c r="G47" i="5"/>
  <c r="F47" i="5"/>
  <c r="E47" i="5"/>
  <c r="D47" i="5"/>
  <c r="C47" i="5"/>
  <c r="G43" i="5"/>
  <c r="G48" i="5"/>
  <c r="G50" i="5"/>
  <c r="G56" i="5"/>
  <c r="F43" i="5"/>
  <c r="F48" i="5"/>
  <c r="E43" i="5"/>
  <c r="E48" i="5"/>
  <c r="E50" i="5"/>
  <c r="E56" i="5"/>
  <c r="D43" i="5"/>
  <c r="D48" i="5"/>
  <c r="D50" i="5"/>
  <c r="D56" i="5"/>
  <c r="C43" i="5"/>
  <c r="C48" i="5"/>
  <c r="C50" i="5"/>
  <c r="G40" i="5"/>
  <c r="C40" i="5"/>
  <c r="G38" i="5"/>
  <c r="F38" i="5"/>
  <c r="F40" i="5"/>
  <c r="E38" i="5"/>
  <c r="E40" i="5"/>
  <c r="D38" i="5"/>
  <c r="D40" i="5"/>
  <c r="C38" i="5"/>
  <c r="G28" i="5"/>
  <c r="G30" i="5"/>
  <c r="F28" i="5"/>
  <c r="F30" i="5"/>
  <c r="G23" i="5"/>
  <c r="F23" i="5"/>
  <c r="E23" i="5"/>
  <c r="E28" i="5"/>
  <c r="E30" i="5"/>
  <c r="E57" i="5"/>
  <c r="D23" i="5"/>
  <c r="D28" i="5"/>
  <c r="D30" i="5"/>
  <c r="C23" i="5"/>
  <c r="C28" i="5"/>
  <c r="C30" i="5"/>
  <c r="G21" i="5"/>
  <c r="F21" i="5"/>
  <c r="E21" i="5"/>
  <c r="D21" i="5"/>
  <c r="C21" i="5"/>
  <c r="G14" i="5"/>
  <c r="F14" i="5"/>
  <c r="E14" i="5"/>
  <c r="D14" i="5"/>
  <c r="C14" i="5"/>
  <c r="G57" i="5"/>
  <c r="C57" i="5"/>
  <c r="D57" i="5"/>
  <c r="F50" i="5"/>
  <c r="F56" i="5"/>
  <c r="F57" i="5"/>
  <c r="C19" i="4"/>
  <c r="D19" i="4"/>
  <c r="E19" i="4"/>
  <c r="F19" i="4"/>
  <c r="G19" i="4"/>
  <c r="H6" i="3"/>
  <c r="I6" i="3"/>
  <c r="J6" i="3"/>
  <c r="C6" i="3"/>
  <c r="D6" i="3"/>
  <c r="E6" i="3"/>
  <c r="F6" i="3"/>
  <c r="G6" i="3"/>
  <c r="G13" i="3"/>
  <c r="F13" i="3"/>
  <c r="E13" i="3"/>
  <c r="D13" i="3"/>
  <c r="H12" i="3"/>
  <c r="G11" i="3"/>
  <c r="F11" i="3"/>
  <c r="E11" i="3"/>
  <c r="D11" i="3"/>
  <c r="H10" i="3"/>
  <c r="I10" i="3"/>
  <c r="J10" i="3"/>
  <c r="I12" i="3"/>
  <c r="J12" i="3"/>
  <c r="C6" i="4"/>
  <c r="D6" i="4"/>
  <c r="E6" i="4"/>
  <c r="F6" i="4"/>
  <c r="G6" i="4"/>
  <c r="H14" i="13"/>
  <c r="K58" i="12"/>
  <c r="J58" i="12"/>
  <c r="H15" i="13"/>
  <c r="L13" i="13"/>
  <c r="J13" i="13"/>
  <c r="H13" i="13"/>
  <c r="L24" i="11"/>
  <c r="K24" i="11"/>
  <c r="J24" i="11"/>
  <c r="I24" i="11"/>
  <c r="H24" i="11"/>
  <c r="G24" i="11"/>
  <c r="F24" i="11"/>
  <c r="E24" i="11"/>
  <c r="L23" i="11"/>
  <c r="K23" i="11"/>
  <c r="J23" i="11"/>
  <c r="I23" i="11"/>
  <c r="H23" i="11"/>
  <c r="G23" i="11"/>
  <c r="F23" i="11"/>
  <c r="E23" i="11"/>
  <c r="L22" i="11"/>
  <c r="K22" i="11"/>
  <c r="J22" i="11"/>
  <c r="I22" i="11"/>
  <c r="H22" i="11"/>
  <c r="G22" i="11"/>
  <c r="F22" i="11"/>
  <c r="E22" i="11"/>
  <c r="L21" i="11"/>
  <c r="L10" i="11"/>
  <c r="K21" i="11"/>
  <c r="K10" i="11"/>
  <c r="J21" i="11"/>
  <c r="J10" i="11"/>
  <c r="I21" i="11"/>
  <c r="I10" i="11"/>
  <c r="H21" i="11"/>
  <c r="H10" i="11"/>
  <c r="G21" i="11"/>
  <c r="G10" i="11"/>
  <c r="F21" i="11"/>
  <c r="F10" i="11"/>
  <c r="E21" i="11"/>
  <c r="L20" i="11"/>
  <c r="K20" i="11"/>
  <c r="J20" i="11"/>
  <c r="I20" i="11"/>
  <c r="H20" i="11"/>
  <c r="G20" i="11"/>
  <c r="F20" i="11"/>
  <c r="E20" i="11"/>
  <c r="L19" i="11"/>
  <c r="K19" i="11"/>
  <c r="J19" i="11"/>
  <c r="I19" i="11"/>
  <c r="H19" i="11"/>
  <c r="G19" i="11"/>
  <c r="F19" i="11"/>
  <c r="E19" i="11"/>
  <c r="D24" i="11"/>
  <c r="D23" i="11"/>
  <c r="D22" i="11"/>
  <c r="D21" i="11"/>
  <c r="D20" i="11"/>
  <c r="D19" i="11"/>
  <c r="F22" i="10"/>
  <c r="G22" i="10"/>
  <c r="H22" i="10"/>
  <c r="I22" i="10"/>
  <c r="J22" i="10"/>
  <c r="K22" i="10"/>
  <c r="L22" i="10"/>
  <c r="M22" i="10"/>
  <c r="N22" i="10"/>
  <c r="F23" i="10"/>
  <c r="G23" i="10"/>
  <c r="H23" i="10"/>
  <c r="I23" i="10"/>
  <c r="J23" i="10"/>
  <c r="K23" i="10"/>
  <c r="L23" i="10"/>
  <c r="M23" i="10"/>
  <c r="N23" i="10"/>
  <c r="F24" i="10"/>
  <c r="F10" i="10"/>
  <c r="G24" i="10"/>
  <c r="G10" i="10"/>
  <c r="H24" i="10"/>
  <c r="H10" i="10"/>
  <c r="I24" i="10"/>
  <c r="I10" i="10"/>
  <c r="J24" i="10"/>
  <c r="J10" i="10"/>
  <c r="K24" i="10"/>
  <c r="K10" i="10"/>
  <c r="L24" i="10"/>
  <c r="L10" i="10"/>
  <c r="M24" i="10"/>
  <c r="M10" i="10"/>
  <c r="N24" i="10"/>
  <c r="N10" i="10"/>
  <c r="F25" i="10"/>
  <c r="G25" i="10"/>
  <c r="H25" i="10"/>
  <c r="I25" i="10"/>
  <c r="J25" i="10"/>
  <c r="K25" i="10"/>
  <c r="L25" i="10"/>
  <c r="M25" i="10"/>
  <c r="N25" i="10"/>
  <c r="F26" i="10"/>
  <c r="G26" i="10"/>
  <c r="H26" i="10"/>
  <c r="I26" i="10"/>
  <c r="J26" i="10"/>
  <c r="K26" i="10"/>
  <c r="L26" i="10"/>
  <c r="M26" i="10"/>
  <c r="N26" i="10"/>
  <c r="F27" i="10"/>
  <c r="G27" i="10"/>
  <c r="H27" i="10"/>
  <c r="I27" i="10"/>
  <c r="J27" i="10"/>
  <c r="K27" i="10"/>
  <c r="L27" i="10"/>
  <c r="M27" i="10"/>
  <c r="N27" i="10"/>
  <c r="H13" i="12"/>
  <c r="E60" i="12"/>
  <c r="F60" i="12"/>
  <c r="G60" i="12"/>
  <c r="H60" i="12"/>
  <c r="D60" i="12"/>
  <c r="E26" i="10"/>
  <c r="D25" i="10"/>
  <c r="E25" i="10"/>
  <c r="D23" i="10"/>
  <c r="E24" i="10"/>
  <c r="D27" i="10"/>
  <c r="D22" i="10"/>
  <c r="E23" i="10"/>
  <c r="D26" i="10"/>
  <c r="E27" i="10"/>
  <c r="D24" i="10"/>
  <c r="E22" i="10"/>
  <c r="J12" i="13"/>
  <c r="L12" i="13"/>
  <c r="H12" i="13"/>
  <c r="D83" i="12"/>
  <c r="E50" i="12"/>
  <c r="E82" i="12"/>
  <c r="F50" i="12"/>
  <c r="F82" i="12"/>
  <c r="G50" i="12"/>
  <c r="G82" i="12"/>
  <c r="H50" i="12"/>
  <c r="H82" i="12"/>
  <c r="D50" i="12"/>
  <c r="D82" i="12"/>
  <c r="H38" i="12"/>
  <c r="G38" i="12"/>
  <c r="F38" i="12"/>
  <c r="E38" i="12"/>
  <c r="I37" i="12"/>
  <c r="C13" i="22"/>
  <c r="F23" i="12"/>
  <c r="E23" i="12"/>
  <c r="E24" i="12"/>
  <c r="D23" i="12"/>
  <c r="D24" i="12"/>
  <c r="G18" i="12"/>
  <c r="G19" i="12"/>
  <c r="F18" i="12"/>
  <c r="F19" i="12"/>
  <c r="E18" i="12"/>
  <c r="E19" i="12"/>
  <c r="D18" i="12"/>
  <c r="H17" i="12"/>
  <c r="G17" i="12"/>
  <c r="F17" i="12"/>
  <c r="E17" i="12"/>
  <c r="D17" i="12"/>
  <c r="H12" i="12"/>
  <c r="G12" i="12"/>
  <c r="F12" i="12"/>
  <c r="E12" i="12"/>
  <c r="H81" i="12"/>
  <c r="E9" i="3"/>
  <c r="F9" i="3"/>
  <c r="G9" i="3"/>
  <c r="D9" i="3"/>
  <c r="C27" i="4"/>
  <c r="D27" i="4"/>
  <c r="E27" i="4"/>
  <c r="F27" i="4"/>
  <c r="G27" i="4"/>
  <c r="H8" i="3"/>
  <c r="H14" i="3"/>
  <c r="D15" i="3"/>
  <c r="E15" i="3"/>
  <c r="F15" i="3"/>
  <c r="G15" i="3"/>
  <c r="C17" i="3"/>
  <c r="D17" i="3"/>
  <c r="E17" i="3"/>
  <c r="F17" i="3"/>
  <c r="G17" i="3"/>
  <c r="I14" i="3"/>
  <c r="J14" i="3"/>
  <c r="I8" i="3"/>
  <c r="J8" i="3"/>
  <c r="J37" i="12"/>
  <c r="K37" i="12"/>
  <c r="G83" i="12"/>
  <c r="H54" i="12"/>
  <c r="H55" i="12"/>
  <c r="F18" i="3"/>
  <c r="D18" i="3"/>
  <c r="E18" i="3"/>
  <c r="H17" i="3"/>
  <c r="H18" i="3"/>
  <c r="I17" i="3"/>
  <c r="G18" i="3"/>
  <c r="H51" i="12"/>
  <c r="H80" i="12"/>
  <c r="E81" i="12"/>
  <c r="G25" i="12"/>
  <c r="G66" i="12"/>
  <c r="E25" i="12"/>
  <c r="E26" i="12"/>
  <c r="F51" i="12"/>
  <c r="G51" i="12"/>
  <c r="G81" i="12"/>
  <c r="H19" i="12"/>
  <c r="E51" i="12"/>
  <c r="D51" i="12"/>
  <c r="K13" i="13"/>
  <c r="K12" i="13"/>
  <c r="F81" i="12"/>
  <c r="D81" i="12"/>
  <c r="F24" i="12"/>
  <c r="F25" i="12"/>
  <c r="D25" i="12"/>
  <c r="D19" i="12"/>
  <c r="C12" i="21"/>
  <c r="J17" i="3"/>
  <c r="J18" i="3"/>
  <c r="C13" i="21"/>
  <c r="I19" i="12"/>
  <c r="H59" i="12"/>
  <c r="H26" i="12"/>
  <c r="E83" i="12"/>
  <c r="H83" i="12"/>
  <c r="I18" i="3"/>
  <c r="G26" i="12"/>
  <c r="J15" i="13"/>
  <c r="E30" i="12"/>
  <c r="E33" i="12"/>
  <c r="E80" i="12"/>
  <c r="E66" i="12"/>
  <c r="E67" i="12"/>
  <c r="L15" i="13"/>
  <c r="F83" i="12"/>
  <c r="G80" i="12"/>
  <c r="G30" i="12"/>
  <c r="G59" i="12"/>
  <c r="G67" i="12"/>
  <c r="D26" i="12"/>
  <c r="D80" i="12"/>
  <c r="D30" i="12"/>
  <c r="D66" i="12"/>
  <c r="F80" i="12"/>
  <c r="F66" i="12"/>
  <c r="F30" i="12"/>
  <c r="F26" i="12"/>
  <c r="H67" i="12"/>
  <c r="H84" i="12"/>
  <c r="H85" i="12"/>
  <c r="H70" i="12"/>
  <c r="H72" i="12"/>
  <c r="G8" i="4"/>
  <c r="G12" i="4"/>
  <c r="G14" i="4"/>
  <c r="E84" i="12"/>
  <c r="E85" i="12"/>
  <c r="E70" i="12"/>
  <c r="E72" i="12"/>
  <c r="K15" i="13"/>
  <c r="E35" i="12"/>
  <c r="E59" i="12"/>
  <c r="G33" i="12"/>
  <c r="G84" i="12"/>
  <c r="G85" i="12"/>
  <c r="G70" i="12"/>
  <c r="I30" i="12"/>
  <c r="I32" i="12"/>
  <c r="I34" i="12"/>
  <c r="I35" i="12"/>
  <c r="I66" i="12"/>
  <c r="I26" i="12"/>
  <c r="D59" i="12"/>
  <c r="D67" i="12"/>
  <c r="D33" i="12"/>
  <c r="D84" i="12"/>
  <c r="D85" i="12"/>
  <c r="D70" i="12"/>
  <c r="D72" i="12"/>
  <c r="F33" i="12"/>
  <c r="F84" i="12"/>
  <c r="F85" i="12"/>
  <c r="F70" i="12"/>
  <c r="F59" i="12"/>
  <c r="F67" i="12"/>
  <c r="J19" i="12"/>
  <c r="I67" i="12"/>
  <c r="C10" i="22"/>
  <c r="C16" i="22"/>
  <c r="C17" i="22"/>
  <c r="C18" i="22"/>
  <c r="L14" i="13"/>
  <c r="J14" i="13"/>
  <c r="I39" i="12"/>
  <c r="C11" i="22"/>
  <c r="C21" i="22"/>
  <c r="D8" i="4"/>
  <c r="D12" i="4"/>
  <c r="D14" i="4"/>
  <c r="E39" i="12"/>
  <c r="H35" i="12"/>
  <c r="I59" i="12"/>
  <c r="G35" i="12"/>
  <c r="F8" i="4"/>
  <c r="F12" i="4"/>
  <c r="F14" i="4"/>
  <c r="G39" i="12"/>
  <c r="G72" i="12"/>
  <c r="H73" i="12"/>
  <c r="F73" i="12"/>
  <c r="F72" i="12"/>
  <c r="G73" i="12"/>
  <c r="E73" i="12"/>
  <c r="F35" i="12"/>
  <c r="F39" i="12"/>
  <c r="E8" i="4"/>
  <c r="E12" i="4"/>
  <c r="E14" i="4"/>
  <c r="D39" i="12"/>
  <c r="C8" i="4"/>
  <c r="C12" i="4"/>
  <c r="D35" i="12"/>
  <c r="C23" i="22"/>
  <c r="K13" i="12"/>
  <c r="K19" i="12"/>
  <c r="J26" i="12"/>
  <c r="J66" i="12"/>
  <c r="J67" i="12"/>
  <c r="K14" i="13"/>
  <c r="E42" i="12"/>
  <c r="I42" i="12"/>
  <c r="H42" i="12"/>
  <c r="I70" i="12"/>
  <c r="F42" i="12"/>
  <c r="G42" i="12"/>
  <c r="J30" i="12"/>
  <c r="J32" i="12"/>
  <c r="J34" i="12"/>
  <c r="J39" i="12"/>
  <c r="J42" i="12"/>
  <c r="K30" i="12"/>
  <c r="K32" i="12"/>
  <c r="K34" i="12"/>
  <c r="K35" i="12"/>
  <c r="J35" i="12"/>
  <c r="J59" i="12"/>
  <c r="I72" i="12"/>
  <c r="I73" i="12"/>
  <c r="K26" i="12"/>
  <c r="J70" i="12"/>
  <c r="J73" i="12"/>
  <c r="K70" i="12"/>
  <c r="K73" i="12"/>
  <c r="J72" i="12"/>
  <c r="K39" i="12"/>
  <c r="C11" i="21"/>
  <c r="C21" i="21"/>
  <c r="K59" i="12"/>
  <c r="K72" i="12"/>
  <c r="C10" i="21"/>
  <c r="C16" i="21"/>
  <c r="C17" i="21"/>
  <c r="C18" i="21"/>
  <c r="K67" i="12"/>
  <c r="J95" i="12"/>
  <c r="K42" i="12"/>
  <c r="C23" i="21"/>
  <c r="D102" i="12"/>
</calcChain>
</file>

<file path=xl/sharedStrings.xml><?xml version="1.0" encoding="utf-8"?>
<sst xmlns="http://schemas.openxmlformats.org/spreadsheetml/2006/main" count="534" uniqueCount="359">
  <si>
    <t>Current Price</t>
  </si>
  <si>
    <t>Value</t>
  </si>
  <si>
    <t>Shares</t>
  </si>
  <si>
    <t>MV</t>
  </si>
  <si>
    <t>TV</t>
  </si>
  <si>
    <t>Terminal Value</t>
  </si>
  <si>
    <t>Exit</t>
  </si>
  <si>
    <t>Cash Flow to the Firm</t>
  </si>
  <si>
    <t>EBIT</t>
  </si>
  <si>
    <t>Net Income</t>
  </si>
  <si>
    <t>Net Debt/EBITDA</t>
  </si>
  <si>
    <t>Net Debt</t>
  </si>
  <si>
    <t xml:space="preserve">  Change in NWC</t>
  </si>
  <si>
    <t xml:space="preserve">  Capital Ex/Revenue</t>
  </si>
  <si>
    <t>Capital Expenditures</t>
  </si>
  <si>
    <t>Depreciation and Amortization</t>
  </si>
  <si>
    <t>Drivers</t>
  </si>
  <si>
    <t>Consensus Simple Free Cash Flow</t>
  </si>
  <si>
    <t>Simple Free Cash Growth</t>
  </si>
  <si>
    <t>Simple Free Cash Flow per Share</t>
  </si>
  <si>
    <t>Consensus EBITDA(adj)</t>
  </si>
  <si>
    <t>EBITDA</t>
  </si>
  <si>
    <t xml:space="preserve">    EPS Growth</t>
  </si>
  <si>
    <t>Earnings Per Share (diluted)</t>
  </si>
  <si>
    <t>Net Income Margin</t>
  </si>
  <si>
    <t>Tax Rate</t>
  </si>
  <si>
    <t>Income Tax Expense (Provision)</t>
  </si>
  <si>
    <t>EBT</t>
  </si>
  <si>
    <t>Other Expense</t>
  </si>
  <si>
    <t>Interest expense</t>
  </si>
  <si>
    <t>EBIT Margin</t>
  </si>
  <si>
    <t>Operating Income (EBIT)</t>
  </si>
  <si>
    <t>Operating Expense Margin</t>
  </si>
  <si>
    <t>Total Operating Expense</t>
  </si>
  <si>
    <t>Gross Profit Margin</t>
  </si>
  <si>
    <t>Gross Profit</t>
  </si>
  <si>
    <t>COGS Margin</t>
  </si>
  <si>
    <t>Cost of Goods Sold</t>
  </si>
  <si>
    <t>Sales Growth</t>
  </si>
  <si>
    <t>Net sales</t>
  </si>
  <si>
    <t>Total Revenue Growth</t>
  </si>
  <si>
    <t>Total Revenue</t>
  </si>
  <si>
    <t>Effect of foreign currency translation</t>
  </si>
  <si>
    <t>Cash Flow from Financing Activities</t>
  </si>
  <si>
    <t>Cash Flow from Investing Activities</t>
  </si>
  <si>
    <t>Other Cash Flow from Investing Activities</t>
  </si>
  <si>
    <t>Cash Flow from Operating Activities</t>
  </si>
  <si>
    <t>Cash Flow Statement</t>
  </si>
  <si>
    <t>Total Liabilities and Shareholder Equity</t>
  </si>
  <si>
    <t>Total Liabilities</t>
  </si>
  <si>
    <t>Total Non-Current Liabilities</t>
  </si>
  <si>
    <t>Other long-term liabilities</t>
  </si>
  <si>
    <t>Non-Current Liabilities</t>
  </si>
  <si>
    <t>Total Current Liabilities</t>
  </si>
  <si>
    <t xml:space="preserve">Current Liabilities  </t>
  </si>
  <si>
    <t>Liabilities &amp; Shareholder Equity</t>
  </si>
  <si>
    <t>Total Assets</t>
  </si>
  <si>
    <t>Total Non-Current Assets</t>
  </si>
  <si>
    <t>Other assets</t>
  </si>
  <si>
    <t>Non-Current Assets</t>
  </si>
  <si>
    <t>Total Current Assets</t>
  </si>
  <si>
    <t>Other current assets</t>
  </si>
  <si>
    <t>Inventories</t>
  </si>
  <si>
    <t>Current Assets</t>
  </si>
  <si>
    <t>Assets</t>
  </si>
  <si>
    <t>Balance Sheet</t>
  </si>
  <si>
    <t>RV/Comp Sheet (EV/EBITDA FY 1)</t>
  </si>
  <si>
    <t>FYI EV/ EBITDA</t>
  </si>
  <si>
    <t>DES/Ratios</t>
  </si>
  <si>
    <t>Current EV/EBITDA</t>
  </si>
  <si>
    <t>Price / Book</t>
  </si>
  <si>
    <t>FA/Key Stats/Multiples/Current</t>
  </si>
  <si>
    <t>EV/Sales</t>
  </si>
  <si>
    <t>Price/ Sales</t>
  </si>
  <si>
    <t>DES/Ratios (Curr P/FCF)</t>
  </si>
  <si>
    <t>Current Price/FCF</t>
  </si>
  <si>
    <t>DES/Profile (Est P/E)</t>
  </si>
  <si>
    <t>FYI Price/Earnings</t>
  </si>
  <si>
    <t>DES/Profile (P/E)</t>
  </si>
  <si>
    <t>TTM Price/Earnings</t>
  </si>
  <si>
    <t>Valuation</t>
  </si>
  <si>
    <t>Debt/Comm Eq</t>
  </si>
  <si>
    <t>FA/Ratios/Credit/Most recent</t>
  </si>
  <si>
    <t>ROC</t>
  </si>
  <si>
    <t>ROE</t>
  </si>
  <si>
    <t>ROA</t>
  </si>
  <si>
    <t>DES/Ratios (Prtx Mrgn)</t>
  </si>
  <si>
    <t>Pretax Margin</t>
  </si>
  <si>
    <t>DES/Ratios (Dil EPS Firm Cont Op 1Yr Gr)</t>
  </si>
  <si>
    <t>EPS Growth YoY</t>
  </si>
  <si>
    <t>DES/Ratios (Rev - 1 Yr Gr)</t>
  </si>
  <si>
    <t>Revenue Growth YoY</t>
  </si>
  <si>
    <t>Financials</t>
  </si>
  <si>
    <t>Enterprise value</t>
  </si>
  <si>
    <t>DES/Profile</t>
  </si>
  <si>
    <t>Market cap</t>
  </si>
  <si>
    <t>Business description</t>
  </si>
  <si>
    <t>Companies</t>
  </si>
  <si>
    <t>Go through the Financials and Valuation sheets. Go onto Bloomberg and pull the information.</t>
  </si>
  <si>
    <t>Step 2</t>
  </si>
  <si>
    <t>Do some research and figure out 10 comparable companies. You may use the Proxy, 10K, Bloomberg, Merchant Online, industry research, etc. However, do not just take the list from those sites; you need to make sure that the names make sense. After that, write your own quick business description and justify why this company is a comparable in the Companies tab.</t>
  </si>
  <si>
    <t>Step 1</t>
  </si>
  <si>
    <t>Instructions</t>
  </si>
  <si>
    <t>Cap</t>
  </si>
  <si>
    <t>Ticker</t>
  </si>
  <si>
    <t>Company</t>
  </si>
  <si>
    <t>Enterprise</t>
  </si>
  <si>
    <t>Market</t>
  </si>
  <si>
    <t>Maximum</t>
  </si>
  <si>
    <t>Third Quartile</t>
  </si>
  <si>
    <t>Mean</t>
  </si>
  <si>
    <t>Median</t>
  </si>
  <si>
    <t>First Quartile</t>
  </si>
  <si>
    <t>Minimum</t>
  </si>
  <si>
    <t>Com Eq</t>
  </si>
  <si>
    <t>Margin</t>
  </si>
  <si>
    <t>YoY</t>
  </si>
  <si>
    <t>Debt/</t>
  </si>
  <si>
    <t>Debt /</t>
  </si>
  <si>
    <t>Pretax</t>
  </si>
  <si>
    <t>Growth</t>
  </si>
  <si>
    <t>Net</t>
  </si>
  <si>
    <t>EPS</t>
  </si>
  <si>
    <t>Revenue</t>
  </si>
  <si>
    <t>Financial Comparables</t>
  </si>
  <si>
    <t>Book</t>
  </si>
  <si>
    <t>EV /Sales</t>
  </si>
  <si>
    <t>Sales</t>
  </si>
  <si>
    <t>Earnings</t>
  </si>
  <si>
    <t xml:space="preserve">EV / </t>
  </si>
  <si>
    <t xml:space="preserve">Price / </t>
  </si>
  <si>
    <t>Price /</t>
  </si>
  <si>
    <t>FY1</t>
  </si>
  <si>
    <t>TTM</t>
  </si>
  <si>
    <t>Check</t>
  </si>
  <si>
    <t>Projection Period</t>
  </si>
  <si>
    <t>EBITDA Margin</t>
  </si>
  <si>
    <t>Consensus Sales Growth</t>
  </si>
  <si>
    <t>Simple Free Cash Flow</t>
  </si>
  <si>
    <t>Notes</t>
  </si>
  <si>
    <t>Change in NWC as % of Revenue</t>
  </si>
  <si>
    <t>SG&amp;A Expenses</t>
  </si>
  <si>
    <t>2019A</t>
  </si>
  <si>
    <t>2020A</t>
  </si>
  <si>
    <t>2021A</t>
  </si>
  <si>
    <t>2022A</t>
  </si>
  <si>
    <t>2023A</t>
  </si>
  <si>
    <t>2026F</t>
  </si>
  <si>
    <t xml:space="preserve">Income Statement </t>
  </si>
  <si>
    <t># Diluted Shares (in millions)</t>
  </si>
  <si>
    <t xml:space="preserve">  Change in Share Count</t>
  </si>
  <si>
    <t xml:space="preserve">  Consensus EPS (adj)</t>
  </si>
  <si>
    <t>Simple Free Cash Flow Calculation</t>
  </si>
  <si>
    <t xml:space="preserve">  Depreciation/Net Sales</t>
  </si>
  <si>
    <t>Unlevered Free Cash Flow Calculation</t>
  </si>
  <si>
    <t>Plus: D&amp;A</t>
  </si>
  <si>
    <t>Less: Capital Expenditures</t>
  </si>
  <si>
    <t>Less: Taxes</t>
  </si>
  <si>
    <t>Discount Rate (WACC)</t>
  </si>
  <si>
    <t>PV of Cash Flow to the Firm</t>
  </si>
  <si>
    <t>Less: Increases in NWC</t>
  </si>
  <si>
    <t>Multiple</t>
  </si>
  <si>
    <t xml:space="preserve">PV of </t>
  </si>
  <si>
    <t>MV /</t>
  </si>
  <si>
    <t>Return</t>
  </si>
  <si>
    <t>Profile</t>
  </si>
  <si>
    <t>Sum of PV of Cash Flow to Firm</t>
  </si>
  <si>
    <t>Implied Upside (Downside)</t>
  </si>
  <si>
    <t>Share Price Calculation</t>
  </si>
  <si>
    <t>Valuation Summary</t>
  </si>
  <si>
    <t>EDIT</t>
  </si>
  <si>
    <t>DO NOT EDIT</t>
  </si>
  <si>
    <t>Range</t>
  </si>
  <si>
    <t>Selection</t>
  </si>
  <si>
    <t>Low</t>
  </si>
  <si>
    <t>High</t>
  </si>
  <si>
    <t>Difference</t>
  </si>
  <si>
    <t>Football Field Analysis</t>
  </si>
  <si>
    <t>5y CAGR</t>
  </si>
  <si>
    <t>Greater than Median?</t>
  </si>
  <si>
    <t>Revenue Build</t>
  </si>
  <si>
    <t>Interest Expense as % of Net Debt</t>
  </si>
  <si>
    <t>Debt</t>
  </si>
  <si>
    <t>3-year Revenue CAGR</t>
  </si>
  <si>
    <t>Comparables Universe</t>
  </si>
  <si>
    <t>($ in millions)</t>
  </si>
  <si>
    <t>Justification</t>
  </si>
  <si>
    <t>Business Description</t>
  </si>
  <si>
    <t>Competitor</t>
  </si>
  <si>
    <t>Methodology</t>
  </si>
  <si>
    <t>Type</t>
  </si>
  <si>
    <t>DCF</t>
  </si>
  <si>
    <t>Comparables</t>
  </si>
  <si>
    <t>52-Week Low/High</t>
  </si>
  <si>
    <t>Go to the Cash Flow Statement on the 10-k and navigate something like "Changes in Working Capital" or "Changes in operating assets and liabilities". Please see below for an example:</t>
  </si>
  <si>
    <t>Once you have navigated the items in the Changes in NWC formula, make sure you include them in your Balance Sheet and your NWC calculation. For example, in this case, the NWC calculation would be (Accounts Receivable and Contract Assets + Prepaid Expenses and other assets) - (Accounts Payable + Accrued Expenses and other current expenses and other current liabilities + Other long-term liabilities)</t>
  </si>
  <si>
    <t>Each company has a different way of calculating Net Working Capital (NWC) according to its operation, so please make sure your formula matches the company's. Below are some instructions on how to navigate this</t>
  </si>
  <si>
    <t>Net Working Capital</t>
  </si>
  <si>
    <t>link your Changes in NWC from the Cash Flow Statement</t>
  </si>
  <si>
    <t>If your company does not break down the balance sheet in accordance with how it breaks down the Changes in NWC calculation, you can keep the Operating Working Capital calculation in the template, and</t>
  </si>
  <si>
    <t>From FactSet</t>
  </si>
  <si>
    <t>Current Year</t>
  </si>
  <si>
    <t>From DCF</t>
  </si>
  <si>
    <t>3-year Price Target Using EBITDA</t>
  </si>
  <si>
    <t>3-year Price Target Using EPS</t>
  </si>
  <si>
    <t># Shares Outstanding</t>
  </si>
  <si>
    <t>= EPS x P/E</t>
  </si>
  <si>
    <t>= Enterprise Value - Net Debt</t>
  </si>
  <si>
    <t>Needed Data</t>
  </si>
  <si>
    <t>= Equity Value / # Shares Outstanding</t>
  </si>
  <si>
    <t>Assume Debt stays at the same level</t>
  </si>
  <si>
    <t>3-Year Price Target - Blended</t>
  </si>
  <si>
    <t xml:space="preserve">  Consensus EPS (GAAP)</t>
  </si>
  <si>
    <t>3 Year Price Target</t>
  </si>
  <si>
    <t>2024A</t>
  </si>
  <si>
    <t>2025E</t>
  </si>
  <si>
    <t>2027F</t>
  </si>
  <si>
    <t>Fiscal Year End February 3</t>
  </si>
  <si>
    <t>(All figures in Billion)</t>
  </si>
  <si>
    <t>2025 EV/EBITDA</t>
  </si>
  <si>
    <t xml:space="preserve">2025 P/E </t>
  </si>
  <si>
    <t>2027 EBITDA</t>
  </si>
  <si>
    <t>2027 EPS</t>
  </si>
  <si>
    <t>Sale of Fixed Assets &amp; Businesses</t>
  </si>
  <si>
    <t>Apparel</t>
  </si>
  <si>
    <t>Footwear</t>
  </si>
  <si>
    <t>DKS</t>
  </si>
  <si>
    <t>Apparel Growth</t>
  </si>
  <si>
    <t>Footwear Growth</t>
  </si>
  <si>
    <t>Hardlines</t>
  </si>
  <si>
    <t>Hardlines Growth</t>
  </si>
  <si>
    <t>Other Products</t>
  </si>
  <si>
    <t>Other Products Growth</t>
  </si>
  <si>
    <t>From Bloomberg</t>
  </si>
  <si>
    <t>Cash dividends paid</t>
  </si>
  <si>
    <t>Sale of Com &amp; Prep stock</t>
  </si>
  <si>
    <t>Repurchase of Com &amp; Prep stock</t>
  </si>
  <si>
    <t>Net long term debt</t>
  </si>
  <si>
    <t>Net short term debt</t>
  </si>
  <si>
    <t>Other funds</t>
  </si>
  <si>
    <t>Deferred taxes &amp; Investment tax credit</t>
  </si>
  <si>
    <t xml:space="preserve">Depreciation, Depletion &amp; amortization </t>
  </si>
  <si>
    <t>Intangible Assets</t>
  </si>
  <si>
    <t>Income Tax Payable</t>
  </si>
  <si>
    <t>Accrued Payroll</t>
  </si>
  <si>
    <t>Common Equity</t>
  </si>
  <si>
    <t>Dick's Sporting Goods, Inc. (DKS)</t>
  </si>
  <si>
    <t>Sangita Dasgupta</t>
  </si>
  <si>
    <t>Other operating expenses</t>
  </si>
  <si>
    <t>Dick's Sporting Goods</t>
  </si>
  <si>
    <t>Academy Sports and Outdoors, Inc.</t>
  </si>
  <si>
    <t xml:space="preserve"> ASO</t>
  </si>
  <si>
    <t xml:space="preserve">Big 5 Sporting Goods Corporation </t>
  </si>
  <si>
    <t>BGFV</t>
  </si>
  <si>
    <t>Deckers Outdoor Corporation</t>
  </si>
  <si>
    <t>Columbia Sportswear Company</t>
  </si>
  <si>
    <t>COLM</t>
  </si>
  <si>
    <t>DECK</t>
  </si>
  <si>
    <t>https://www.financecharts.com/stocks/DKS/value/roic</t>
  </si>
  <si>
    <t>https://stockanalysis.com/stocks/dks/financials/</t>
  </si>
  <si>
    <t>https://www.macrotrends.net/stocks/charts/COLM/columbia-sportswear/pre-tax-profit-margin</t>
  </si>
  <si>
    <t>N/A</t>
  </si>
  <si>
    <t>Funds from Operation</t>
  </si>
  <si>
    <t>Changes in Working Capital</t>
  </si>
  <si>
    <t>Net change in cash</t>
  </si>
  <si>
    <t>Free Cash Flow</t>
  </si>
  <si>
    <t>Free Cash Flow per Share</t>
  </si>
  <si>
    <t>Free Cash Flow Yield (%)</t>
  </si>
  <si>
    <t>Dick's Sporting Goods (NYSE: DKS)</t>
  </si>
  <si>
    <t>Cash &amp; cash equivalents</t>
  </si>
  <si>
    <t>Accounts receivable</t>
  </si>
  <si>
    <t>Buildings &amp; improvements</t>
  </si>
  <si>
    <t>Computer Software and Equipment</t>
  </si>
  <si>
    <t>Other Propert, Plant, and Equipment</t>
  </si>
  <si>
    <t>Operating Lease Right-of-Use Assets</t>
  </si>
  <si>
    <t>Plant, Property &amp; Equipment</t>
  </si>
  <si>
    <t>Less: accumulated depreciation</t>
  </si>
  <si>
    <t>Property, plant &amp; equipment, net</t>
  </si>
  <si>
    <t>Deferred Tax Assets</t>
  </si>
  <si>
    <t>ST Debt &amp; Curr. Portion LT Debt</t>
  </si>
  <si>
    <t>Accounts Payable</t>
  </si>
  <si>
    <t>Other Current Liabilities</t>
  </si>
  <si>
    <t>Long-term debt</t>
  </si>
  <si>
    <t>Capital and Operating Lease Obligations</t>
  </si>
  <si>
    <t>Deferred Tax Liabilities</t>
  </si>
  <si>
    <t>Deferred Income</t>
  </si>
  <si>
    <t>Total Shareholders' Equity</t>
  </si>
  <si>
    <t>Total Equity</t>
  </si>
  <si>
    <t>2024 EV / EBITDA</t>
  </si>
  <si>
    <t>Share Repurchase Programs</t>
  </si>
  <si>
    <t>https://investors.dicks.com/stock-information/dividends-splits-and-repurchases/default.aspx</t>
  </si>
  <si>
    <t>https://stockanalysis.com/stocks/dks/forecast/</t>
  </si>
  <si>
    <t xml:space="preserve">Foot Locker, Inc. </t>
  </si>
  <si>
    <t>FL</t>
  </si>
  <si>
    <t>ASO</t>
  </si>
  <si>
    <t>Sporting Goods</t>
  </si>
  <si>
    <t>Sporting Goods, Apparels, Footwear</t>
  </si>
  <si>
    <t>2024 EV/EBITDA</t>
  </si>
  <si>
    <t xml:space="preserve">2024 P/E </t>
  </si>
  <si>
    <t>2025 EBITDA</t>
  </si>
  <si>
    <t>2025 EPS</t>
  </si>
  <si>
    <t>1-year Price Target Using EBITDA</t>
  </si>
  <si>
    <t>2025 Enterprise Value</t>
  </si>
  <si>
    <t>2025 Equity Value</t>
  </si>
  <si>
    <t>2025 Projected Share Price</t>
  </si>
  <si>
    <t>1-year Price Target Using EPS</t>
  </si>
  <si>
    <t>1-Year Price Target - Blended</t>
  </si>
  <si>
    <t>Option 2</t>
  </si>
  <si>
    <t>Calculated 3 year Revenue CAGR</t>
  </si>
  <si>
    <t>2024 EV / EBITDA Comps (9.3x - 15.4x)</t>
  </si>
  <si>
    <t>2024 EBITDA DCF (9.3x - 15.4x)</t>
  </si>
  <si>
    <t>Based on industry trends and analyst predictions of revenue growth from Bloomberg.</t>
  </si>
  <si>
    <t>The average interest expense is used for the forecasting years, excluding outliers from 2020 and 2023.</t>
  </si>
  <si>
    <t>The tax rate is currently based on the last available actual data. Although there are ongoing discussions about a corporate tax reduction, it has not been considered here since there is no actual implementation yet.</t>
  </si>
  <si>
    <t>A $2.0 billion 5-Year Share Repurchase Program was authorized on December 16, 2021. The remaining authorization as of 2021 is $609.3 million, which I assume will impact the next two years.</t>
  </si>
  <si>
    <t>Depreciation has remained relatively constant over the last five years, so the average depreciation is used for the forecasted years.</t>
  </si>
  <si>
    <t>Capital Expenditures (CapEx) have shown a consistent growth trend over the past few years, so it has been kept the same as the last available actual data for forecasting. With the expansion of House of Sport and new store openings, the likelihood of CapEx increasing is higher than it decreasing from the last available actual figures.</t>
  </si>
  <si>
    <t>Calculated based on company's 10k, please see NWC Calculation Instructions for further details.</t>
  </si>
  <si>
    <t>With all Current Assets showing an increasing trend that exceeds the growth in Current Liabilities, the rise in e-commerce business, along with the expansion of House of Sport and store remodels, may lead to temporary spikes in working capital needs.</t>
  </si>
  <si>
    <t>Not increasing excessively due to the possibility of inflation in the upcoming months where it might effect the consumer's purchasing power</t>
  </si>
  <si>
    <t>I have decided to use the average of the last five years, as there have been no abnormal movements in the debt figure over the previous years.</t>
  </si>
  <si>
    <t>Since debt is assumed to remain constant over the forecasted period, this rate is also kept constant.</t>
  </si>
  <si>
    <t>https://my.apps.factset.com/viewer-fusion/?_doc_id=9359511&amp;_doc_date=20250217&amp;_doc_product=PMZ&amp;_doc_docfn=U2FsdGVkX1%2FGZzCzayWkO1qOOUEi7mIPmT4oEjlAUOai%2FcluVDaFrG%2BhSGsyo8hLfneY9iFPEUbPx9TFHLMYVQ%3D%3D&amp;_doc_title=DICK%27s%20Sporting%20Goods%20Long-Term%20Shareholder%20Announcement%3A%20Johnson%20Fistel%2C%20LLP%20Encourages%20Investors%20to%20Reach%20Out%20For%20More%20Information&amp;_app_id=CSINews&amp;_appSesGUID=c329ee944cb1-5743-92ca-b466-4ce71741280270224</t>
  </si>
  <si>
    <t>https://my.apps.factset.com/viewer-fusion/?_doc_id=988486_en&amp;_doc_date=20250220&amp;_doc_product=NEWS_ACW&amp;_doc_docfn=U2FsdGVkX1%2FVcWhWz4fUrbyNsNJfamcnf4lTmupQ59llOhgpqZVTA4BCeWKV%2B2eXCSq5WNp%2FhenGAAJALpIlTE8x%2Fv%2BNvLwWzQH%2BRyEjizg%3D&amp;_doc_title=The%20DICK%27S%20Sporting%20Goods%20Foundation%20Quarterly%20Giving%20Series%3A%20YE%202024&amp;_app_id=CSINews&amp;_appSesGUID=c329ee944cb1-5743-92ca-b466-4ce71741280270224</t>
  </si>
  <si>
    <t>News, Reasearch</t>
  </si>
  <si>
    <t>Used a mix of industry trends and analytical forecasts to calculate the growth rates.</t>
  </si>
  <si>
    <t>Growth in vertical brands like CALIA, VRST, and DSG, and increased focus on premium apparel experiences.</t>
  </si>
  <si>
    <t>Continued growth in golf participation, youth sports engagement, and new equipment investments.</t>
  </si>
  <si>
    <t>No significant mention in the transcript, so growth may be stable or trailing behind other categories.</t>
  </si>
  <si>
    <t>Strong demand for performance and lifestyle footwear, partnerships with Nike, ON, HOKA, New Balance, and Adidas.</t>
  </si>
  <si>
    <t>House of Sport and Field House concepts are increasing customer engagement and revenue.</t>
  </si>
  <si>
    <t>The company remains cautious about consumer spending in 2025 but expects strong demand for active and lifestyle categories.</t>
  </si>
  <si>
    <t xml:space="preserve">DKS operates exclusively in the U.S. From vertical brands perspective, DKS has minimal exposure to China, Mexico, or Canada due to a diversified supply chain.
</t>
  </si>
  <si>
    <t>It was stated during the call, that the existing tariffs did not have a "major impact" on the retailer.</t>
  </si>
  <si>
    <t>The increase was driven by strategic investments in marketing, technology, and talent to strengthen top-line growth and profitability.</t>
  </si>
  <si>
    <t>RFID technology in stores, House of Sport will result in little bit of an interplay between the margin and SG&amp;A.</t>
  </si>
  <si>
    <t>The sport goods is overall expected to increase, between women's basketball, which is just on fire, and the expanded NCAA playoffs for football this year, and then the fact that the World Cup is going to be mostly in the US in 2026 and the Olympics in LA in 2028, we really expect that sport is going to continue to have an outsized influence on culture and culture on sport.</t>
  </si>
  <si>
    <t>Statement from last Call:</t>
  </si>
  <si>
    <t>2024 P/E Comps (12.0x - 20.1x)</t>
  </si>
  <si>
    <t>The exit multiple is based on the Comp analysis.</t>
  </si>
  <si>
    <t>'=((12*'Income Statement'!$H$34)-'Balance Sheet'!$G$43+'Balance Sheet'!$G$10-'Balance Sheet'!$G$53)/'Income Statement'!$H$37</t>
  </si>
  <si>
    <t>'=((20.1*'Income Statement'!$H$34)-'Balance Sheet'!$G$43+'Balance Sheet'!$G$10-'Balance Sheet'!$G$53)/'Income Statement'!$H$37</t>
  </si>
  <si>
    <t>Market (Hardcode)</t>
  </si>
  <si>
    <t>DCF (Do it on the Income Statement Tab and Hardcode)</t>
  </si>
  <si>
    <t>2024 P/E Comps</t>
  </si>
  <si>
    <t>2024 EV / EBITDA Comps</t>
  </si>
  <si>
    <t>2024 P/E Comps (12.0x - 20.0x)</t>
  </si>
  <si>
    <t>2024 EV / EBITDA Comps (9.3x -15.4x)</t>
  </si>
  <si>
    <t>SENSITIVITY ANALYSIS</t>
  </si>
  <si>
    <t>Based on Snerio's for Shares</t>
  </si>
  <si>
    <t>Underpriced and Overpriced</t>
  </si>
  <si>
    <t>https://finance.yahoo.com/news/beyond-balance-sheet-swot-reveals-052444528.html</t>
  </si>
  <si>
    <t>https://www.financecharts.com/stocks/DKS/bulls-bears</t>
  </si>
  <si>
    <t>https://yoginestudios.com/swot-analysis-of-dicks-sporting-goods-2024/</t>
  </si>
  <si>
    <t>https://www.gurufocus.com/news/2516733/decoding-dicks-sporting-goods-inc-dks-a-strategic-swot-insight</t>
  </si>
  <si>
    <t>2027 Enterprise Value</t>
  </si>
  <si>
    <t>2027 Equity Value</t>
  </si>
  <si>
    <t>2027 Projected Share Price</t>
  </si>
  <si>
    <t>Given that the return profile is 4.1% , I would recommend a buy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</si>
</sst>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5" formatCode="&quot;$&quot;#,##0_);\(&quot;$&quot;#,##0\)"/>
    <numFmt numFmtId="7" formatCode="&quot;$&quot;#,##0.00_);\(&quot;$&quot;#,##0.00\)"/>
    <numFmt numFmtId="44" formatCode="_(&quot;$&quot;* #,##0.00_);_(&quot;$&quot;* \(#,##0.00\);_(&quot;$&quot;* &quot;-&quot;??_);_(@_)"/>
    <numFmt numFmtId="43" formatCode="_(* #,##0.00_);_(* \(#,##0.00\);_(* &quot;-&quot;??_);_(@_)"/>
    <numFmt numFmtId="164" formatCode="0.0%"/>
    <numFmt numFmtId="165" formatCode="#,##0.0"/>
    <numFmt numFmtId="166" formatCode="0.0"/>
    <numFmt numFmtId="167" formatCode="0.0\x"/>
    <numFmt numFmtId="168" formatCode="_(* #,##0_);_(* \(#,##0\);_(* &quot;-&quot;??_);_(@_)"/>
    <numFmt numFmtId="169" formatCode="_(* #,##0.0_);_(* \(#,##0.0\);_(* &quot;-&quot;??_);_(@_)"/>
    <numFmt numFmtId="170" formatCode="_(&quot;$&quot;* #,##0_);_(&quot;$&quot;* \(#,##0\);_(&quot;$&quot;* &quot;-&quot;??_);_(@_)"/>
    <numFmt numFmtId="171" formatCode="* _(##,##0_);[Red]* \(##,##0\);* _(&quot;-&quot;?_);_(@_)"/>
    <numFmt numFmtId="172" formatCode="#&quot;A&quot;"/>
    <numFmt numFmtId="173" formatCode="#&quot;E&quot;"/>
    <numFmt numFmtId="174" formatCode="&quot;$&quot;#,##0.0_);[Red]\(&quot;$&quot;#,##0.0\)"/>
    <numFmt numFmtId="175" formatCode="#.0\x"/>
    <numFmt numFmtId="176" formatCode="#.00\x"/>
    <numFmt numFmtId="177" formatCode="* _(&quot;$&quot;#,##0_);* \(&quot;$&quot;#,##0\);* _(&quot;-&quot;?_);_(@_)"/>
    <numFmt numFmtId="178" formatCode="* _(#,##0_);* \(#,##0\);* _(&quot;-&quot;?_);_(@_)"/>
    <numFmt numFmtId="179" formatCode="#,##0.0_);\(#,##0.0\)"/>
    <numFmt numFmtId="180" formatCode="&quot;$&quot;#,##0.00"/>
  </numFmts>
  <fonts count="65">
    <font>
      <sz val="11"/>
      <color theme="1"/>
      <name val="ArialNarrow"/>
      <family val="2"/>
    </font>
    <font>
      <sz val="11"/>
      <color theme="1"/>
      <name val="Aptos Narrow"/>
      <family val="2"/>
      <scheme val="minor"/>
    </font>
    <font>
      <sz val="11"/>
      <color theme="1"/>
      <name val="Aptos Narrow"/>
      <family val="2"/>
      <scheme val="minor"/>
    </font>
    <font>
      <sz val="11"/>
      <color theme="1"/>
      <name val="Aptos Narrow"/>
      <family val="2"/>
      <scheme val="minor"/>
    </font>
    <font>
      <sz val="11"/>
      <color theme="1"/>
      <name val="ArialNarrow"/>
      <family val="2"/>
    </font>
    <font>
      <sz val="10"/>
      <color rgb="FF000000"/>
      <name val="Arial"/>
      <family val="2"/>
    </font>
    <font>
      <sz val="12"/>
      <color rgb="FF000000"/>
      <name val="Arial"/>
      <family val="2"/>
    </font>
    <font>
      <sz val="12"/>
      <name val="Arial"/>
      <family val="2"/>
    </font>
    <font>
      <b/>
      <sz val="12"/>
      <name val="Arial"/>
      <family val="2"/>
    </font>
    <font>
      <i/>
      <sz val="12"/>
      <name val="Arial"/>
      <family val="2"/>
    </font>
    <font>
      <i/>
      <sz val="12"/>
      <color rgb="FF000000"/>
      <name val="Arial"/>
      <family val="2"/>
    </font>
    <font>
      <b/>
      <sz val="12"/>
      <color rgb="FF000000"/>
      <name val="Arial"/>
      <family val="2"/>
    </font>
    <font>
      <b/>
      <sz val="12"/>
      <color theme="0"/>
      <name val="Arial"/>
      <family val="2"/>
    </font>
    <font>
      <b/>
      <u/>
      <sz val="12"/>
      <color rgb="FF000000"/>
      <name val="Arial"/>
      <family val="2"/>
    </font>
    <font>
      <sz val="11"/>
      <color theme="1"/>
      <name val="Aptos Narrow"/>
      <family val="2"/>
      <scheme val="minor"/>
    </font>
    <font>
      <sz val="10"/>
      <name val="Times New Roman"/>
      <family val="1"/>
    </font>
    <font>
      <sz val="12"/>
      <name val="Aptos Narrow"/>
      <family val="2"/>
      <scheme val="minor"/>
    </font>
    <font>
      <sz val="10"/>
      <name val="Arial"/>
      <family val="2"/>
    </font>
    <font>
      <sz val="10"/>
      <name val="Aptos Narrow"/>
      <family val="2"/>
      <scheme val="minor"/>
    </font>
    <font>
      <b/>
      <u/>
      <sz val="12"/>
      <name val="Aptos Narrow"/>
      <family val="2"/>
      <scheme val="minor"/>
    </font>
    <font>
      <b/>
      <sz val="10"/>
      <name val="Arial"/>
      <family val="2"/>
    </font>
    <font>
      <sz val="10"/>
      <color indexed="9"/>
      <name val="Arial"/>
      <family val="2"/>
    </font>
    <font>
      <sz val="11"/>
      <color theme="1"/>
      <name val="Arial"/>
      <family val="2"/>
    </font>
    <font>
      <sz val="12"/>
      <color theme="1"/>
      <name val="Arial"/>
      <family val="2"/>
    </font>
    <font>
      <b/>
      <sz val="12"/>
      <color theme="1"/>
      <name val="Arial"/>
      <family val="2"/>
    </font>
    <font>
      <sz val="12"/>
      <color rgb="FF0000FF"/>
      <name val="Arial"/>
      <family val="2"/>
    </font>
    <font>
      <i/>
      <sz val="12"/>
      <color theme="1"/>
      <name val="Arial"/>
      <family val="2"/>
    </font>
    <font>
      <i/>
      <sz val="12"/>
      <color rgb="FF0000FF"/>
      <name val="Arial"/>
      <family val="2"/>
    </font>
    <font>
      <i/>
      <sz val="12"/>
      <color rgb="FF008000"/>
      <name val="Arial"/>
      <family val="2"/>
    </font>
    <font>
      <b/>
      <sz val="15"/>
      <color theme="1"/>
      <name val="Arial"/>
      <family val="2"/>
    </font>
    <font>
      <sz val="12"/>
      <color theme="0"/>
      <name val="Arial"/>
      <family val="2"/>
    </font>
    <font>
      <b/>
      <sz val="12"/>
      <color rgb="FFFF0000"/>
      <name val="Arial"/>
      <family val="2"/>
    </font>
    <font>
      <b/>
      <sz val="10"/>
      <color theme="0"/>
      <name val="Arial"/>
      <family val="2"/>
    </font>
    <font>
      <b/>
      <sz val="10"/>
      <color theme="1"/>
      <name val="Arial"/>
      <family val="2"/>
    </font>
    <font>
      <sz val="10"/>
      <color theme="1"/>
      <name val="Arial"/>
      <family val="2"/>
    </font>
    <font>
      <i/>
      <sz val="10"/>
      <name val="Arial"/>
      <family val="2"/>
    </font>
    <font>
      <sz val="10"/>
      <color rgb="FFFF0000"/>
      <name val="Arial"/>
      <family val="2"/>
    </font>
    <font>
      <sz val="12"/>
      <color rgb="FF0000CC"/>
      <name val="Arial"/>
      <family val="2"/>
    </font>
    <font>
      <sz val="12"/>
      <color indexed="9"/>
      <name val="Arial"/>
      <family val="2"/>
    </font>
    <font>
      <sz val="9"/>
      <name val="Arial Unicode MS"/>
      <family val="2"/>
    </font>
    <font>
      <b/>
      <sz val="12"/>
      <color theme="3"/>
      <name val="Arial"/>
      <family val="2"/>
    </font>
    <font>
      <sz val="12"/>
      <color theme="3"/>
      <name val="Arial"/>
      <family val="2"/>
    </font>
    <font>
      <i/>
      <sz val="12"/>
      <color rgb="FFFF0000"/>
      <name val="Arial"/>
      <family val="2"/>
    </font>
    <font>
      <sz val="12"/>
      <color rgb="FFFF0000"/>
      <name val="Arial"/>
      <family val="2"/>
    </font>
    <font>
      <b/>
      <i/>
      <sz val="12"/>
      <name val="Arial"/>
      <family val="2"/>
    </font>
    <font>
      <b/>
      <u/>
      <sz val="11"/>
      <color theme="1"/>
      <name val="Arial"/>
      <family val="2"/>
    </font>
    <font>
      <b/>
      <sz val="11"/>
      <color theme="1"/>
      <name val="Arial"/>
      <family val="2"/>
    </font>
    <font>
      <sz val="11"/>
      <color indexed="9"/>
      <name val="Arial"/>
      <family val="2"/>
    </font>
    <font>
      <sz val="11"/>
      <name val="Arial"/>
      <family val="2"/>
    </font>
    <font>
      <b/>
      <u val="singleAccounting"/>
      <sz val="11"/>
      <color theme="1"/>
      <name val="Arial"/>
      <family val="2"/>
    </font>
    <font>
      <u val="singleAccounting"/>
      <sz val="11"/>
      <color theme="1"/>
      <name val="Arial"/>
      <family val="2"/>
    </font>
    <font>
      <sz val="11"/>
      <color rgb="FF0000FF"/>
      <name val="Arial"/>
      <family val="2"/>
    </font>
    <font>
      <sz val="11"/>
      <color rgb="FF008000"/>
      <name val="Arial"/>
      <family val="2"/>
    </font>
    <font>
      <sz val="18"/>
      <color rgb="FFFF0000"/>
      <name val="Arial"/>
      <family val="2"/>
    </font>
    <font>
      <sz val="12"/>
      <color theme="9"/>
      <name val="Arial"/>
      <family val="2"/>
    </font>
    <font>
      <sz val="12"/>
      <color theme="8" tint="0.39997558519241921"/>
      <name val="Arial"/>
      <family val="2"/>
    </font>
    <font>
      <sz val="11"/>
      <color theme="8" tint="0.39997558519241921"/>
      <name val="Arial"/>
      <family val="2"/>
    </font>
    <font>
      <b/>
      <i/>
      <sz val="12"/>
      <color rgb="FF0000FF"/>
      <name val="Arial"/>
      <family val="2"/>
    </font>
    <font>
      <b/>
      <sz val="18"/>
      <color rgb="FF191F1C"/>
      <name val="Arial"/>
      <family val="2"/>
    </font>
    <font>
      <sz val="11"/>
      <color rgb="FFFF0000"/>
      <name val="ArialNarrow"/>
      <family val="2"/>
    </font>
    <font>
      <sz val="10"/>
      <color rgb="FF0000FF"/>
      <name val="Arial"/>
      <family val="2"/>
    </font>
    <font>
      <b/>
      <sz val="14"/>
      <color rgb="FFFF0000"/>
      <name val="Arial"/>
      <family val="2"/>
    </font>
    <font>
      <b/>
      <sz val="11"/>
      <color theme="1"/>
      <name val="ArialNarrow"/>
    </font>
    <font>
      <sz val="11"/>
      <color theme="0"/>
      <name val="ArialNarrow"/>
      <family val="2"/>
    </font>
    <font>
      <u/>
      <sz val="11"/>
      <color theme="10"/>
      <name val="ArialNarrow"/>
      <family val="2"/>
    </font>
  </fonts>
  <fills count="1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3" tint="0.89999084444715716"/>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002060"/>
        <bgColor indexed="64"/>
      </patternFill>
    </fill>
    <fill>
      <patternFill patternType="solid">
        <fgColor theme="5" tint="0.59999389629810485"/>
        <bgColor indexed="64"/>
      </patternFill>
    </fill>
    <fill>
      <patternFill patternType="solid">
        <fgColor rgb="FFFFFF00"/>
        <bgColor indexed="64"/>
      </patternFill>
    </fill>
  </fills>
  <borders count="51">
    <border>
      <left/>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style="medium">
        <color indexed="64"/>
      </left>
      <right/>
      <top style="medium">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top style="thin">
        <color indexed="64"/>
      </top>
      <bottom style="double">
        <color indexed="64"/>
      </bottom>
      <diagonal/>
    </border>
    <border>
      <left/>
      <right style="thin">
        <color indexed="64"/>
      </right>
      <top/>
      <bottom/>
      <diagonal/>
    </border>
    <border>
      <left style="thin">
        <color indexed="64"/>
      </left>
      <right/>
      <top/>
      <bottom/>
      <diagonal/>
    </border>
    <border>
      <left style="hair">
        <color indexed="64"/>
      </left>
      <right/>
      <top/>
      <bottom/>
      <diagonal/>
    </border>
    <border>
      <left style="hair">
        <color indexed="64"/>
      </left>
      <right/>
      <top style="thin">
        <color indexed="64"/>
      </top>
      <bottom style="thin">
        <color indexed="64"/>
      </bottom>
      <diagonal/>
    </border>
    <border>
      <left style="hair">
        <color indexed="64"/>
      </left>
      <right/>
      <top style="thin">
        <color indexed="64"/>
      </top>
      <bottom style="double">
        <color indexed="64"/>
      </bottom>
      <diagonal/>
    </border>
    <border>
      <left style="hair">
        <color indexed="64"/>
      </left>
      <right/>
      <top/>
      <bottom style="thin">
        <color indexed="64"/>
      </bottom>
      <diagonal/>
    </border>
    <border>
      <left style="hair">
        <color indexed="64"/>
      </left>
      <right/>
      <top style="thin">
        <color indexed="64"/>
      </top>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right style="hair">
        <color indexed="64"/>
      </right>
      <top/>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right/>
      <top style="thin">
        <color theme="1"/>
      </top>
      <bottom style="thin">
        <color theme="1"/>
      </bottom>
      <diagonal/>
    </border>
    <border>
      <left/>
      <right/>
      <top/>
      <bottom style="thin">
        <color theme="1"/>
      </bottom>
      <diagonal/>
    </border>
    <border>
      <left/>
      <right/>
      <top style="medium">
        <color indexed="64"/>
      </top>
      <bottom/>
      <diagonal/>
    </border>
    <border>
      <left/>
      <right/>
      <top/>
      <bottom style="medium">
        <color indexed="64"/>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style="thin">
        <color theme="1"/>
      </right>
      <top/>
      <bottom style="thin">
        <color theme="1"/>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right/>
      <top style="thin">
        <color indexed="64"/>
      </top>
      <bottom style="thin">
        <color theme="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1">
    <xf numFmtId="0" fontId="0" fillId="0" borderId="0"/>
    <xf numFmtId="43" fontId="4" fillId="0" borderId="0" applyFont="0" applyFill="0" applyBorder="0" applyAlignment="0" applyProtection="0"/>
    <xf numFmtId="9" fontId="4"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0" fontId="14" fillId="0" borderId="0"/>
    <xf numFmtId="0" fontId="15" fillId="0" borderId="0"/>
    <xf numFmtId="0" fontId="15" fillId="0" borderId="0"/>
    <xf numFmtId="9" fontId="14" fillId="0" borderId="0" applyFont="0" applyFill="0" applyBorder="0" applyAlignment="0" applyProtection="0"/>
    <xf numFmtId="0" fontId="17" fillId="0" borderId="0" applyFill="0" applyBorder="0" applyProtection="0">
      <protection locked="0"/>
    </xf>
    <xf numFmtId="0" fontId="3" fillId="0" borderId="0"/>
    <xf numFmtId="9" fontId="3" fillId="0" borderId="0" applyFont="0" applyFill="0" applyBorder="0" applyAlignment="0" applyProtection="0"/>
    <xf numFmtId="0" fontId="17" fillId="0" borderId="0"/>
    <xf numFmtId="0" fontId="39" fillId="0" borderId="0"/>
    <xf numFmtId="0" fontId="2" fillId="0" borderId="0"/>
    <xf numFmtId="0" fontId="17" fillId="0" borderId="0"/>
    <xf numFmtId="0" fontId="1" fillId="0" borderId="0"/>
    <xf numFmtId="44" fontId="4" fillId="0" borderId="0" applyFont="0" applyFill="0" applyBorder="0" applyAlignment="0" applyProtection="0"/>
    <xf numFmtId="0" fontId="64" fillId="0" borderId="0" applyNumberFormat="0" applyFill="0" applyBorder="0" applyAlignment="0" applyProtection="0"/>
  </cellStyleXfs>
  <cellXfs count="516">
    <xf numFmtId="0" fontId="0" fillId="0" borderId="0" xfId="0"/>
    <xf numFmtId="0" fontId="6" fillId="0" borderId="0" xfId="3" applyFont="1"/>
    <xf numFmtId="0" fontId="7" fillId="0" borderId="0" xfId="3" applyFont="1"/>
    <xf numFmtId="2" fontId="7" fillId="0" borderId="0" xfId="3" applyNumberFormat="1" applyFont="1"/>
    <xf numFmtId="165" fontId="7" fillId="0" borderId="0" xfId="3" applyNumberFormat="1" applyFont="1"/>
    <xf numFmtId="3" fontId="7" fillId="0" borderId="0" xfId="3" applyNumberFormat="1" applyFont="1"/>
    <xf numFmtId="3" fontId="8" fillId="0" borderId="0" xfId="3" applyNumberFormat="1" applyFont="1"/>
    <xf numFmtId="3" fontId="8" fillId="0" borderId="13" xfId="3" applyNumberFormat="1" applyFont="1" applyBorder="1"/>
    <xf numFmtId="3" fontId="7" fillId="0" borderId="0" xfId="3" quotePrefix="1" applyNumberFormat="1" applyFont="1"/>
    <xf numFmtId="168" fontId="7" fillId="0" borderId="0" xfId="5" applyNumberFormat="1" applyFont="1"/>
    <xf numFmtId="3" fontId="8" fillId="0" borderId="7" xfId="3" applyNumberFormat="1" applyFont="1" applyBorder="1"/>
    <xf numFmtId="167" fontId="7" fillId="0" borderId="0" xfId="3" applyNumberFormat="1" applyFont="1"/>
    <xf numFmtId="164" fontId="9" fillId="0" borderId="0" xfId="3" applyNumberFormat="1" applyFont="1"/>
    <xf numFmtId="37" fontId="7" fillId="0" borderId="0" xfId="3" applyNumberFormat="1" applyFont="1"/>
    <xf numFmtId="2" fontId="9" fillId="0" borderId="0" xfId="3" applyNumberFormat="1" applyFont="1"/>
    <xf numFmtId="166" fontId="9" fillId="0" borderId="0" xfId="3" applyNumberFormat="1" applyFont="1"/>
    <xf numFmtId="0" fontId="9" fillId="0" borderId="0" xfId="3" applyFont="1"/>
    <xf numFmtId="0" fontId="8" fillId="0" borderId="0" xfId="3" applyFont="1"/>
    <xf numFmtId="169" fontId="6" fillId="0" borderId="0" xfId="5" applyNumberFormat="1" applyFont="1"/>
    <xf numFmtId="168" fontId="6" fillId="0" borderId="0" xfId="5" applyNumberFormat="1" applyFont="1"/>
    <xf numFmtId="165" fontId="7" fillId="0" borderId="0" xfId="3" quotePrefix="1" applyNumberFormat="1" applyFont="1"/>
    <xf numFmtId="0" fontId="6" fillId="0" borderId="0" xfId="3" applyFont="1" applyAlignment="1">
      <alignment horizontal="left"/>
    </xf>
    <xf numFmtId="10" fontId="10" fillId="0" borderId="0" xfId="4" applyNumberFormat="1" applyFont="1"/>
    <xf numFmtId="0" fontId="10" fillId="0" borderId="0" xfId="3" applyFont="1" applyAlignment="1">
      <alignment horizontal="left"/>
    </xf>
    <xf numFmtId="168" fontId="11" fillId="0" borderId="15" xfId="5" applyNumberFormat="1" applyFont="1" applyBorder="1"/>
    <xf numFmtId="0" fontId="11" fillId="0" borderId="15" xfId="3" applyFont="1" applyBorder="1" applyAlignment="1">
      <alignment horizontal="left"/>
    </xf>
    <xf numFmtId="168" fontId="6" fillId="0" borderId="0" xfId="3" applyNumberFormat="1" applyFont="1"/>
    <xf numFmtId="168" fontId="11" fillId="0" borderId="14" xfId="5" applyNumberFormat="1" applyFont="1" applyBorder="1"/>
    <xf numFmtId="0" fontId="11" fillId="0" borderId="14" xfId="3" applyFont="1" applyBorder="1" applyAlignment="1">
      <alignment horizontal="left"/>
    </xf>
    <xf numFmtId="0" fontId="6" fillId="0" borderId="0" xfId="3" applyFont="1" applyAlignment="1">
      <alignment horizontal="left" indent="1"/>
    </xf>
    <xf numFmtId="10" fontId="10" fillId="0" borderId="0" xfId="4" applyNumberFormat="1" applyFont="1" applyBorder="1"/>
    <xf numFmtId="170" fontId="10" fillId="0" borderId="0" xfId="6" applyNumberFormat="1" applyFont="1"/>
    <xf numFmtId="0" fontId="11" fillId="0" borderId="0" xfId="3" applyFont="1" applyAlignment="1">
      <alignment horizontal="left"/>
    </xf>
    <xf numFmtId="0" fontId="11" fillId="0" borderId="0" xfId="3" applyFont="1" applyAlignment="1">
      <alignment horizontal="right" vertical="top" wrapText="1"/>
    </xf>
    <xf numFmtId="0" fontId="11" fillId="0" borderId="0" xfId="3" applyFont="1" applyAlignment="1">
      <alignment horizontal="left" vertical="top"/>
    </xf>
    <xf numFmtId="164" fontId="10" fillId="0" borderId="0" xfId="3" applyNumberFormat="1" applyFont="1"/>
    <xf numFmtId="0" fontId="10" fillId="0" borderId="0" xfId="3" applyFont="1"/>
    <xf numFmtId="37" fontId="11" fillId="0" borderId="15" xfId="3" applyNumberFormat="1" applyFont="1" applyBorder="1"/>
    <xf numFmtId="37" fontId="10" fillId="0" borderId="0" xfId="3" applyNumberFormat="1" applyFont="1"/>
    <xf numFmtId="37" fontId="6" fillId="0" borderId="0" xfId="3" applyNumberFormat="1" applyFont="1"/>
    <xf numFmtId="168" fontId="6" fillId="0" borderId="0" xfId="5" applyNumberFormat="1" applyFont="1" applyAlignment="1">
      <alignment horizontal="right"/>
    </xf>
    <xf numFmtId="168" fontId="11" fillId="0" borderId="14" xfId="3" applyNumberFormat="1" applyFont="1" applyBorder="1"/>
    <xf numFmtId="166" fontId="6" fillId="0" borderId="0" xfId="3" applyNumberFormat="1" applyFont="1" applyAlignment="1">
      <alignment horizontal="left"/>
    </xf>
    <xf numFmtId="168" fontId="11" fillId="0" borderId="0" xfId="5" applyNumberFormat="1" applyFont="1" applyBorder="1"/>
    <xf numFmtId="0" fontId="13" fillId="0" borderId="0" xfId="3" applyFont="1" applyAlignment="1">
      <alignment horizontal="left" vertical="top"/>
    </xf>
    <xf numFmtId="0" fontId="14" fillId="0" borderId="0" xfId="7"/>
    <xf numFmtId="0" fontId="16" fillId="0" borderId="0" xfId="8" applyFont="1"/>
    <xf numFmtId="0" fontId="17" fillId="0" borderId="0" xfId="8" applyFont="1"/>
    <xf numFmtId="0" fontId="18" fillId="0" borderId="0" xfId="8" applyFont="1"/>
    <xf numFmtId="0" fontId="18" fillId="0" borderId="0" xfId="8" applyFont="1" applyAlignment="1">
      <alignment horizontal="center"/>
    </xf>
    <xf numFmtId="0" fontId="16" fillId="0" borderId="0" xfId="8" applyFont="1" applyAlignment="1">
      <alignment horizontal="center"/>
    </xf>
    <xf numFmtId="0" fontId="19" fillId="0" borderId="0" xfId="8" applyFont="1"/>
    <xf numFmtId="0" fontId="16" fillId="0" borderId="0" xfId="9" applyFont="1"/>
    <xf numFmtId="9" fontId="17" fillId="0" borderId="0" xfId="10" applyFont="1" applyFill="1" applyBorder="1" applyAlignment="1">
      <alignment horizontal="right"/>
    </xf>
    <xf numFmtId="9" fontId="18" fillId="0" borderId="0" xfId="10" applyFont="1" applyFill="1" applyBorder="1" applyAlignment="1">
      <alignment horizontal="right"/>
    </xf>
    <xf numFmtId="171" fontId="18" fillId="0" borderId="0" xfId="11" applyNumberFormat="1" applyFont="1" applyFill="1" applyBorder="1" applyAlignment="1" applyProtection="1">
      <alignment horizontal="right"/>
    </xf>
    <xf numFmtId="171" fontId="16" fillId="0" borderId="0" xfId="11" applyNumberFormat="1" applyFont="1" applyFill="1" applyBorder="1" applyAlignment="1" applyProtection="1">
      <alignment horizontal="right"/>
    </xf>
    <xf numFmtId="171" fontId="17" fillId="0" borderId="0" xfId="11" applyNumberFormat="1" applyFill="1" applyBorder="1" applyAlignment="1" applyProtection="1">
      <alignment horizontal="right"/>
    </xf>
    <xf numFmtId="0" fontId="17" fillId="0" borderId="0" xfId="9" applyFont="1"/>
    <xf numFmtId="164" fontId="17" fillId="0" borderId="0" xfId="10" applyNumberFormat="1" applyFont="1" applyFill="1" applyBorder="1" applyAlignment="1">
      <alignment horizontal="center"/>
    </xf>
    <xf numFmtId="0" fontId="17" fillId="0" borderId="0" xfId="8" applyFont="1" applyAlignment="1">
      <alignment horizontal="center" wrapText="1"/>
    </xf>
    <xf numFmtId="0" fontId="21" fillId="0" borderId="0" xfId="8" applyFont="1"/>
    <xf numFmtId="0" fontId="21" fillId="0" borderId="0" xfId="8" applyFont="1" applyAlignment="1">
      <alignment horizontal="center"/>
    </xf>
    <xf numFmtId="0" fontId="22" fillId="0" borderId="0" xfId="7" applyFont="1"/>
    <xf numFmtId="168" fontId="6" fillId="0" borderId="0" xfId="1" applyNumberFormat="1" applyFont="1" applyFill="1"/>
    <xf numFmtId="0" fontId="7" fillId="2" borderId="0" xfId="8" applyFont="1" applyFill="1"/>
    <xf numFmtId="0" fontId="7" fillId="2" borderId="0" xfId="8" applyFont="1" applyFill="1" applyAlignment="1">
      <alignment horizontal="center"/>
    </xf>
    <xf numFmtId="9" fontId="7" fillId="2" borderId="0" xfId="8" applyNumberFormat="1" applyFont="1" applyFill="1"/>
    <xf numFmtId="0" fontId="8" fillId="2" borderId="0" xfId="9" applyFont="1" applyFill="1"/>
    <xf numFmtId="3" fontId="8" fillId="2" borderId="0" xfId="11" applyNumberFormat="1" applyFont="1" applyFill="1" applyBorder="1" applyAlignment="1" applyProtection="1">
      <alignment horizontal="right"/>
    </xf>
    <xf numFmtId="0" fontId="7" fillId="2" borderId="0" xfId="9" applyFont="1" applyFill="1"/>
    <xf numFmtId="3" fontId="7" fillId="2" borderId="0" xfId="11" applyNumberFormat="1" applyFont="1" applyFill="1" applyBorder="1" applyAlignment="1" applyProtection="1">
      <alignment horizontal="right"/>
    </xf>
    <xf numFmtId="3" fontId="7" fillId="2" borderId="0" xfId="8" applyNumberFormat="1" applyFont="1" applyFill="1" applyAlignment="1">
      <alignment horizontal="center"/>
    </xf>
    <xf numFmtId="166" fontId="7" fillId="2" borderId="0" xfId="8" applyNumberFormat="1" applyFont="1" applyFill="1"/>
    <xf numFmtId="10" fontId="9" fillId="0" borderId="0" xfId="2" applyNumberFormat="1" applyFont="1"/>
    <xf numFmtId="10" fontId="10" fillId="0" borderId="0" xfId="4" applyNumberFormat="1" applyFont="1" applyFill="1"/>
    <xf numFmtId="164" fontId="9" fillId="0" borderId="13" xfId="2" applyNumberFormat="1" applyFont="1" applyBorder="1"/>
    <xf numFmtId="0" fontId="10" fillId="0" borderId="0" xfId="3" applyFont="1" applyAlignment="1">
      <alignment horizontal="left" vertical="top"/>
    </xf>
    <xf numFmtId="0" fontId="10" fillId="0" borderId="0" xfId="3" applyFont="1" applyAlignment="1">
      <alignment horizontal="right" vertical="top" wrapText="1"/>
    </xf>
    <xf numFmtId="0" fontId="11" fillId="0" borderId="7" xfId="3" applyFont="1" applyBorder="1"/>
    <xf numFmtId="0" fontId="6" fillId="5" borderId="0" xfId="3" applyFont="1" applyFill="1"/>
    <xf numFmtId="168" fontId="11" fillId="6" borderId="14" xfId="5" applyNumberFormat="1" applyFont="1" applyFill="1" applyBorder="1"/>
    <xf numFmtId="0" fontId="10" fillId="0" borderId="0" xfId="3" applyFont="1" applyAlignment="1">
      <alignment horizontal="left" indent="1"/>
    </xf>
    <xf numFmtId="168" fontId="11" fillId="6" borderId="15" xfId="5" applyNumberFormat="1" applyFont="1" applyFill="1" applyBorder="1"/>
    <xf numFmtId="168" fontId="8" fillId="6" borderId="14" xfId="5" applyNumberFormat="1" applyFont="1" applyFill="1" applyBorder="1"/>
    <xf numFmtId="168" fontId="8" fillId="6" borderId="14" xfId="1" applyNumberFormat="1" applyFont="1" applyFill="1" applyBorder="1"/>
    <xf numFmtId="0" fontId="11" fillId="0" borderId="0" xfId="3" applyFont="1" applyAlignment="1">
      <alignment horizontal="left" indent="1"/>
    </xf>
    <xf numFmtId="0" fontId="23" fillId="0" borderId="7" xfId="12" applyFont="1" applyBorder="1"/>
    <xf numFmtId="0" fontId="23" fillId="0" borderId="0" xfId="12" applyFont="1"/>
    <xf numFmtId="0" fontId="24" fillId="0" borderId="0" xfId="12" applyFont="1"/>
    <xf numFmtId="0" fontId="9" fillId="0" borderId="0" xfId="12" applyFont="1"/>
    <xf numFmtId="0" fontId="24" fillId="0" borderId="0" xfId="12" applyFont="1" applyAlignment="1">
      <alignment horizontal="center"/>
    </xf>
    <xf numFmtId="0" fontId="23" fillId="0" borderId="13" xfId="12" applyFont="1" applyBorder="1"/>
    <xf numFmtId="173" fontId="24" fillId="0" borderId="0" xfId="12" applyNumberFormat="1" applyFont="1"/>
    <xf numFmtId="164" fontId="27" fillId="0" borderId="0" xfId="13" applyNumberFormat="1" applyFont="1"/>
    <xf numFmtId="0" fontId="23" fillId="0" borderId="0" xfId="12" applyFont="1" applyAlignment="1">
      <alignment horizontal="centerContinuous"/>
    </xf>
    <xf numFmtId="0" fontId="10" fillId="0" borderId="18" xfId="3" applyFont="1" applyBorder="1" applyAlignment="1">
      <alignment horizontal="right" vertical="top" wrapText="1"/>
    </xf>
    <xf numFmtId="0" fontId="23" fillId="0" borderId="18" xfId="12" applyFont="1" applyBorder="1"/>
    <xf numFmtId="0" fontId="6" fillId="0" borderId="18" xfId="3" applyFont="1" applyBorder="1"/>
    <xf numFmtId="10" fontId="10" fillId="0" borderId="18" xfId="4" applyNumberFormat="1" applyFont="1" applyFill="1" applyBorder="1"/>
    <xf numFmtId="168" fontId="6" fillId="0" borderId="18" xfId="5" applyNumberFormat="1" applyFont="1" applyBorder="1"/>
    <xf numFmtId="168" fontId="11" fillId="6" borderId="19" xfId="5" applyNumberFormat="1" applyFont="1" applyFill="1" applyBorder="1"/>
    <xf numFmtId="10" fontId="10" fillId="0" borderId="18" xfId="4" applyNumberFormat="1" applyFont="1" applyBorder="1"/>
    <xf numFmtId="0" fontId="6" fillId="5" borderId="18" xfId="3" applyFont="1" applyFill="1" applyBorder="1"/>
    <xf numFmtId="168" fontId="6" fillId="0" borderId="18" xfId="1" applyNumberFormat="1" applyFont="1" applyFill="1" applyBorder="1"/>
    <xf numFmtId="1" fontId="6" fillId="0" borderId="18" xfId="3" applyNumberFormat="1" applyFont="1" applyBorder="1"/>
    <xf numFmtId="168" fontId="6" fillId="0" borderId="18" xfId="3" applyNumberFormat="1" applyFont="1" applyBorder="1"/>
    <xf numFmtId="168" fontId="11" fillId="6" borderId="20" xfId="5" applyNumberFormat="1" applyFont="1" applyFill="1" applyBorder="1"/>
    <xf numFmtId="2" fontId="7" fillId="0" borderId="18" xfId="3" applyNumberFormat="1" applyFont="1" applyBorder="1"/>
    <xf numFmtId="0" fontId="23" fillId="0" borderId="14" xfId="12" applyFont="1" applyBorder="1"/>
    <xf numFmtId="10" fontId="28" fillId="0" borderId="18" xfId="4" applyNumberFormat="1" applyFont="1" applyFill="1" applyBorder="1"/>
    <xf numFmtId="10" fontId="28" fillId="0" borderId="0" xfId="4" applyNumberFormat="1" applyFont="1" applyFill="1"/>
    <xf numFmtId="10" fontId="27" fillId="0" borderId="18" xfId="3" applyNumberFormat="1" applyFont="1" applyBorder="1"/>
    <xf numFmtId="0" fontId="11" fillId="0" borderId="7" xfId="3" applyFont="1" applyBorder="1" applyAlignment="1">
      <alignment horizontal="center" vertical="top" wrapText="1"/>
    </xf>
    <xf numFmtId="0" fontId="29" fillId="0" borderId="7" xfId="12" applyFont="1" applyBorder="1"/>
    <xf numFmtId="0" fontId="26" fillId="0" borderId="0" xfId="12" applyFont="1" applyAlignment="1">
      <alignment horizontal="centerContinuous"/>
    </xf>
    <xf numFmtId="0" fontId="12" fillId="3" borderId="0" xfId="12" applyFont="1" applyFill="1" applyAlignment="1">
      <alignment horizontal="centerContinuous"/>
    </xf>
    <xf numFmtId="0" fontId="30" fillId="3" borderId="0" xfId="12" applyFont="1" applyFill="1" applyAlignment="1">
      <alignment horizontal="centerContinuous"/>
    </xf>
    <xf numFmtId="172" fontId="24" fillId="0" borderId="0" xfId="12" applyNumberFormat="1" applyFont="1"/>
    <xf numFmtId="0" fontId="11" fillId="0" borderId="0" xfId="3" applyFont="1" applyAlignment="1">
      <alignment horizontal="center" vertical="top" wrapText="1"/>
    </xf>
    <xf numFmtId="0" fontId="12" fillId="0" borderId="0" xfId="12" applyFont="1" applyAlignment="1">
      <alignment horizontal="centerContinuous"/>
    </xf>
    <xf numFmtId="0" fontId="12" fillId="3" borderId="7" xfId="12" applyFont="1" applyFill="1" applyBorder="1" applyAlignment="1">
      <alignment horizontal="centerContinuous"/>
    </xf>
    <xf numFmtId="0" fontId="23" fillId="3" borderId="7" xfId="12" applyFont="1" applyFill="1" applyBorder="1" applyAlignment="1">
      <alignment horizontal="centerContinuous"/>
    </xf>
    <xf numFmtId="164" fontId="27" fillId="0" borderId="0" xfId="3" applyNumberFormat="1" applyFont="1"/>
    <xf numFmtId="0" fontId="31" fillId="0" borderId="0" xfId="12" applyFont="1"/>
    <xf numFmtId="0" fontId="23" fillId="0" borderId="18" xfId="12" applyFont="1" applyBorder="1" applyAlignment="1">
      <alignment horizontal="centerContinuous"/>
    </xf>
    <xf numFmtId="37" fontId="7" fillId="0" borderId="18" xfId="3" applyNumberFormat="1" applyFont="1" applyBorder="1"/>
    <xf numFmtId="164" fontId="27" fillId="0" borderId="18" xfId="3" applyNumberFormat="1" applyFont="1" applyBorder="1"/>
    <xf numFmtId="168" fontId="7" fillId="0" borderId="18" xfId="5" applyNumberFormat="1" applyFont="1" applyBorder="1"/>
    <xf numFmtId="10" fontId="7" fillId="0" borderId="0" xfId="2" applyNumberFormat="1" applyFont="1"/>
    <xf numFmtId="10" fontId="25" fillId="0" borderId="18" xfId="2" applyNumberFormat="1" applyFont="1" applyFill="1" applyBorder="1"/>
    <xf numFmtId="10" fontId="25" fillId="0" borderId="0" xfId="2" applyNumberFormat="1" applyFont="1" applyFill="1"/>
    <xf numFmtId="173" fontId="24" fillId="0" borderId="23" xfId="12" applyNumberFormat="1" applyFont="1" applyBorder="1"/>
    <xf numFmtId="5" fontId="8" fillId="6" borderId="14" xfId="5" applyNumberFormat="1" applyFont="1" applyFill="1" applyBorder="1"/>
    <xf numFmtId="5" fontId="11" fillId="0" borderId="0" xfId="6" applyNumberFormat="1" applyFont="1"/>
    <xf numFmtId="5" fontId="11" fillId="0" borderId="18" xfId="3" applyNumberFormat="1" applyFont="1" applyBorder="1"/>
    <xf numFmtId="5" fontId="11" fillId="0" borderId="0" xfId="3" applyNumberFormat="1" applyFont="1"/>
    <xf numFmtId="0" fontId="9" fillId="0" borderId="14" xfId="3" applyFont="1" applyBorder="1"/>
    <xf numFmtId="164" fontId="9" fillId="0" borderId="14" xfId="3" applyNumberFormat="1" applyFont="1" applyBorder="1"/>
    <xf numFmtId="0" fontId="23" fillId="0" borderId="22" xfId="12" applyFont="1" applyBorder="1"/>
    <xf numFmtId="5" fontId="8" fillId="6" borderId="19" xfId="5" applyNumberFormat="1" applyFont="1" applyFill="1" applyBorder="1"/>
    <xf numFmtId="10" fontId="9" fillId="0" borderId="18" xfId="2" applyNumberFormat="1" applyFont="1" applyBorder="1"/>
    <xf numFmtId="164" fontId="9" fillId="0" borderId="18" xfId="3" applyNumberFormat="1" applyFont="1" applyBorder="1"/>
    <xf numFmtId="168" fontId="8" fillId="6" borderId="19" xfId="1" applyNumberFormat="1" applyFont="1" applyFill="1" applyBorder="1"/>
    <xf numFmtId="2" fontId="9" fillId="0" borderId="18" xfId="3" applyNumberFormat="1" applyFont="1" applyBorder="1"/>
    <xf numFmtId="0" fontId="11" fillId="0" borderId="19" xfId="3" applyFont="1" applyBorder="1" applyAlignment="1">
      <alignment horizontal="center" vertical="top" wrapText="1"/>
    </xf>
    <xf numFmtId="9" fontId="23" fillId="0" borderId="0" xfId="12" applyNumberFormat="1" applyFont="1"/>
    <xf numFmtId="174" fontId="24" fillId="0" borderId="0" xfId="12" applyNumberFormat="1" applyFont="1"/>
    <xf numFmtId="168" fontId="7" fillId="0" borderId="0" xfId="5" applyNumberFormat="1" applyFont="1" applyBorder="1"/>
    <xf numFmtId="3" fontId="8" fillId="0" borderId="14" xfId="3" applyNumberFormat="1" applyFont="1" applyBorder="1"/>
    <xf numFmtId="0" fontId="11" fillId="0" borderId="24" xfId="3" applyFont="1" applyBorder="1" applyAlignment="1">
      <alignment horizontal="center" vertical="top" wrapText="1"/>
    </xf>
    <xf numFmtId="173" fontId="24" fillId="0" borderId="25" xfId="12" applyNumberFormat="1" applyFont="1" applyBorder="1"/>
    <xf numFmtId="5" fontId="8" fillId="6" borderId="24" xfId="5" applyNumberFormat="1" applyFont="1" applyFill="1" applyBorder="1"/>
    <xf numFmtId="10" fontId="9" fillId="0" borderId="25" xfId="2" applyNumberFormat="1" applyFont="1" applyBorder="1"/>
    <xf numFmtId="0" fontId="7" fillId="0" borderId="24" xfId="3" applyFont="1" applyBorder="1"/>
    <xf numFmtId="164" fontId="9" fillId="0" borderId="25" xfId="3" applyNumberFormat="1" applyFont="1" applyBorder="1"/>
    <xf numFmtId="168" fontId="8" fillId="6" borderId="24" xfId="1" applyNumberFormat="1" applyFont="1" applyFill="1" applyBorder="1"/>
    <xf numFmtId="2" fontId="9" fillId="0" borderId="25" xfId="3" applyNumberFormat="1" applyFont="1" applyBorder="1"/>
    <xf numFmtId="168" fontId="8" fillId="6" borderId="19" xfId="5" applyNumberFormat="1" applyFont="1" applyFill="1" applyBorder="1"/>
    <xf numFmtId="3" fontId="8" fillId="0" borderId="19" xfId="3" applyNumberFormat="1" applyFont="1" applyBorder="1"/>
    <xf numFmtId="3" fontId="9" fillId="0" borderId="0" xfId="3" applyNumberFormat="1" applyFont="1"/>
    <xf numFmtId="3" fontId="8" fillId="0" borderId="0" xfId="3" applyNumberFormat="1" applyFont="1" applyAlignment="1">
      <alignment horizontal="center"/>
    </xf>
    <xf numFmtId="2" fontId="23" fillId="0" borderId="0" xfId="12" applyNumberFormat="1" applyFont="1"/>
    <xf numFmtId="9" fontId="23" fillId="0" borderId="0" xfId="2" applyFont="1"/>
    <xf numFmtId="164" fontId="23" fillId="0" borderId="0" xfId="2" applyNumberFormat="1" applyFont="1"/>
    <xf numFmtId="0" fontId="23" fillId="3" borderId="0" xfId="12" applyFont="1" applyFill="1" applyAlignment="1">
      <alignment horizontal="centerContinuous"/>
    </xf>
    <xf numFmtId="0" fontId="17" fillId="0" borderId="0" xfId="14"/>
    <xf numFmtId="1" fontId="17" fillId="0" borderId="0" xfId="14" applyNumberFormat="1"/>
    <xf numFmtId="0" fontId="33" fillId="0" borderId="0" xfId="14" applyFont="1" applyAlignment="1">
      <alignment horizontal="center"/>
    </xf>
    <xf numFmtId="0" fontId="34" fillId="0" borderId="0" xfId="14" applyFont="1"/>
    <xf numFmtId="0" fontId="20" fillId="0" borderId="0" xfId="14" applyFont="1" applyAlignment="1">
      <alignment horizontal="center"/>
    </xf>
    <xf numFmtId="0" fontId="20" fillId="0" borderId="0" xfId="14" applyFont="1"/>
    <xf numFmtId="0" fontId="33" fillId="0" borderId="31" xfId="14" applyFont="1" applyBorder="1" applyAlignment="1">
      <alignment horizontal="center"/>
    </xf>
    <xf numFmtId="0" fontId="33" fillId="0" borderId="32" xfId="14" applyFont="1" applyBorder="1" applyAlignment="1">
      <alignment horizontal="center"/>
    </xf>
    <xf numFmtId="0" fontId="36" fillId="0" borderId="0" xfId="14" applyFont="1"/>
    <xf numFmtId="5" fontId="36" fillId="0" borderId="0" xfId="14" applyNumberFormat="1" applyFont="1"/>
    <xf numFmtId="0" fontId="35" fillId="0" borderId="0" xfId="14" applyFont="1"/>
    <xf numFmtId="5" fontId="17" fillId="0" borderId="0" xfId="14" applyNumberFormat="1"/>
    <xf numFmtId="0" fontId="6" fillId="0" borderId="0" xfId="14" applyFont="1"/>
    <xf numFmtId="167" fontId="7" fillId="0" borderId="0" xfId="14" applyNumberFormat="1" applyFont="1" applyAlignment="1">
      <alignment horizontal="right" vertical="center"/>
    </xf>
    <xf numFmtId="167" fontId="6" fillId="0" borderId="0" xfId="14" applyNumberFormat="1" applyFont="1" applyAlignment="1">
      <alignment horizontal="right" vertical="center"/>
    </xf>
    <xf numFmtId="0" fontId="13" fillId="0" borderId="0" xfId="14" applyFont="1"/>
    <xf numFmtId="167" fontId="37" fillId="0" borderId="0" xfId="14" applyNumberFormat="1" applyFont="1" applyAlignment="1">
      <alignment horizontal="right" vertical="center"/>
    </xf>
    <xf numFmtId="0" fontId="35" fillId="6" borderId="6" xfId="14" applyFont="1" applyFill="1" applyBorder="1"/>
    <xf numFmtId="0" fontId="35" fillId="6" borderId="33" xfId="14" applyFont="1" applyFill="1" applyBorder="1"/>
    <xf numFmtId="5" fontId="35" fillId="6" borderId="33" xfId="14" applyNumberFormat="1" applyFont="1" applyFill="1" applyBorder="1"/>
    <xf numFmtId="1" fontId="35" fillId="6" borderId="33" xfId="14" applyNumberFormat="1" applyFont="1" applyFill="1" applyBorder="1"/>
    <xf numFmtId="5" fontId="35" fillId="6" borderId="5" xfId="14" applyNumberFormat="1" applyFont="1" applyFill="1" applyBorder="1"/>
    <xf numFmtId="0" fontId="35" fillId="6" borderId="4" xfId="14" applyFont="1" applyFill="1" applyBorder="1"/>
    <xf numFmtId="5" fontId="35" fillId="6" borderId="3" xfId="14" applyNumberFormat="1" applyFont="1" applyFill="1" applyBorder="1"/>
    <xf numFmtId="0" fontId="35" fillId="6" borderId="2" xfId="14" applyFont="1" applyFill="1" applyBorder="1"/>
    <xf numFmtId="0" fontId="35" fillId="6" borderId="34" xfId="14" applyFont="1" applyFill="1" applyBorder="1"/>
    <xf numFmtId="5" fontId="35" fillId="6" borderId="34" xfId="14" applyNumberFormat="1" applyFont="1" applyFill="1" applyBorder="1"/>
    <xf numFmtId="1" fontId="35" fillId="6" borderId="34" xfId="14" applyNumberFormat="1" applyFont="1" applyFill="1" applyBorder="1"/>
    <xf numFmtId="5" fontId="35" fillId="6" borderId="1" xfId="14" applyNumberFormat="1" applyFont="1" applyFill="1" applyBorder="1"/>
    <xf numFmtId="168" fontId="7" fillId="0" borderId="13" xfId="5" applyNumberFormat="1" applyFont="1" applyFill="1" applyBorder="1"/>
    <xf numFmtId="0" fontId="33" fillId="0" borderId="29" xfId="14" applyFont="1" applyBorder="1" applyAlignment="1">
      <alignment horizontal="centerContinuous"/>
    </xf>
    <xf numFmtId="0" fontId="33" fillId="0" borderId="30" xfId="14" applyFont="1" applyBorder="1" applyAlignment="1">
      <alignment horizontal="centerContinuous"/>
    </xf>
    <xf numFmtId="0" fontId="35" fillId="0" borderId="31" xfId="14" applyFont="1" applyBorder="1" applyAlignment="1">
      <alignment horizontal="center"/>
    </xf>
    <xf numFmtId="0" fontId="11" fillId="0" borderId="7" xfId="3" applyFont="1" applyBorder="1" applyAlignment="1">
      <alignment horizontal="right" vertical="top" wrapText="1"/>
    </xf>
    <xf numFmtId="164" fontId="25" fillId="0" borderId="0" xfId="3" applyNumberFormat="1" applyFont="1"/>
    <xf numFmtId="0" fontId="11" fillId="0" borderId="18" xfId="3" applyFont="1" applyBorder="1" applyAlignment="1">
      <alignment horizontal="right" vertical="top" wrapText="1"/>
    </xf>
    <xf numFmtId="37" fontId="6" fillId="0" borderId="18" xfId="3" applyNumberFormat="1" applyFont="1" applyBorder="1"/>
    <xf numFmtId="164" fontId="25" fillId="0" borderId="18" xfId="3" applyNumberFormat="1" applyFont="1" applyBorder="1"/>
    <xf numFmtId="37" fontId="11" fillId="0" borderId="20" xfId="3" applyNumberFormat="1" applyFont="1" applyBorder="1"/>
    <xf numFmtId="164" fontId="10" fillId="0" borderId="18" xfId="3" applyNumberFormat="1" applyFont="1" applyBorder="1"/>
    <xf numFmtId="0" fontId="38" fillId="0" borderId="0" xfId="8" applyFont="1"/>
    <xf numFmtId="0" fontId="38" fillId="0" borderId="0" xfId="8" applyFont="1" applyAlignment="1">
      <alignment horizontal="center"/>
    </xf>
    <xf numFmtId="0" fontId="23" fillId="0" borderId="0" xfId="3" applyFont="1"/>
    <xf numFmtId="0" fontId="8" fillId="0" borderId="13" xfId="8" applyFont="1" applyBorder="1" applyAlignment="1">
      <alignment horizontal="center" vertical="center"/>
    </xf>
    <xf numFmtId="0" fontId="8" fillId="0" borderId="13" xfId="9" applyFont="1" applyBorder="1" applyAlignment="1">
      <alignment horizontal="center" vertical="center"/>
    </xf>
    <xf numFmtId="0" fontId="8" fillId="0" borderId="0" xfId="8" applyFont="1" applyAlignment="1">
      <alignment horizontal="center" vertical="center"/>
    </xf>
    <xf numFmtId="0" fontId="8" fillId="0" borderId="0" xfId="9" applyFont="1" applyAlignment="1">
      <alignment horizontal="center" vertical="center"/>
    </xf>
    <xf numFmtId="0" fontId="8" fillId="0" borderId="7" xfId="8" applyFont="1" applyBorder="1" applyAlignment="1">
      <alignment horizontal="left" vertical="center"/>
    </xf>
    <xf numFmtId="0" fontId="8" fillId="0" borderId="7" xfId="9" applyFont="1" applyBorder="1" applyAlignment="1">
      <alignment horizontal="left" vertical="center"/>
    </xf>
    <xf numFmtId="0" fontId="8" fillId="0" borderId="7" xfId="8" applyFont="1" applyBorder="1" applyAlignment="1">
      <alignment horizontal="center" vertical="center"/>
    </xf>
    <xf numFmtId="9" fontId="23" fillId="2" borderId="0" xfId="3" applyNumberFormat="1" applyFont="1" applyFill="1"/>
    <xf numFmtId="166" fontId="23" fillId="2" borderId="0" xfId="3" applyNumberFormat="1" applyFont="1" applyFill="1"/>
    <xf numFmtId="3" fontId="8" fillId="2" borderId="31" xfId="11" applyNumberFormat="1" applyFont="1" applyFill="1" applyBorder="1" applyAlignment="1" applyProtection="1">
      <alignment horizontal="right"/>
    </xf>
    <xf numFmtId="9" fontId="24" fillId="0" borderId="31" xfId="2" applyFont="1" applyBorder="1"/>
    <xf numFmtId="2" fontId="8" fillId="0" borderId="31" xfId="15" applyNumberFormat="1" applyFont="1" applyBorder="1" applyAlignment="1">
      <alignment horizontal="right"/>
    </xf>
    <xf numFmtId="166" fontId="24" fillId="0" borderId="0" xfId="3" applyNumberFormat="1" applyFont="1" applyAlignment="1">
      <alignment horizontal="right"/>
    </xf>
    <xf numFmtId="0" fontId="7" fillId="6" borderId="12" xfId="8" applyFont="1" applyFill="1" applyBorder="1"/>
    <xf numFmtId="0" fontId="7" fillId="6" borderId="13" xfId="8" applyFont="1" applyFill="1" applyBorder="1"/>
    <xf numFmtId="3" fontId="7" fillId="6" borderId="13" xfId="11" applyNumberFormat="1" applyFont="1" applyFill="1" applyBorder="1" applyAlignment="1" applyProtection="1">
      <alignment horizontal="right"/>
    </xf>
    <xf numFmtId="9" fontId="7" fillId="6" borderId="13" xfId="2" applyFont="1" applyFill="1" applyBorder="1" applyAlignment="1" applyProtection="1">
      <alignment horizontal="right"/>
    </xf>
    <xf numFmtId="9" fontId="7" fillId="6" borderId="13" xfId="11" applyNumberFormat="1" applyFont="1" applyFill="1" applyBorder="1" applyAlignment="1" applyProtection="1">
      <alignment horizontal="right"/>
    </xf>
    <xf numFmtId="166" fontId="7" fillId="6" borderId="13" xfId="11" applyNumberFormat="1" applyFont="1" applyFill="1" applyBorder="1" applyAlignment="1" applyProtection="1">
      <alignment horizontal="right"/>
    </xf>
    <xf numFmtId="9" fontId="7" fillId="6" borderId="11" xfId="11" applyNumberFormat="1" applyFont="1" applyFill="1" applyBorder="1" applyAlignment="1" applyProtection="1">
      <alignment horizontal="right"/>
    </xf>
    <xf numFmtId="0" fontId="7" fillId="6" borderId="17" xfId="8" applyFont="1" applyFill="1" applyBorder="1"/>
    <xf numFmtId="0" fontId="7" fillId="6" borderId="0" xfId="8" applyFont="1" applyFill="1"/>
    <xf numFmtId="3" fontId="7" fillId="6" borderId="0" xfId="11" applyNumberFormat="1" applyFont="1" applyFill="1" applyBorder="1" applyAlignment="1" applyProtection="1">
      <alignment horizontal="right"/>
    </xf>
    <xf numFmtId="9" fontId="7" fillId="6" borderId="0" xfId="2" applyFont="1" applyFill="1" applyBorder="1" applyAlignment="1" applyProtection="1">
      <alignment horizontal="right"/>
    </xf>
    <xf numFmtId="9" fontId="7" fillId="6" borderId="0" xfId="11" applyNumberFormat="1" applyFont="1" applyFill="1" applyBorder="1" applyAlignment="1" applyProtection="1">
      <alignment horizontal="right"/>
    </xf>
    <xf numFmtId="166" fontId="7" fillId="6" borderId="0" xfId="11" applyNumberFormat="1" applyFont="1" applyFill="1" applyBorder="1" applyAlignment="1" applyProtection="1">
      <alignment horizontal="right"/>
    </xf>
    <xf numFmtId="9" fontId="7" fillId="6" borderId="16" xfId="11" applyNumberFormat="1" applyFont="1" applyFill="1" applyBorder="1" applyAlignment="1" applyProtection="1">
      <alignment horizontal="right"/>
    </xf>
    <xf numFmtId="0" fontId="7" fillId="6" borderId="10" xfId="8" applyFont="1" applyFill="1" applyBorder="1"/>
    <xf numFmtId="0" fontId="7" fillId="6" borderId="7" xfId="8" applyFont="1" applyFill="1" applyBorder="1"/>
    <xf numFmtId="3" fontId="7" fillId="6" borderId="7" xfId="11" applyNumberFormat="1" applyFont="1" applyFill="1" applyBorder="1" applyAlignment="1" applyProtection="1">
      <alignment horizontal="right"/>
    </xf>
    <xf numFmtId="9" fontId="7" fillId="6" borderId="7" xfId="2" applyFont="1" applyFill="1" applyBorder="1" applyAlignment="1" applyProtection="1">
      <alignment horizontal="right"/>
    </xf>
    <xf numFmtId="9" fontId="7" fillId="6" borderId="7" xfId="11" applyNumberFormat="1" applyFont="1" applyFill="1" applyBorder="1" applyAlignment="1" applyProtection="1">
      <alignment horizontal="right"/>
    </xf>
    <xf numFmtId="166" fontId="7" fillId="6" borderId="7" xfId="11" applyNumberFormat="1" applyFont="1" applyFill="1" applyBorder="1" applyAlignment="1" applyProtection="1">
      <alignment horizontal="right"/>
    </xf>
    <xf numFmtId="9" fontId="7" fillId="6" borderId="9" xfId="11" applyNumberFormat="1" applyFont="1" applyFill="1" applyBorder="1" applyAlignment="1" applyProtection="1">
      <alignment horizontal="right"/>
    </xf>
    <xf numFmtId="0" fontId="8" fillId="0" borderId="13" xfId="8" applyFont="1" applyBorder="1" applyAlignment="1">
      <alignment horizontal="center"/>
    </xf>
    <xf numFmtId="0" fontId="8" fillId="0" borderId="0" xfId="8" applyFont="1"/>
    <xf numFmtId="0" fontId="8" fillId="0" borderId="0" xfId="8" applyFont="1" applyAlignment="1">
      <alignment horizontal="center"/>
    </xf>
    <xf numFmtId="0" fontId="8" fillId="0" borderId="0" xfId="9" applyFont="1" applyAlignment="1">
      <alignment horizontal="center"/>
    </xf>
    <xf numFmtId="0" fontId="8" fillId="0" borderId="7" xfId="8" applyFont="1" applyBorder="1"/>
    <xf numFmtId="0" fontId="8" fillId="0" borderId="7" xfId="9" applyFont="1" applyBorder="1" applyAlignment="1">
      <alignment horizontal="left"/>
    </xf>
    <xf numFmtId="0" fontId="8" fillId="0" borderId="7" xfId="8" applyFont="1" applyBorder="1" applyAlignment="1">
      <alignment horizontal="center"/>
    </xf>
    <xf numFmtId="0" fontId="8" fillId="0" borderId="7" xfId="9" applyFont="1" applyBorder="1" applyAlignment="1">
      <alignment horizontal="center"/>
    </xf>
    <xf numFmtId="0" fontId="8" fillId="2" borderId="14" xfId="9" applyFont="1" applyFill="1" applyBorder="1"/>
    <xf numFmtId="175" fontId="8" fillId="0" borderId="14" xfId="15" applyNumberFormat="1" applyFont="1" applyBorder="1" applyAlignment="1">
      <alignment horizontal="right"/>
    </xf>
    <xf numFmtId="2" fontId="8" fillId="0" borderId="14" xfId="15" applyNumberFormat="1" applyFont="1" applyBorder="1" applyAlignment="1">
      <alignment horizontal="right"/>
    </xf>
    <xf numFmtId="175" fontId="8" fillId="0" borderId="0" xfId="4" applyNumberFormat="1" applyFont="1" applyFill="1" applyBorder="1" applyAlignment="1">
      <alignment horizontal="right"/>
    </xf>
    <xf numFmtId="175" fontId="7" fillId="0" borderId="0" xfId="15" applyNumberFormat="1" applyFont="1" applyAlignment="1">
      <alignment horizontal="right"/>
    </xf>
    <xf numFmtId="0" fontId="7" fillId="6" borderId="35" xfId="8" applyFont="1" applyFill="1" applyBorder="1"/>
    <xf numFmtId="0" fontId="7" fillId="6" borderId="36" xfId="8" applyFont="1" applyFill="1" applyBorder="1"/>
    <xf numFmtId="3" fontId="7" fillId="6" borderId="36" xfId="11" applyNumberFormat="1" applyFont="1" applyFill="1" applyBorder="1" applyAlignment="1" applyProtection="1">
      <alignment horizontal="right"/>
    </xf>
    <xf numFmtId="176" fontId="7" fillId="6" borderId="36" xfId="11" applyNumberFormat="1" applyFont="1" applyFill="1" applyBorder="1" applyAlignment="1" applyProtection="1">
      <alignment horizontal="right"/>
    </xf>
    <xf numFmtId="176" fontId="7" fillId="6" borderId="37" xfId="11" applyNumberFormat="1" applyFont="1" applyFill="1" applyBorder="1" applyAlignment="1" applyProtection="1">
      <alignment horizontal="right"/>
    </xf>
    <xf numFmtId="0" fontId="7" fillId="6" borderId="38" xfId="8" applyFont="1" applyFill="1" applyBorder="1"/>
    <xf numFmtId="176" fontId="7" fillId="6" borderId="0" xfId="11" applyNumberFormat="1" applyFont="1" applyFill="1" applyBorder="1" applyAlignment="1" applyProtection="1">
      <alignment horizontal="right"/>
    </xf>
    <xf numFmtId="176" fontId="7" fillId="6" borderId="39" xfId="11" applyNumberFormat="1" applyFont="1" applyFill="1" applyBorder="1" applyAlignment="1" applyProtection="1">
      <alignment horizontal="right"/>
    </xf>
    <xf numFmtId="0" fontId="7" fillId="6" borderId="40" xfId="8" applyFont="1" applyFill="1" applyBorder="1"/>
    <xf numFmtId="0" fontId="7" fillId="6" borderId="32" xfId="8" applyFont="1" applyFill="1" applyBorder="1"/>
    <xf numFmtId="3" fontId="7" fillId="6" borderId="32" xfId="11" applyNumberFormat="1" applyFont="1" applyFill="1" applyBorder="1" applyAlignment="1" applyProtection="1">
      <alignment horizontal="right"/>
    </xf>
    <xf numFmtId="176" fontId="7" fillId="6" borderId="32" xfId="11" applyNumberFormat="1" applyFont="1" applyFill="1" applyBorder="1" applyAlignment="1" applyProtection="1">
      <alignment horizontal="right"/>
    </xf>
    <xf numFmtId="176" fontId="7" fillId="6" borderId="41" xfId="11" applyNumberFormat="1" applyFont="1" applyFill="1" applyBorder="1" applyAlignment="1" applyProtection="1">
      <alignment horizontal="right"/>
    </xf>
    <xf numFmtId="0" fontId="7" fillId="0" borderId="0" xfId="9" applyFont="1"/>
    <xf numFmtId="3" fontId="7" fillId="0" borderId="0" xfId="11" applyNumberFormat="1" applyFont="1" applyFill="1" applyBorder="1" applyAlignment="1" applyProtection="1">
      <alignment horizontal="right"/>
    </xf>
    <xf numFmtId="9" fontId="23" fillId="0" borderId="0" xfId="2" applyFont="1" applyFill="1"/>
    <xf numFmtId="0" fontId="24" fillId="0" borderId="0" xfId="8" applyFont="1" applyAlignment="1">
      <alignment vertical="center"/>
    </xf>
    <xf numFmtId="0" fontId="40" fillId="4" borderId="42" xfId="8" applyFont="1" applyFill="1" applyBorder="1"/>
    <xf numFmtId="0" fontId="8" fillId="4" borderId="43" xfId="8" applyFont="1" applyFill="1" applyBorder="1"/>
    <xf numFmtId="3" fontId="40" fillId="4" borderId="43" xfId="11" applyNumberFormat="1" applyFont="1" applyFill="1" applyBorder="1" applyAlignment="1" applyProtection="1">
      <alignment horizontal="right"/>
    </xf>
    <xf numFmtId="176" fontId="40" fillId="4" borderId="43" xfId="11" applyNumberFormat="1" applyFont="1" applyFill="1" applyBorder="1" applyAlignment="1" applyProtection="1">
      <alignment horizontal="right"/>
    </xf>
    <xf numFmtId="176" fontId="40" fillId="4" borderId="44" xfId="11" applyNumberFormat="1" applyFont="1" applyFill="1" applyBorder="1" applyAlignment="1" applyProtection="1">
      <alignment horizontal="right"/>
    </xf>
    <xf numFmtId="0" fontId="41" fillId="4" borderId="45" xfId="8" applyFont="1" applyFill="1" applyBorder="1"/>
    <xf numFmtId="0" fontId="7" fillId="4" borderId="46" xfId="8" applyFont="1" applyFill="1" applyBorder="1"/>
    <xf numFmtId="3" fontId="41" fillId="4" borderId="46" xfId="11" applyNumberFormat="1" applyFont="1" applyFill="1" applyBorder="1" applyAlignment="1" applyProtection="1">
      <alignment horizontal="right"/>
    </xf>
    <xf numFmtId="176" fontId="41" fillId="4" borderId="46" xfId="11" applyNumberFormat="1" applyFont="1" applyFill="1" applyBorder="1" applyAlignment="1" applyProtection="1">
      <alignment horizontal="right"/>
    </xf>
    <xf numFmtId="176" fontId="41" fillId="4" borderId="47" xfId="11" applyNumberFormat="1" applyFont="1" applyFill="1" applyBorder="1" applyAlignment="1" applyProtection="1">
      <alignment horizontal="right"/>
    </xf>
    <xf numFmtId="0" fontId="40" fillId="4" borderId="43" xfId="8" applyFont="1" applyFill="1" applyBorder="1"/>
    <xf numFmtId="9" fontId="40" fillId="4" borderId="43" xfId="2" applyFont="1" applyFill="1" applyBorder="1" applyAlignment="1" applyProtection="1">
      <alignment horizontal="right"/>
    </xf>
    <xf numFmtId="9" fontId="40" fillId="4" borderId="43" xfId="11" applyNumberFormat="1" applyFont="1" applyFill="1" applyBorder="1" applyAlignment="1" applyProtection="1">
      <alignment horizontal="right"/>
    </xf>
    <xf numFmtId="166" fontId="40" fillId="4" borderId="43" xfId="11" applyNumberFormat="1" applyFont="1" applyFill="1" applyBorder="1" applyAlignment="1" applyProtection="1">
      <alignment horizontal="right"/>
    </xf>
    <xf numFmtId="9" fontId="40" fillId="4" borderId="44" xfId="11" applyNumberFormat="1" applyFont="1" applyFill="1" applyBorder="1" applyAlignment="1" applyProtection="1">
      <alignment horizontal="right"/>
    </xf>
    <xf numFmtId="0" fontId="41" fillId="4" borderId="46" xfId="8" applyFont="1" applyFill="1" applyBorder="1"/>
    <xf numFmtId="9" fontId="41" fillId="4" borderId="46" xfId="2" applyFont="1" applyFill="1" applyBorder="1" applyAlignment="1" applyProtection="1">
      <alignment horizontal="right"/>
    </xf>
    <xf numFmtId="9" fontId="41" fillId="4" borderId="46" xfId="11" applyNumberFormat="1" applyFont="1" applyFill="1" applyBorder="1" applyAlignment="1" applyProtection="1">
      <alignment horizontal="right"/>
    </xf>
    <xf numFmtId="166" fontId="41" fillId="4" borderId="46" xfId="11" applyNumberFormat="1" applyFont="1" applyFill="1" applyBorder="1" applyAlignment="1" applyProtection="1">
      <alignment horizontal="right"/>
    </xf>
    <xf numFmtId="0" fontId="8" fillId="0" borderId="0" xfId="12" applyFont="1"/>
    <xf numFmtId="0" fontId="11" fillId="0" borderId="48" xfId="3" applyFont="1" applyBorder="1" applyAlignment="1">
      <alignment horizontal="center" vertical="top" wrapText="1"/>
    </xf>
    <xf numFmtId="0" fontId="17" fillId="0" borderId="0" xfId="0" applyFont="1"/>
    <xf numFmtId="0" fontId="42" fillId="0" borderId="0" xfId="3" applyFont="1"/>
    <xf numFmtId="168" fontId="43" fillId="0" borderId="0" xfId="3" applyNumberFormat="1" applyFont="1"/>
    <xf numFmtId="10" fontId="7" fillId="0" borderId="0" xfId="3" applyNumberFormat="1" applyFont="1"/>
    <xf numFmtId="37" fontId="25" fillId="0" borderId="18" xfId="2" applyNumberFormat="1" applyFont="1" applyFill="1" applyBorder="1"/>
    <xf numFmtId="0" fontId="10" fillId="0" borderId="12" xfId="3" applyFont="1" applyBorder="1" applyAlignment="1">
      <alignment horizontal="left" indent="1"/>
    </xf>
    <xf numFmtId="170" fontId="10" fillId="0" borderId="13" xfId="6" applyNumberFormat="1" applyFont="1" applyBorder="1"/>
    <xf numFmtId="10" fontId="10" fillId="0" borderId="13" xfId="4" applyNumberFormat="1" applyFont="1" applyBorder="1"/>
    <xf numFmtId="10" fontId="26" fillId="0" borderId="13" xfId="4" applyNumberFormat="1" applyFont="1" applyFill="1" applyBorder="1"/>
    <xf numFmtId="10" fontId="28" fillId="0" borderId="22" xfId="4" applyNumberFormat="1" applyFont="1" applyFill="1" applyBorder="1"/>
    <xf numFmtId="10" fontId="28" fillId="0" borderId="13" xfId="4" applyNumberFormat="1" applyFont="1" applyFill="1" applyBorder="1"/>
    <xf numFmtId="10" fontId="26" fillId="0" borderId="11" xfId="4" applyNumberFormat="1" applyFont="1" applyFill="1" applyBorder="1"/>
    <xf numFmtId="0" fontId="10" fillId="0" borderId="10" xfId="3" applyFont="1" applyBorder="1" applyAlignment="1">
      <alignment horizontal="left" indent="1"/>
    </xf>
    <xf numFmtId="170" fontId="10" fillId="0" borderId="7" xfId="6" applyNumberFormat="1" applyFont="1" applyBorder="1"/>
    <xf numFmtId="10" fontId="10" fillId="0" borderId="7" xfId="4" applyNumberFormat="1" applyFont="1" applyBorder="1"/>
    <xf numFmtId="10" fontId="27" fillId="0" borderId="21" xfId="4" applyNumberFormat="1" applyFont="1" applyFill="1" applyBorder="1"/>
    <xf numFmtId="10" fontId="27" fillId="0" borderId="7" xfId="4" applyNumberFormat="1" applyFont="1" applyFill="1" applyBorder="1"/>
    <xf numFmtId="10" fontId="27" fillId="0" borderId="9" xfId="4" applyNumberFormat="1" applyFont="1" applyFill="1" applyBorder="1"/>
    <xf numFmtId="0" fontId="22" fillId="0" borderId="0" xfId="18" applyFont="1"/>
    <xf numFmtId="0" fontId="9" fillId="0" borderId="0" xfId="18" applyFont="1"/>
    <xf numFmtId="0" fontId="7" fillId="0" borderId="0" xfId="18" applyFont="1"/>
    <xf numFmtId="4" fontId="23" fillId="0" borderId="0" xfId="2" applyNumberFormat="1" applyFont="1"/>
    <xf numFmtId="9" fontId="22" fillId="0" borderId="0" xfId="7" applyNumberFormat="1" applyFont="1"/>
    <xf numFmtId="175" fontId="44" fillId="0" borderId="0" xfId="15" applyNumberFormat="1" applyFont="1" applyAlignment="1">
      <alignment horizontal="right"/>
    </xf>
    <xf numFmtId="9" fontId="44" fillId="0" borderId="0" xfId="2" applyFont="1" applyFill="1" applyBorder="1" applyAlignment="1">
      <alignment horizontal="right"/>
    </xf>
    <xf numFmtId="0" fontId="7" fillId="0" borderId="0" xfId="18" applyFont="1" applyAlignment="1">
      <alignment vertical="top"/>
    </xf>
    <xf numFmtId="0" fontId="7" fillId="0" borderId="0" xfId="18" applyFont="1" applyAlignment="1">
      <alignment vertical="top" wrapText="1"/>
    </xf>
    <xf numFmtId="178" fontId="7" fillId="0" borderId="0" xfId="18" applyNumberFormat="1" applyFont="1" applyAlignment="1">
      <alignment horizontal="right" vertical="top"/>
    </xf>
    <xf numFmtId="0" fontId="7" fillId="0" borderId="14" xfId="18" applyFont="1" applyBorder="1" applyAlignment="1">
      <alignment vertical="top"/>
    </xf>
    <xf numFmtId="0" fontId="7" fillId="0" borderId="14" xfId="18" applyFont="1" applyBorder="1" applyAlignment="1">
      <alignment vertical="top" wrapText="1"/>
    </xf>
    <xf numFmtId="178" fontId="7" fillId="0" borderId="14" xfId="18" applyNumberFormat="1" applyFont="1" applyBorder="1" applyAlignment="1">
      <alignment horizontal="right" vertical="top"/>
    </xf>
    <xf numFmtId="0" fontId="22" fillId="0" borderId="0" xfId="0" applyFont="1"/>
    <xf numFmtId="0" fontId="45" fillId="0" borderId="0" xfId="0" applyFont="1"/>
    <xf numFmtId="0" fontId="47" fillId="0" borderId="0" xfId="8" applyFont="1"/>
    <xf numFmtId="0" fontId="48" fillId="0" borderId="0" xfId="8" applyFont="1"/>
    <xf numFmtId="0" fontId="47" fillId="0" borderId="0" xfId="8" applyFont="1" applyAlignment="1">
      <alignment horizontal="center"/>
    </xf>
    <xf numFmtId="0" fontId="45" fillId="0" borderId="0" xfId="0" applyFont="1" applyAlignment="1">
      <alignment horizontal="left" vertical="center"/>
    </xf>
    <xf numFmtId="0" fontId="46" fillId="0" borderId="0" xfId="0" applyFont="1"/>
    <xf numFmtId="0" fontId="46" fillId="0" borderId="7" xfId="0" applyFont="1" applyBorder="1" applyAlignment="1">
      <alignment horizontal="centerContinuous"/>
    </xf>
    <xf numFmtId="0" fontId="49" fillId="0" borderId="7" xfId="0" applyFont="1" applyBorder="1" applyAlignment="1">
      <alignment horizontal="centerContinuous"/>
    </xf>
    <xf numFmtId="0" fontId="50" fillId="0" borderId="7" xfId="0" applyFont="1" applyBorder="1" applyAlignment="1">
      <alignment horizontal="centerContinuous"/>
    </xf>
    <xf numFmtId="167" fontId="51" fillId="0" borderId="0" xfId="3" applyNumberFormat="1" applyFont="1"/>
    <xf numFmtId="5" fontId="22" fillId="0" borderId="0" xfId="0" applyNumberFormat="1" applyFont="1"/>
    <xf numFmtId="7" fontId="22" fillId="0" borderId="0" xfId="0" applyNumberFormat="1" applyFont="1"/>
    <xf numFmtId="5" fontId="51" fillId="0" borderId="0" xfId="0" applyNumberFormat="1" applyFont="1"/>
    <xf numFmtId="37" fontId="22" fillId="0" borderId="0" xfId="0" applyNumberFormat="1" applyFont="1"/>
    <xf numFmtId="0" fontId="46" fillId="0" borderId="7" xfId="0" applyFont="1" applyBorder="1" applyAlignment="1">
      <alignment horizontal="left" vertical="top"/>
    </xf>
    <xf numFmtId="0" fontId="22" fillId="0" borderId="7" xfId="0" applyFont="1" applyBorder="1" applyAlignment="1">
      <alignment horizontal="left" vertical="top"/>
    </xf>
    <xf numFmtId="0" fontId="22" fillId="0" borderId="0" xfId="0" quotePrefix="1" applyFont="1"/>
    <xf numFmtId="0" fontId="46" fillId="0" borderId="15" xfId="0" applyFont="1" applyBorder="1"/>
    <xf numFmtId="7" fontId="46" fillId="0" borderId="15" xfId="0" applyNumberFormat="1" applyFont="1" applyBorder="1"/>
    <xf numFmtId="5" fontId="52" fillId="0" borderId="0" xfId="0" applyNumberFormat="1" applyFont="1"/>
    <xf numFmtId="7" fontId="52" fillId="0" borderId="0" xfId="0" applyNumberFormat="1" applyFont="1"/>
    <xf numFmtId="37" fontId="52" fillId="0" borderId="0" xfId="0" applyNumberFormat="1" applyFont="1"/>
    <xf numFmtId="0" fontId="35" fillId="6" borderId="0" xfId="14" applyFont="1" applyFill="1"/>
    <xf numFmtId="5" fontId="35" fillId="6" borderId="0" xfId="14" applyNumberFormat="1" applyFont="1" applyFill="1"/>
    <xf numFmtId="1" fontId="35" fillId="6" borderId="0" xfId="14" applyNumberFormat="1" applyFont="1" applyFill="1"/>
    <xf numFmtId="2" fontId="25" fillId="0" borderId="22" xfId="3" applyNumberFormat="1" applyFont="1" applyBorder="1"/>
    <xf numFmtId="2" fontId="9" fillId="0" borderId="12" xfId="3" applyNumberFormat="1" applyFont="1" applyBorder="1"/>
    <xf numFmtId="2" fontId="7" fillId="0" borderId="13" xfId="3" applyNumberFormat="1" applyFont="1" applyBorder="1"/>
    <xf numFmtId="2" fontId="25" fillId="0" borderId="13" xfId="3" applyNumberFormat="1" applyFont="1" applyBorder="1"/>
    <xf numFmtId="2" fontId="25" fillId="0" borderId="11" xfId="3" applyNumberFormat="1" applyFont="1" applyBorder="1"/>
    <xf numFmtId="2" fontId="9" fillId="0" borderId="10" xfId="3" applyNumberFormat="1" applyFont="1" applyBorder="1"/>
    <xf numFmtId="2" fontId="9" fillId="0" borderId="7" xfId="3" applyNumberFormat="1" applyFont="1" applyBorder="1"/>
    <xf numFmtId="2" fontId="25" fillId="0" borderId="7" xfId="3" applyNumberFormat="1" applyFont="1" applyBorder="1"/>
    <xf numFmtId="2" fontId="25" fillId="0" borderId="9" xfId="3" applyNumberFormat="1" applyFont="1" applyBorder="1"/>
    <xf numFmtId="168" fontId="7" fillId="0" borderId="18" xfId="5" applyNumberFormat="1" applyFont="1" applyFill="1" applyBorder="1"/>
    <xf numFmtId="168" fontId="7" fillId="0" borderId="0" xfId="5" applyNumberFormat="1" applyFont="1" applyFill="1"/>
    <xf numFmtId="0" fontId="11" fillId="0" borderId="21" xfId="3" applyFont="1" applyBorder="1" applyAlignment="1">
      <alignment horizontal="center" vertical="top" wrapText="1"/>
    </xf>
    <xf numFmtId="2" fontId="25" fillId="0" borderId="21" xfId="3" applyNumberFormat="1" applyFont="1" applyBorder="1"/>
    <xf numFmtId="0" fontId="7" fillId="0" borderId="0" xfId="12" applyFont="1"/>
    <xf numFmtId="2" fontId="25" fillId="8" borderId="0" xfId="12" applyNumberFormat="1" applyFont="1" applyFill="1"/>
    <xf numFmtId="0" fontId="51" fillId="2" borderId="0" xfId="0" applyFont="1" applyFill="1"/>
    <xf numFmtId="0" fontId="53" fillId="0" borderId="0" xfId="0" applyFont="1"/>
    <xf numFmtId="0" fontId="43" fillId="0" borderId="0" xfId="3" applyFont="1"/>
    <xf numFmtId="168" fontId="23" fillId="0" borderId="0" xfId="5" applyNumberFormat="1" applyFont="1"/>
    <xf numFmtId="0" fontId="43" fillId="0" borderId="0" xfId="3" applyFont="1" applyAlignment="1">
      <alignment horizontal="left"/>
    </xf>
    <xf numFmtId="168" fontId="23" fillId="0" borderId="0" xfId="5" applyNumberFormat="1" applyFont="1" applyAlignment="1">
      <alignment horizontal="right"/>
    </xf>
    <xf numFmtId="0" fontId="23" fillId="0" borderId="0" xfId="3" applyFont="1" applyAlignment="1">
      <alignment horizontal="left"/>
    </xf>
    <xf numFmtId="0" fontId="54" fillId="0" borderId="0" xfId="3" applyFont="1"/>
    <xf numFmtId="0" fontId="13" fillId="0" borderId="0" xfId="3" applyFont="1" applyAlignment="1">
      <alignment horizontal="left"/>
    </xf>
    <xf numFmtId="0" fontId="8" fillId="0" borderId="7" xfId="9" applyFont="1" applyBorder="1"/>
    <xf numFmtId="0" fontId="7" fillId="0" borderId="7" xfId="9" applyFont="1" applyBorder="1"/>
    <xf numFmtId="0" fontId="7" fillId="2" borderId="14" xfId="8" applyFont="1" applyFill="1" applyBorder="1"/>
    <xf numFmtId="9" fontId="55" fillId="0" borderId="0" xfId="2" applyFont="1"/>
    <xf numFmtId="10" fontId="56" fillId="0" borderId="0" xfId="7" applyNumberFormat="1" applyFont="1"/>
    <xf numFmtId="168" fontId="55" fillId="0" borderId="0" xfId="3" applyNumberFormat="1" applyFont="1"/>
    <xf numFmtId="1" fontId="23" fillId="0" borderId="0" xfId="3" applyNumberFormat="1" applyFont="1"/>
    <xf numFmtId="168" fontId="23" fillId="0" borderId="13" xfId="5" applyNumberFormat="1" applyFont="1" applyBorder="1"/>
    <xf numFmtId="168" fontId="11" fillId="0" borderId="0" xfId="5" applyNumberFormat="1" applyFont="1"/>
    <xf numFmtId="0" fontId="11" fillId="0" borderId="0" xfId="3" quotePrefix="1" applyFont="1" applyAlignment="1">
      <alignment horizontal="left" vertical="top"/>
    </xf>
    <xf numFmtId="3" fontId="7" fillId="2" borderId="0" xfId="3" applyNumberFormat="1" applyFont="1" applyFill="1"/>
    <xf numFmtId="0" fontId="23" fillId="2" borderId="0" xfId="12" applyFont="1" applyFill="1"/>
    <xf numFmtId="168" fontId="7" fillId="2" borderId="0" xfId="5" applyNumberFormat="1" applyFont="1" applyFill="1"/>
    <xf numFmtId="10" fontId="57" fillId="2" borderId="0" xfId="12" applyNumberFormat="1" applyFont="1" applyFill="1"/>
    <xf numFmtId="0" fontId="58" fillId="0" borderId="0" xfId="0" applyFont="1"/>
    <xf numFmtId="0" fontId="0" fillId="0" borderId="6" xfId="0" applyBorder="1"/>
    <xf numFmtId="0" fontId="0" fillId="0" borderId="33" xfId="0" applyBorder="1"/>
    <xf numFmtId="0" fontId="0" fillId="0" borderId="5" xfId="0" applyBorder="1"/>
    <xf numFmtId="0" fontId="0" fillId="0" borderId="4" xfId="0" applyBorder="1"/>
    <xf numFmtId="0" fontId="0" fillId="0" borderId="3" xfId="0" applyBorder="1"/>
    <xf numFmtId="0" fontId="0" fillId="0" borderId="2" xfId="0" applyBorder="1"/>
    <xf numFmtId="0" fontId="0" fillId="0" borderId="34" xfId="0" applyBorder="1"/>
    <xf numFmtId="0" fontId="0" fillId="0" borderId="1" xfId="0" applyBorder="1"/>
    <xf numFmtId="167" fontId="25" fillId="2" borderId="0" xfId="3" applyNumberFormat="1" applyFont="1" applyFill="1"/>
    <xf numFmtId="0" fontId="19" fillId="0" borderId="8" xfId="9" applyFont="1" applyBorder="1"/>
    <xf numFmtId="0" fontId="16" fillId="0" borderId="8" xfId="9" applyFont="1" applyBorder="1"/>
    <xf numFmtId="44" fontId="16" fillId="0" borderId="8" xfId="19" applyFont="1" applyBorder="1"/>
    <xf numFmtId="0" fontId="7" fillId="0" borderId="8" xfId="18" applyFont="1" applyBorder="1" applyAlignment="1">
      <alignment horizontal="center" vertical="top"/>
    </xf>
    <xf numFmtId="0" fontId="7" fillId="0" borderId="14" xfId="18" applyFont="1" applyBorder="1" applyAlignment="1">
      <alignment horizontal="center" vertical="top"/>
    </xf>
    <xf numFmtId="9" fontId="17" fillId="0" borderId="0" xfId="10" applyFont="1" applyFill="1" applyBorder="1" applyAlignment="1">
      <alignment horizontal="center"/>
    </xf>
    <xf numFmtId="0" fontId="16" fillId="0" borderId="8" xfId="8" applyFont="1" applyBorder="1"/>
    <xf numFmtId="0" fontId="17" fillId="0" borderId="0" xfId="8" applyFont="1" applyAlignment="1">
      <alignment horizontal="center"/>
    </xf>
    <xf numFmtId="44" fontId="16" fillId="0" borderId="8" xfId="19" applyFont="1" applyBorder="1" applyAlignment="1">
      <alignment horizontal="center" vertical="center"/>
    </xf>
    <xf numFmtId="9" fontId="23" fillId="0" borderId="8" xfId="2" applyFont="1" applyBorder="1" applyAlignment="1">
      <alignment horizontal="center"/>
    </xf>
    <xf numFmtId="175" fontId="7" fillId="0" borderId="8" xfId="15" applyNumberFormat="1" applyFont="1" applyBorder="1" applyAlignment="1">
      <alignment horizontal="right"/>
    </xf>
    <xf numFmtId="168" fontId="27" fillId="2" borderId="19" xfId="5" applyNumberFormat="1" applyFont="1" applyFill="1" applyBorder="1"/>
    <xf numFmtId="168" fontId="27" fillId="2" borderId="14" xfId="5" applyNumberFormat="1" applyFont="1" applyFill="1" applyBorder="1"/>
    <xf numFmtId="43" fontId="27" fillId="2" borderId="19" xfId="5" applyFont="1" applyFill="1" applyBorder="1"/>
    <xf numFmtId="43" fontId="27" fillId="2" borderId="14" xfId="5" applyFont="1" applyFill="1" applyBorder="1"/>
    <xf numFmtId="4" fontId="23" fillId="0" borderId="0" xfId="2" applyNumberFormat="1" applyFont="1" applyBorder="1"/>
    <xf numFmtId="0" fontId="16" fillId="2" borderId="8" xfId="8" applyFont="1" applyFill="1" applyBorder="1"/>
    <xf numFmtId="0" fontId="17" fillId="2" borderId="0" xfId="8" applyFont="1" applyFill="1"/>
    <xf numFmtId="0" fontId="14" fillId="2" borderId="0" xfId="7" applyFill="1"/>
    <xf numFmtId="0" fontId="24" fillId="0" borderId="0" xfId="8" applyFont="1" applyAlignment="1">
      <alignment horizontal="center" vertical="center"/>
    </xf>
    <xf numFmtId="0" fontId="24" fillId="0" borderId="7" xfId="8" applyFont="1" applyBorder="1" applyAlignment="1">
      <alignment horizontal="center" vertical="center"/>
    </xf>
    <xf numFmtId="175" fontId="7" fillId="2" borderId="0" xfId="15" applyNumberFormat="1" applyFont="1" applyFill="1" applyAlignment="1">
      <alignment horizontal="right"/>
    </xf>
    <xf numFmtId="176" fontId="22" fillId="0" borderId="0" xfId="7" applyNumberFormat="1" applyFont="1"/>
    <xf numFmtId="0" fontId="23" fillId="0" borderId="0" xfId="12" applyFont="1" applyAlignment="1">
      <alignment horizontal="right"/>
    </xf>
    <xf numFmtId="10" fontId="25" fillId="0" borderId="10" xfId="3" applyNumberFormat="1" applyFont="1" applyBorder="1"/>
    <xf numFmtId="179" fontId="25" fillId="0" borderId="18" xfId="3" applyNumberFormat="1" applyFont="1" applyBorder="1"/>
    <xf numFmtId="179" fontId="25" fillId="0" borderId="0" xfId="3" applyNumberFormat="1" applyFont="1"/>
    <xf numFmtId="0" fontId="30" fillId="0" borderId="0" xfId="12" applyFont="1"/>
    <xf numFmtId="9" fontId="7" fillId="0" borderId="8" xfId="8" applyNumberFormat="1" applyFont="1" applyBorder="1" applyAlignment="1">
      <alignment horizontal="center"/>
    </xf>
    <xf numFmtId="164" fontId="23" fillId="0" borderId="8" xfId="2" applyNumberFormat="1" applyFont="1" applyBorder="1" applyAlignment="1">
      <alignment horizontal="center"/>
    </xf>
    <xf numFmtId="9" fontId="7" fillId="2" borderId="8" xfId="8" applyNumberFormat="1" applyFont="1" applyFill="1" applyBorder="1" applyAlignment="1">
      <alignment horizontal="center"/>
    </xf>
    <xf numFmtId="9" fontId="23" fillId="2" borderId="8" xfId="2" applyFont="1" applyFill="1" applyBorder="1" applyAlignment="1">
      <alignment horizontal="center"/>
    </xf>
    <xf numFmtId="0" fontId="7" fillId="0" borderId="8" xfId="8" applyFont="1" applyBorder="1" applyAlignment="1">
      <alignment horizontal="center"/>
    </xf>
    <xf numFmtId="9" fontId="23" fillId="0" borderId="8" xfId="18" applyNumberFormat="1" applyFont="1" applyBorder="1" applyAlignment="1">
      <alignment horizontal="center"/>
    </xf>
    <xf numFmtId="164" fontId="23" fillId="0" borderId="8" xfId="18" applyNumberFormat="1" applyFont="1" applyBorder="1" applyAlignment="1">
      <alignment horizontal="center"/>
    </xf>
    <xf numFmtId="0" fontId="7" fillId="0" borderId="0" xfId="8" applyFont="1" applyAlignment="1">
      <alignment horizontal="center"/>
    </xf>
    <xf numFmtId="175" fontId="7" fillId="0" borderId="8" xfId="15" applyNumberFormat="1" applyFont="1" applyBorder="1" applyAlignment="1">
      <alignment horizontal="center"/>
    </xf>
    <xf numFmtId="0" fontId="23" fillId="0" borderId="8" xfId="7" applyFont="1" applyBorder="1" applyAlignment="1">
      <alignment horizontal="center"/>
    </xf>
    <xf numFmtId="164" fontId="7" fillId="0" borderId="8" xfId="2" applyNumberFormat="1" applyFont="1" applyBorder="1" applyAlignment="1">
      <alignment horizontal="center"/>
    </xf>
    <xf numFmtId="9" fontId="7" fillId="0" borderId="0" xfId="8" applyNumberFormat="1" applyFont="1" applyAlignment="1">
      <alignment horizontal="center"/>
    </xf>
    <xf numFmtId="0" fontId="29" fillId="0" borderId="0" xfId="12" applyFont="1"/>
    <xf numFmtId="5" fontId="36" fillId="9" borderId="0" xfId="14" applyNumberFormat="1" applyFont="1" applyFill="1"/>
    <xf numFmtId="175" fontId="7" fillId="2" borderId="8" xfId="15" applyNumberFormat="1" applyFont="1" applyFill="1" applyBorder="1" applyAlignment="1">
      <alignment horizontal="right"/>
    </xf>
    <xf numFmtId="3" fontId="31" fillId="0" borderId="0" xfId="3" applyNumberFormat="1" applyFont="1"/>
    <xf numFmtId="0" fontId="6" fillId="0" borderId="6" xfId="3" applyFont="1" applyBorder="1"/>
    <xf numFmtId="0" fontId="6" fillId="0" borderId="33" xfId="3" applyFont="1" applyBorder="1"/>
    <xf numFmtId="0" fontId="6" fillId="0" borderId="5" xfId="3" applyFont="1" applyBorder="1"/>
    <xf numFmtId="0" fontId="6" fillId="0" borderId="2" xfId="3" applyFont="1" applyBorder="1"/>
    <xf numFmtId="0" fontId="6" fillId="0" borderId="34" xfId="3" applyFont="1" applyBorder="1"/>
    <xf numFmtId="0" fontId="6" fillId="0" borderId="1" xfId="3" applyFont="1" applyBorder="1"/>
    <xf numFmtId="0" fontId="6" fillId="0" borderId="4" xfId="3" applyFont="1" applyBorder="1"/>
    <xf numFmtId="0" fontId="6" fillId="0" borderId="3" xfId="3" applyFont="1" applyBorder="1"/>
    <xf numFmtId="0" fontId="43" fillId="0" borderId="0" xfId="0" applyFont="1"/>
    <xf numFmtId="0" fontId="43" fillId="0" borderId="0" xfId="12" applyFont="1" applyAlignment="1">
      <alignment horizontal="center"/>
    </xf>
    <xf numFmtId="0" fontId="59" fillId="0" borderId="0" xfId="0" applyFont="1"/>
    <xf numFmtId="0" fontId="23" fillId="0" borderId="0" xfId="0" applyFont="1"/>
    <xf numFmtId="3" fontId="8" fillId="2" borderId="31" xfId="11" applyNumberFormat="1" applyFont="1" applyFill="1" applyBorder="1" applyAlignment="1" applyProtection="1">
      <alignment horizontal="right" vertical="center"/>
    </xf>
    <xf numFmtId="177" fontId="8" fillId="0" borderId="0" xfId="18" applyNumberFormat="1" applyFont="1" applyAlignment="1">
      <alignment horizontal="right" vertical="center"/>
    </xf>
    <xf numFmtId="178" fontId="7" fillId="0" borderId="14" xfId="18" applyNumberFormat="1" applyFont="1" applyBorder="1" applyAlignment="1">
      <alignment horizontal="right" vertical="center"/>
    </xf>
    <xf numFmtId="178" fontId="7" fillId="0" borderId="0" xfId="18" applyNumberFormat="1" applyFont="1" applyAlignment="1">
      <alignment horizontal="right" vertical="center"/>
    </xf>
    <xf numFmtId="0" fontId="8" fillId="0" borderId="0" xfId="18" applyFont="1" applyAlignment="1">
      <alignment horizontal="center" vertical="center"/>
    </xf>
    <xf numFmtId="0" fontId="7" fillId="0" borderId="14" xfId="18" applyFont="1" applyBorder="1" applyAlignment="1">
      <alignment horizontal="center" vertical="center"/>
    </xf>
    <xf numFmtId="0" fontId="7" fillId="0" borderId="0" xfId="18" applyFont="1" applyAlignment="1">
      <alignment horizontal="center" vertical="center"/>
    </xf>
    <xf numFmtId="0" fontId="8" fillId="0" borderId="13" xfId="18" applyFont="1" applyBorder="1" applyAlignment="1">
      <alignment horizontal="center" vertical="center"/>
    </xf>
    <xf numFmtId="0" fontId="7" fillId="0" borderId="13" xfId="18" applyFont="1" applyBorder="1" applyAlignment="1">
      <alignment horizontal="center" vertical="center"/>
    </xf>
    <xf numFmtId="0" fontId="8" fillId="0" borderId="7" xfId="18" applyFont="1" applyBorder="1" applyAlignment="1">
      <alignment horizontal="center" vertical="center"/>
    </xf>
    <xf numFmtId="3" fontId="8" fillId="2" borderId="8" xfId="11" applyNumberFormat="1" applyFont="1" applyFill="1" applyBorder="1" applyAlignment="1" applyProtection="1">
      <alignment horizontal="right" vertical="center"/>
    </xf>
    <xf numFmtId="178" fontId="7" fillId="0" borderId="8" xfId="18" applyNumberFormat="1" applyFont="1" applyBorder="1" applyAlignment="1">
      <alignment horizontal="right" vertical="center"/>
    </xf>
    <xf numFmtId="9" fontId="22" fillId="0" borderId="0" xfId="2" applyFont="1"/>
    <xf numFmtId="9" fontId="23" fillId="0" borderId="0" xfId="2" applyFont="1" applyBorder="1"/>
    <xf numFmtId="9" fontId="41" fillId="4" borderId="47" xfId="11" applyNumberFormat="1" applyFont="1" applyFill="1" applyBorder="1" applyAlignment="1" applyProtection="1">
      <alignment horizontal="right"/>
    </xf>
    <xf numFmtId="0" fontId="32" fillId="7" borderId="26" xfId="14" applyFont="1" applyFill="1" applyBorder="1" applyAlignment="1">
      <alignment horizontal="centerContinuous"/>
    </xf>
    <xf numFmtId="0" fontId="32" fillId="7" borderId="27" xfId="14" applyFont="1" applyFill="1" applyBorder="1" applyAlignment="1">
      <alignment horizontal="centerContinuous"/>
    </xf>
    <xf numFmtId="0" fontId="32" fillId="7" borderId="28" xfId="14" applyFont="1" applyFill="1" applyBorder="1" applyAlignment="1">
      <alignment horizontal="centerContinuous"/>
    </xf>
    <xf numFmtId="167" fontId="60" fillId="0" borderId="0" xfId="14" applyNumberFormat="1" applyFont="1"/>
    <xf numFmtId="0" fontId="17" fillId="0" borderId="0" xfId="14" quotePrefix="1"/>
    <xf numFmtId="0" fontId="61" fillId="0" borderId="0" xfId="14" applyFont="1"/>
    <xf numFmtId="180" fontId="0" fillId="0" borderId="6" xfId="0" applyNumberFormat="1" applyBorder="1"/>
    <xf numFmtId="180" fontId="0" fillId="0" borderId="33" xfId="0" applyNumberFormat="1" applyBorder="1"/>
    <xf numFmtId="180" fontId="0" fillId="0" borderId="5" xfId="0" applyNumberFormat="1" applyBorder="1"/>
    <xf numFmtId="180" fontId="0" fillId="0" borderId="4" xfId="0" applyNumberFormat="1" applyBorder="1"/>
    <xf numFmtId="180" fontId="0" fillId="0" borderId="0" xfId="0" applyNumberFormat="1"/>
    <xf numFmtId="180" fontId="0" fillId="0" borderId="3" xfId="0" applyNumberFormat="1" applyBorder="1"/>
    <xf numFmtId="180" fontId="0" fillId="0" borderId="2" xfId="0" applyNumberFormat="1" applyBorder="1"/>
    <xf numFmtId="180" fontId="0" fillId="0" borderId="34" xfId="0" applyNumberFormat="1" applyBorder="1"/>
    <xf numFmtId="180" fontId="0" fillId="0" borderId="1" xfId="0" applyNumberFormat="1" applyBorder="1"/>
    <xf numFmtId="2" fontId="63" fillId="0" borderId="6" xfId="0" applyNumberFormat="1" applyFont="1" applyBorder="1"/>
    <xf numFmtId="167" fontId="62" fillId="0" borderId="33" xfId="0" applyNumberFormat="1" applyFont="1" applyBorder="1" applyAlignment="1">
      <alignment horizontal="center" vertical="center"/>
    </xf>
    <xf numFmtId="167" fontId="62" fillId="0" borderId="5" xfId="0" applyNumberFormat="1" applyFont="1" applyBorder="1" applyAlignment="1">
      <alignment horizontal="center" vertical="center"/>
    </xf>
    <xf numFmtId="164" fontId="62" fillId="0" borderId="4" xfId="2" applyNumberFormat="1" applyFont="1" applyBorder="1" applyAlignment="1">
      <alignment horizontal="center" vertical="center"/>
    </xf>
    <xf numFmtId="164" fontId="62" fillId="0" borderId="2" xfId="2" applyNumberFormat="1" applyFont="1" applyBorder="1" applyAlignment="1">
      <alignment horizontal="center" vertical="center"/>
    </xf>
    <xf numFmtId="0" fontId="64" fillId="0" borderId="0" xfId="20"/>
    <xf numFmtId="0" fontId="22" fillId="2" borderId="0" xfId="0" applyFont="1" applyFill="1"/>
    <xf numFmtId="5" fontId="36" fillId="0" borderId="8" xfId="14" applyNumberFormat="1" applyFont="1" applyBorder="1"/>
    <xf numFmtId="5" fontId="36" fillId="2" borderId="8" xfId="14" applyNumberFormat="1" applyFont="1" applyFill="1" applyBorder="1"/>
    <xf numFmtId="0" fontId="6" fillId="0" borderId="0" xfId="3" applyFont="1" applyAlignment="1">
      <alignment horizontal="center"/>
    </xf>
    <xf numFmtId="0" fontId="24" fillId="0" borderId="31" xfId="8" applyFont="1" applyBorder="1" applyAlignment="1">
      <alignment horizontal="center" vertical="center"/>
    </xf>
    <xf numFmtId="0" fontId="33" fillId="0" borderId="29" xfId="14" applyFont="1" applyBorder="1" applyAlignment="1">
      <alignment horizontal="center"/>
    </xf>
    <xf numFmtId="0" fontId="33" fillId="0" borderId="31" xfId="14" applyFont="1" applyBorder="1" applyAlignment="1">
      <alignment horizontal="center"/>
    </xf>
    <xf numFmtId="0" fontId="33" fillId="0" borderId="30" xfId="14" applyFont="1" applyBorder="1" applyAlignment="1">
      <alignment horizontal="center"/>
    </xf>
    <xf numFmtId="0" fontId="32" fillId="0" borderId="0" xfId="14" applyFont="1" applyAlignment="1">
      <alignment horizontal="center" vertical="center" textRotation="180"/>
    </xf>
    <xf numFmtId="0" fontId="22" fillId="0" borderId="0" xfId="0" applyFont="1" applyAlignment="1">
      <alignment vertical="center" wrapText="1"/>
    </xf>
    <xf numFmtId="0" fontId="46" fillId="0" borderId="14" xfId="8" applyFont="1" applyBorder="1" applyAlignment="1">
      <alignment horizontal="center" vertical="center"/>
    </xf>
    <xf numFmtId="0" fontId="16" fillId="0" borderId="8" xfId="9" applyFont="1" applyBorder="1" applyAlignment="1">
      <alignment horizontal="center"/>
    </xf>
    <xf numFmtId="0" fontId="16" fillId="2" borderId="8" xfId="9" applyFont="1" applyFill="1" applyBorder="1" applyAlignment="1">
      <alignment horizontal="center"/>
    </xf>
    <xf numFmtId="0" fontId="16" fillId="0" borderId="49" xfId="9" applyFont="1" applyBorder="1" applyAlignment="1">
      <alignment horizontal="center"/>
    </xf>
    <xf numFmtId="0" fontId="16" fillId="0" borderId="14" xfId="9" applyFont="1" applyBorder="1" applyAlignment="1">
      <alignment horizontal="center"/>
    </xf>
    <xf numFmtId="0" fontId="16" fillId="0" borderId="50" xfId="9" applyFont="1" applyBorder="1" applyAlignment="1">
      <alignment horizontal="center"/>
    </xf>
    <xf numFmtId="44" fontId="16" fillId="0" borderId="49" xfId="19" applyFont="1" applyBorder="1" applyAlignment="1">
      <alignment horizontal="center"/>
    </xf>
    <xf numFmtId="44" fontId="16" fillId="0" borderId="14" xfId="19" applyFont="1" applyBorder="1" applyAlignment="1">
      <alignment horizontal="center"/>
    </xf>
    <xf numFmtId="44" fontId="16" fillId="0" borderId="50" xfId="19" applyFont="1" applyBorder="1" applyAlignment="1">
      <alignment horizontal="center"/>
    </xf>
    <xf numFmtId="0" fontId="17" fillId="0" borderId="8" xfId="8" applyFont="1" applyBorder="1" applyAlignment="1">
      <alignment horizontal="left" vertical="top" wrapText="1"/>
    </xf>
    <xf numFmtId="0" fontId="20" fillId="0" borderId="8" xfId="8" applyFont="1" applyBorder="1" applyAlignment="1">
      <alignment horizontal="center" vertical="center"/>
    </xf>
    <xf numFmtId="0" fontId="32" fillId="7" borderId="26" xfId="14" applyFont="1" applyFill="1" applyBorder="1" applyAlignment="1">
      <alignment horizontal="center"/>
    </xf>
    <xf numFmtId="0" fontId="32" fillId="7" borderId="27" xfId="14" applyFont="1" applyFill="1" applyBorder="1" applyAlignment="1">
      <alignment horizontal="center"/>
    </xf>
    <xf numFmtId="0" fontId="32" fillId="7" borderId="28" xfId="14" applyFont="1" applyFill="1" applyBorder="1" applyAlignment="1">
      <alignment horizontal="center"/>
    </xf>
    <xf numFmtId="167" fontId="51" fillId="2" borderId="0" xfId="3" applyNumberFormat="1" applyFont="1" applyFill="1"/>
  </cellXfs>
  <cellStyles count="21">
    <cellStyle name="_x000a_386grabber=M" xfId="11" xr:uid="{BE38980B-1DE2-2244-B0DF-9FB50E149460}"/>
    <cellStyle name="Comma" xfId="1" builtinId="3"/>
    <cellStyle name="Comma 2" xfId="5" xr:uid="{9D32400A-E673-A943-B7D4-C812E22E41E5}"/>
    <cellStyle name="Currency" xfId="19" builtinId="4"/>
    <cellStyle name="Currency 2" xfId="6" xr:uid="{5E14A15A-EE1C-0A48-A2C1-AC180354E77D}"/>
    <cellStyle name="defaultsheetstyle" xfId="15" xr:uid="{DE568F2A-A18C-4D79-8C21-D4D8B06AB156}"/>
    <cellStyle name="Hyperlink" xfId="20" builtinId="8"/>
    <cellStyle name="Normal" xfId="0" builtinId="0"/>
    <cellStyle name="Normal 2" xfId="3" xr:uid="{6612AA33-BD2B-3E4B-8C10-FE329F6C67F5}"/>
    <cellStyle name="Normal 2 10 3" xfId="17" xr:uid="{E4C95DAE-89A3-4580-97A6-75448BBA2446}"/>
    <cellStyle name="Normal 2 2" xfId="7" xr:uid="{87E30940-1F71-EA40-9EA1-2180C448981C}"/>
    <cellStyle name="Normal 2 2 2" xfId="18" xr:uid="{ECA868C4-5A50-4B21-AEC0-1C0C9E8C091B}"/>
    <cellStyle name="Normal 3" xfId="12" xr:uid="{0650FB34-D0D0-4EDD-A70A-C0B0ADEE794A}"/>
    <cellStyle name="Normal 4" xfId="14" xr:uid="{50676CE8-9563-5E40-BF46-AE4049761F1A}"/>
    <cellStyle name="Normal 4 2" xfId="16" xr:uid="{4C83CD8A-6206-431D-B688-30F385E4284E}"/>
    <cellStyle name="Normal_Ch02 Pics v1.0" xfId="8" xr:uid="{31462E4C-3E34-A54D-A5F5-F1CCB4783935}"/>
    <cellStyle name="Normal_Ch03 Pics v1.0" xfId="9" xr:uid="{A6A06915-DF44-C44D-A8C8-A30FEF22B2A3}"/>
    <cellStyle name="Percent" xfId="2" builtinId="5"/>
    <cellStyle name="Percent 2" xfId="4" xr:uid="{7F59F9FE-8333-0543-A848-AA620F42CD46}"/>
    <cellStyle name="Percent 2 2" xfId="10" xr:uid="{9581F84C-BF68-614C-AAB5-DD1CF2B79896}"/>
    <cellStyle name="Percent 3" xfId="13" xr:uid="{13F60E66-BFC9-4B33-899B-F52000FD71D8}"/>
  </cellStyles>
  <dxfs count="3">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0000FF"/>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cat>
            <c:strRef>
              <c:f>'Updated Valuation Spread'!$H$12:$H$15</c:f>
              <c:strCache>
                <c:ptCount val="4"/>
                <c:pt idx="0">
                  <c:v>52-Week Low/High</c:v>
                </c:pt>
                <c:pt idx="1">
                  <c:v>2024 EBITDA DCF (9.3x - 15.4x)</c:v>
                </c:pt>
                <c:pt idx="2">
                  <c:v>2024 P/E Comps (12.0x - 20.0x)</c:v>
                </c:pt>
                <c:pt idx="3">
                  <c:v>2024 EV / EBITDA Comps (9.3x -15.4x)</c:v>
                </c:pt>
              </c:strCache>
            </c:strRef>
          </c:cat>
          <c:val>
            <c:numRef>
              <c:f>'Updated Valuation Spread'!$I$12:$I$15</c:f>
              <c:numCache>
                <c:formatCode>General</c:formatCode>
                <c:ptCount val="4"/>
              </c:numCache>
            </c:numRef>
          </c:val>
          <c:extLst xmlns:c15="http://schemas.microsoft.com/office/drawing/2012/chart">
            <c:ext xmlns:c16="http://schemas.microsoft.com/office/drawing/2014/chart" uri="{C3380CC4-5D6E-409C-BE32-E72D297353CC}">
              <c16:uniqueId val="{0000000B-1234-D647-A0E2-DEC8A324462E}"/>
            </c:ext>
          </c:extLst>
        </c:ser>
        <c:ser>
          <c:idx val="1"/>
          <c:order val="1"/>
          <c:spPr>
            <a:no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'Updated Valuation Spread'!$H$12:$H$15</c:f>
              <c:strCache>
                <c:ptCount val="4"/>
                <c:pt idx="0">
                  <c:v>52-Week Low/High</c:v>
                </c:pt>
                <c:pt idx="1">
                  <c:v>2024 EBITDA DCF (9.3x - 15.4x)</c:v>
                </c:pt>
                <c:pt idx="2">
                  <c:v>2024 P/E Comps (12.0x - 20.0x)</c:v>
                </c:pt>
                <c:pt idx="3">
                  <c:v>2024 EV / EBITDA Comps (9.3x -15.4x)</c:v>
                </c:pt>
              </c:strCache>
            </c:strRef>
          </c:cat>
          <c:val>
            <c:numRef>
              <c:f>'Updated Valuation Spread'!$J$12:$J$15</c:f>
              <c:numCache>
                <c:formatCode>"$"#,##0_);\("$"#,##0\)</c:formatCode>
                <c:ptCount val="4"/>
                <c:pt idx="0">
                  <c:v>176</c:v>
                </c:pt>
                <c:pt idx="1">
                  <c:v>153.25</c:v>
                </c:pt>
                <c:pt idx="2">
                  <c:v>146.18410333992782</c:v>
                </c:pt>
                <c:pt idx="3">
                  <c:v>199.41148609333177</c:v>
                </c:pt>
              </c:numCache>
            </c:numRef>
          </c:val>
          <c:extLst>
            <c:ext xmlns:c16="http://schemas.microsoft.com/office/drawing/2014/chart" uri="{C3380CC4-5D6E-409C-BE32-E72D297353CC}">
              <c16:uniqueId val="{00000000-1234-D647-A0E2-DEC8A324462E}"/>
            </c:ext>
          </c:extLst>
        </c:ser>
        <c:ser>
          <c:idx val="2"/>
          <c:order val="2"/>
          <c:spPr>
            <a:solidFill>
              <a:schemeClr val="tx2"/>
            </a:solidFill>
            <a:ln>
              <a:noFill/>
            </a:ln>
            <a:effectLst/>
          </c:spPr>
          <c:invertIfNegative val="0"/>
          <c:dPt>
            <c:idx val="0"/>
            <c:invertIfNegative val="0"/>
            <c:bubble3D val="0"/>
            <c:spPr>
              <a:solidFill>
                <a:schemeClr val="tx2"/>
              </a:solidFill>
              <a:ln>
                <a:noFill/>
              </a:ln>
              <a:effectLst/>
            </c:spPr>
            <c:extLst>
              <c:ext xmlns:c16="http://schemas.microsoft.com/office/drawing/2014/chart" uri="{C3380CC4-5D6E-409C-BE32-E72D297353CC}">
                <c16:uniqueId val="{00000002-1234-D647-A0E2-DEC8A324462E}"/>
              </c:ext>
            </c:extLst>
          </c:dPt>
          <c:dPt>
            <c:idx val="1"/>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4-1234-D647-A0E2-DEC8A324462E}"/>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6-1234-D647-A0E2-DEC8A324462E}"/>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8-1234-D647-A0E2-DEC8A324462E}"/>
              </c:ext>
            </c:extLst>
          </c:dPt>
          <c:cat>
            <c:strRef>
              <c:f>'Updated Valuation Spread'!$H$12:$H$15</c:f>
              <c:strCache>
                <c:ptCount val="4"/>
                <c:pt idx="0">
                  <c:v>52-Week Low/High</c:v>
                </c:pt>
                <c:pt idx="1">
                  <c:v>2024 EBITDA DCF (9.3x - 15.4x)</c:v>
                </c:pt>
                <c:pt idx="2">
                  <c:v>2024 P/E Comps (12.0x - 20.0x)</c:v>
                </c:pt>
                <c:pt idx="3">
                  <c:v>2024 EV / EBITDA Comps (9.3x -15.4x)</c:v>
                </c:pt>
              </c:strCache>
            </c:strRef>
          </c:cat>
          <c:val>
            <c:numRef>
              <c:f>'Updated Valuation Spread'!$K$12:$K$15</c:f>
              <c:numCache>
                <c:formatCode>0</c:formatCode>
                <c:ptCount val="4"/>
                <c:pt idx="0">
                  <c:v>79</c:v>
                </c:pt>
                <c:pt idx="1">
                  <c:v>118.72000000000003</c:v>
                </c:pt>
                <c:pt idx="2">
                  <c:v>97.456068893285192</c:v>
                </c:pt>
                <c:pt idx="3">
                  <c:v>128.36975445129755</c:v>
                </c:pt>
              </c:numCache>
            </c:numRef>
          </c:val>
          <c:extLst>
            <c:ext xmlns:c16="http://schemas.microsoft.com/office/drawing/2014/chart" uri="{C3380CC4-5D6E-409C-BE32-E72D297353CC}">
              <c16:uniqueId val="{00000009-1234-D647-A0E2-DEC8A324462E}"/>
            </c:ext>
          </c:extLst>
        </c:ser>
        <c:ser>
          <c:idx val="3"/>
          <c:order val="3"/>
          <c:spPr>
            <a:no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'Updated Valuation Spread'!$H$12:$H$15</c:f>
              <c:strCache>
                <c:ptCount val="4"/>
                <c:pt idx="0">
                  <c:v>52-Week Low/High</c:v>
                </c:pt>
                <c:pt idx="1">
                  <c:v>2024 EBITDA DCF (9.3x - 15.4x)</c:v>
                </c:pt>
                <c:pt idx="2">
                  <c:v>2024 P/E Comps (12.0x - 20.0x)</c:v>
                </c:pt>
                <c:pt idx="3">
                  <c:v>2024 EV / EBITDA Comps (9.3x -15.4x)</c:v>
                </c:pt>
              </c:strCache>
            </c:strRef>
          </c:cat>
          <c:val>
            <c:numRef>
              <c:f>'Updated Valuation Spread'!$L$12:$L$15</c:f>
              <c:numCache>
                <c:formatCode>"$"#,##0_);\("$"#,##0\)</c:formatCode>
                <c:ptCount val="4"/>
                <c:pt idx="0">
                  <c:v>255</c:v>
                </c:pt>
                <c:pt idx="1">
                  <c:v>271.97000000000003</c:v>
                </c:pt>
                <c:pt idx="2">
                  <c:v>243.64017223321301</c:v>
                </c:pt>
                <c:pt idx="3">
                  <c:v>327.78124054462933</c:v>
                </c:pt>
              </c:numCache>
            </c:numRef>
          </c:val>
          <c:extLst>
            <c:ext xmlns:c16="http://schemas.microsoft.com/office/drawing/2014/chart" uri="{C3380CC4-5D6E-409C-BE32-E72D297353CC}">
              <c16:uniqueId val="{0000000A-1234-D647-A0E2-DEC8A324462E}"/>
            </c:ext>
          </c:extLst>
        </c:ser>
        <c:dLbls>
          <c:showLegendKey val="0"/>
          <c:showVal val="0"/>
          <c:showCatName val="0"/>
          <c:showSerName val="0"/>
          <c:showPercent val="0"/>
          <c:showBubbleSize val="0"/>
        </c:dLbls>
        <c:gapWidth val="150"/>
        <c:overlap val="100"/>
        <c:axId val="343563215"/>
        <c:axId val="343911695"/>
        <c:extLst/>
      </c:barChart>
      <c:catAx>
        <c:axId val="34356321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343911695"/>
        <c:crosses val="autoZero"/>
        <c:auto val="1"/>
        <c:lblAlgn val="ctr"/>
        <c:lblOffset val="100"/>
        <c:noMultiLvlLbl val="0"/>
      </c:catAx>
      <c:valAx>
        <c:axId val="343911695"/>
        <c:scaling>
          <c:orientation val="minMax"/>
          <c:max val="230"/>
          <c:min val="90"/>
        </c:scaling>
        <c:delete val="0"/>
        <c:axPos val="t"/>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3435632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1"/>
          <c:order val="1"/>
          <c:spPr>
            <a:no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'Valuation Spread'!$H$12:$H$15</c:f>
              <c:strCache>
                <c:ptCount val="4"/>
                <c:pt idx="0">
                  <c:v>52-Week Low/High</c:v>
                </c:pt>
                <c:pt idx="1">
                  <c:v>2024 EBITDA DCF (9.3x - 15.4x)</c:v>
                </c:pt>
                <c:pt idx="2">
                  <c:v>2024 P/E Comps (12.0x - 20.1x)</c:v>
                </c:pt>
                <c:pt idx="3">
                  <c:v>2024 EV / EBITDA Comps (9.3x - 15.4x)</c:v>
                </c:pt>
              </c:strCache>
            </c:strRef>
          </c:cat>
          <c:val>
            <c:numRef>
              <c:f>'Valuation Spread'!$J$12:$J$15</c:f>
              <c:numCache>
                <c:formatCode>"$"#,##0_);\("$"#,##0\)</c:formatCode>
                <c:ptCount val="4"/>
                <c:pt idx="0">
                  <c:v>176.23</c:v>
                </c:pt>
                <c:pt idx="1">
                  <c:v>160</c:v>
                </c:pt>
                <c:pt idx="2">
                  <c:v>146</c:v>
                </c:pt>
                <c:pt idx="3">
                  <c:v>164.62252080302576</c:v>
                </c:pt>
              </c:numCache>
            </c:numRef>
          </c:val>
          <c:extLst>
            <c:ext xmlns:c16="http://schemas.microsoft.com/office/drawing/2014/chart" uri="{C3380CC4-5D6E-409C-BE32-E72D297353CC}">
              <c16:uniqueId val="{00000000-E4A2-B744-9A95-C06CDDA3820F}"/>
            </c:ext>
          </c:extLst>
        </c:ser>
        <c:ser>
          <c:idx val="2"/>
          <c:order val="2"/>
          <c:spPr>
            <a:solidFill>
              <a:schemeClr val="tx2"/>
            </a:solidFill>
            <a:ln>
              <a:noFill/>
            </a:ln>
            <a:effectLst/>
          </c:spPr>
          <c:invertIfNegative val="0"/>
          <c:dPt>
            <c:idx val="0"/>
            <c:invertIfNegative val="0"/>
            <c:bubble3D val="0"/>
            <c:spPr>
              <a:solidFill>
                <a:schemeClr val="tx2"/>
              </a:solidFill>
              <a:ln>
                <a:noFill/>
              </a:ln>
              <a:effectLst/>
            </c:spPr>
            <c:extLst>
              <c:ext xmlns:c16="http://schemas.microsoft.com/office/drawing/2014/chart" uri="{C3380CC4-5D6E-409C-BE32-E72D297353CC}">
                <c16:uniqueId val="{00000002-E4A2-B744-9A95-C06CDDA3820F}"/>
              </c:ext>
            </c:extLst>
          </c:dPt>
          <c:dPt>
            <c:idx val="1"/>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4-E4A2-B744-9A95-C06CDDA3820F}"/>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6-E4A2-B744-9A95-C06CDDA3820F}"/>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7-7254-3A47-9D00-4AF67E7799E4}"/>
              </c:ext>
            </c:extLst>
          </c:dPt>
          <c:cat>
            <c:strRef>
              <c:f>'Valuation Spread'!$H$12:$H$15</c:f>
              <c:strCache>
                <c:ptCount val="4"/>
                <c:pt idx="0">
                  <c:v>52-Week Low/High</c:v>
                </c:pt>
                <c:pt idx="1">
                  <c:v>2024 EBITDA DCF (9.3x - 15.4x)</c:v>
                </c:pt>
                <c:pt idx="2">
                  <c:v>2024 P/E Comps (12.0x - 20.1x)</c:v>
                </c:pt>
                <c:pt idx="3">
                  <c:v>2024 EV / EBITDA Comps (9.3x - 15.4x)</c:v>
                </c:pt>
              </c:strCache>
            </c:strRef>
          </c:cat>
          <c:val>
            <c:numRef>
              <c:f>'Valuation Spread'!$K$12:$K$15</c:f>
              <c:numCache>
                <c:formatCode>0</c:formatCode>
                <c:ptCount val="4"/>
                <c:pt idx="0">
                  <c:v>78.360000000000014</c:v>
                </c:pt>
                <c:pt idx="1">
                  <c:v>100</c:v>
                </c:pt>
                <c:pt idx="2">
                  <c:v>98</c:v>
                </c:pt>
                <c:pt idx="3">
                  <c:v>125.53022636019776</c:v>
                </c:pt>
              </c:numCache>
            </c:numRef>
          </c:val>
          <c:extLst>
            <c:ext xmlns:c16="http://schemas.microsoft.com/office/drawing/2014/chart" uri="{C3380CC4-5D6E-409C-BE32-E72D297353CC}">
              <c16:uniqueId val="{0000000F-E4A2-B744-9A95-C06CDDA3820F}"/>
            </c:ext>
          </c:extLst>
        </c:ser>
        <c:ser>
          <c:idx val="3"/>
          <c:order val="3"/>
          <c:spPr>
            <a:no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'Valuation Spread'!$H$12:$H$15</c:f>
              <c:strCache>
                <c:ptCount val="4"/>
                <c:pt idx="0">
                  <c:v>52-Week Low/High</c:v>
                </c:pt>
                <c:pt idx="1">
                  <c:v>2024 EBITDA DCF (9.3x - 15.4x)</c:v>
                </c:pt>
                <c:pt idx="2">
                  <c:v>2024 P/E Comps (12.0x - 20.1x)</c:v>
                </c:pt>
                <c:pt idx="3">
                  <c:v>2024 EV / EBITDA Comps (9.3x - 15.4x)</c:v>
                </c:pt>
              </c:strCache>
            </c:strRef>
          </c:cat>
          <c:val>
            <c:numRef>
              <c:f>'Valuation Spread'!$L$12:$L$15</c:f>
              <c:numCache>
                <c:formatCode>"$"#,##0_);\("$"#,##0\)</c:formatCode>
                <c:ptCount val="4"/>
                <c:pt idx="0">
                  <c:v>254.59</c:v>
                </c:pt>
                <c:pt idx="1">
                  <c:v>260</c:v>
                </c:pt>
                <c:pt idx="2">
                  <c:v>244</c:v>
                </c:pt>
                <c:pt idx="3">
                  <c:v>290.15274716322352</c:v>
                </c:pt>
              </c:numCache>
            </c:numRef>
          </c:val>
          <c:extLst>
            <c:ext xmlns:c16="http://schemas.microsoft.com/office/drawing/2014/chart" uri="{C3380CC4-5D6E-409C-BE32-E72D297353CC}">
              <c16:uniqueId val="{00000010-E4A2-B744-9A95-C06CDDA3820F}"/>
            </c:ext>
          </c:extLst>
        </c:ser>
        <c:dLbls>
          <c:showLegendKey val="0"/>
          <c:showVal val="0"/>
          <c:showCatName val="0"/>
          <c:showSerName val="0"/>
          <c:showPercent val="0"/>
          <c:showBubbleSize val="0"/>
        </c:dLbls>
        <c:gapWidth val="150"/>
        <c:overlap val="100"/>
        <c:axId val="343563215"/>
        <c:axId val="343911695"/>
        <c:extLst>
          <c:ext xmlns:c15="http://schemas.microsoft.com/office/drawing/2012/chart" uri="{02D57815-91ED-43cb-92C2-25804820EDAC}">
            <c15:filteredBarSeries>
              <c15:ser>
                <c:idx val="0"/>
                <c:order val="0"/>
                <c:spPr>
                  <a:solidFill>
                    <a:schemeClr val="accent1"/>
                  </a:solidFill>
                  <a:ln>
                    <a:noFill/>
                  </a:ln>
                  <a:effectLst/>
                </c:spPr>
                <c:invertIfNegative val="0"/>
                <c:cat>
                  <c:strRef>
                    <c:extLst>
                      <c:ext uri="{02D57815-91ED-43cb-92C2-25804820EDAC}">
                        <c15:formulaRef>
                          <c15:sqref>'Valuation Spread'!$H$12:$H$15</c15:sqref>
                        </c15:formulaRef>
                      </c:ext>
                    </c:extLst>
                    <c:strCache>
                      <c:ptCount val="4"/>
                      <c:pt idx="0">
                        <c:v>52-Week Low/High</c:v>
                      </c:pt>
                      <c:pt idx="1">
                        <c:v>2024 EBITDA DCF (9.3x - 15.4x)</c:v>
                      </c:pt>
                      <c:pt idx="2">
                        <c:v>2024 P/E Comps (12.0x - 20.1x)</c:v>
                      </c:pt>
                      <c:pt idx="3">
                        <c:v>2024 EV / EBITDA Comps (9.3x - 15.4x)</c:v>
                      </c:pt>
                    </c:strCache>
                  </c:strRef>
                </c:cat>
                <c:val>
                  <c:numRef>
                    <c:extLst>
                      <c:ext uri="{02D57815-91ED-43cb-92C2-25804820EDAC}">
                        <c15:formulaRef>
                          <c15:sqref>'Valuation Spread'!$I$12:$I$15</c15:sqref>
                        </c15:formulaRef>
                      </c:ext>
                    </c:extLst>
                    <c:numCache>
                      <c:formatCode>General</c:formatCode>
                      <c:ptCount val="4"/>
                    </c:numCache>
                  </c:numRef>
                </c:val>
                <c:extLst>
                  <c:ext xmlns:c16="http://schemas.microsoft.com/office/drawing/2014/chart" uri="{C3380CC4-5D6E-409C-BE32-E72D297353CC}">
                    <c16:uniqueId val="{00000011-E4A2-B744-9A95-C06CDDA3820F}"/>
                  </c:ext>
                </c:extLst>
              </c15:ser>
            </c15:filteredBarSeries>
          </c:ext>
        </c:extLst>
      </c:barChart>
      <c:catAx>
        <c:axId val="34356321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343911695"/>
        <c:crosses val="autoZero"/>
        <c:auto val="1"/>
        <c:lblAlgn val="ctr"/>
        <c:lblOffset val="100"/>
        <c:noMultiLvlLbl val="0"/>
      </c:catAx>
      <c:valAx>
        <c:axId val="343911695"/>
        <c:scaling>
          <c:orientation val="minMax"/>
          <c:max val="200"/>
          <c:min val="90"/>
        </c:scaling>
        <c:delete val="0"/>
        <c:axPos val="t"/>
        <c:majorGridlines>
          <c:spPr>
            <a:ln w="9525" cap="flat" cmpd="sng" algn="ctr">
              <a:solidFill>
                <a:schemeClr val="tx1">
                  <a:lumMod val="15000"/>
                  <a:lumOff val="85000"/>
                </a:schemeClr>
              </a:solidFill>
              <a:round/>
            </a:ln>
            <a:effectLst/>
          </c:spPr>
        </c:majorGridlines>
        <c:numFmt formatCode="&quot;$&quot;#,##0_);\(&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3435632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191945</xdr:colOff>
      <xdr:row>24</xdr:row>
      <xdr:rowOff>165100</xdr:rowOff>
    </xdr:from>
    <xdr:to>
      <xdr:col>13</xdr:col>
      <xdr:colOff>495300</xdr:colOff>
      <xdr:row>40</xdr:row>
      <xdr:rowOff>76200</xdr:rowOff>
    </xdr:to>
    <xdr:pic>
      <xdr:nvPicPr>
        <xdr:cNvPr id="2" name="Picture 1">
          <a:extLst>
            <a:ext uri="{FF2B5EF4-FFF2-40B4-BE49-F238E27FC236}">
              <a16:creationId xmlns:a16="http://schemas.microsoft.com/office/drawing/2014/main" id="{053F7B75-C369-34F5-2EBA-5FCC37BD55CE}"/>
            </a:ext>
          </a:extLst>
        </xdr:cNvPr>
        <xdr:cNvPicPr>
          <a:picLocks noChangeAspect="1"/>
        </xdr:cNvPicPr>
      </xdr:nvPicPr>
      <xdr:blipFill>
        <a:blip xmlns:r="http://schemas.openxmlformats.org/officeDocument/2006/relationships" r:embed="rId1"/>
        <a:stretch>
          <a:fillRect/>
        </a:stretch>
      </xdr:blipFill>
      <xdr:spPr>
        <a:xfrm>
          <a:off x="191945" y="4584700"/>
          <a:ext cx="8647255" cy="2755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12</xdr:col>
      <xdr:colOff>381000</xdr:colOff>
      <xdr:row>21</xdr:row>
      <xdr:rowOff>76200</xdr:rowOff>
    </xdr:to>
    <xdr:pic>
      <xdr:nvPicPr>
        <xdr:cNvPr id="2" name="Picture 1">
          <a:extLst>
            <a:ext uri="{FF2B5EF4-FFF2-40B4-BE49-F238E27FC236}">
              <a16:creationId xmlns:a16="http://schemas.microsoft.com/office/drawing/2014/main" id="{03CD6783-6802-DCE8-041D-AE4E3810F26F}"/>
            </a:ext>
          </a:extLst>
        </xdr:cNvPr>
        <xdr:cNvPicPr>
          <a:picLocks noChangeAspect="1"/>
        </xdr:cNvPicPr>
      </xdr:nvPicPr>
      <xdr:blipFill>
        <a:blip xmlns:r="http://schemas.openxmlformats.org/officeDocument/2006/relationships" r:embed="rId1"/>
        <a:stretch>
          <a:fillRect/>
        </a:stretch>
      </xdr:blipFill>
      <xdr:spPr>
        <a:xfrm>
          <a:off x="0" y="469900"/>
          <a:ext cx="7239000" cy="3454400"/>
        </a:xfrm>
        <a:prstGeom prst="rect">
          <a:avLst/>
        </a:prstGeom>
      </xdr:spPr>
    </xdr:pic>
    <xdr:clientData/>
  </xdr:twoCellAnchor>
  <xdr:twoCellAnchor editAs="oneCell">
    <xdr:from>
      <xdr:col>14</xdr:col>
      <xdr:colOff>0</xdr:colOff>
      <xdr:row>2</xdr:row>
      <xdr:rowOff>0</xdr:rowOff>
    </xdr:from>
    <xdr:to>
      <xdr:col>26</xdr:col>
      <xdr:colOff>508000</xdr:colOff>
      <xdr:row>13</xdr:row>
      <xdr:rowOff>25400</xdr:rowOff>
    </xdr:to>
    <xdr:pic>
      <xdr:nvPicPr>
        <xdr:cNvPr id="3" name="Picture 2">
          <a:extLst>
            <a:ext uri="{FF2B5EF4-FFF2-40B4-BE49-F238E27FC236}">
              <a16:creationId xmlns:a16="http://schemas.microsoft.com/office/drawing/2014/main" id="{2FE8DA32-C9B9-25A1-C165-4DD55C04D716}"/>
            </a:ext>
          </a:extLst>
        </xdr:cNvPr>
        <xdr:cNvPicPr>
          <a:picLocks noChangeAspect="1"/>
        </xdr:cNvPicPr>
      </xdr:nvPicPr>
      <xdr:blipFill>
        <a:blip xmlns:r="http://schemas.openxmlformats.org/officeDocument/2006/relationships" r:embed="rId2"/>
        <a:stretch>
          <a:fillRect/>
        </a:stretch>
      </xdr:blipFill>
      <xdr:spPr>
        <a:xfrm>
          <a:off x="8001000" y="469900"/>
          <a:ext cx="7366000" cy="1981200"/>
        </a:xfrm>
        <a:prstGeom prst="rect">
          <a:avLst/>
        </a:prstGeom>
      </xdr:spPr>
    </xdr:pic>
    <xdr:clientData/>
  </xdr:twoCellAnchor>
  <xdr:twoCellAnchor editAs="oneCell">
    <xdr:from>
      <xdr:col>14</xdr:col>
      <xdr:colOff>0</xdr:colOff>
      <xdr:row>15</xdr:row>
      <xdr:rowOff>0</xdr:rowOff>
    </xdr:from>
    <xdr:to>
      <xdr:col>27</xdr:col>
      <xdr:colOff>76200</xdr:colOff>
      <xdr:row>26</xdr:row>
      <xdr:rowOff>165100</xdr:rowOff>
    </xdr:to>
    <xdr:pic>
      <xdr:nvPicPr>
        <xdr:cNvPr id="4" name="Picture 3">
          <a:extLst>
            <a:ext uri="{FF2B5EF4-FFF2-40B4-BE49-F238E27FC236}">
              <a16:creationId xmlns:a16="http://schemas.microsoft.com/office/drawing/2014/main" id="{291083F1-4967-A235-148F-585FC0F521BC}"/>
            </a:ext>
          </a:extLst>
        </xdr:cNvPr>
        <xdr:cNvPicPr>
          <a:picLocks noChangeAspect="1"/>
        </xdr:cNvPicPr>
      </xdr:nvPicPr>
      <xdr:blipFill>
        <a:blip xmlns:r="http://schemas.openxmlformats.org/officeDocument/2006/relationships" r:embed="rId3"/>
        <a:stretch>
          <a:fillRect/>
        </a:stretch>
      </xdr:blipFill>
      <xdr:spPr>
        <a:xfrm>
          <a:off x="8001000" y="2781300"/>
          <a:ext cx="7505700" cy="2120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33</xdr:row>
      <xdr:rowOff>177799</xdr:rowOff>
    </xdr:from>
    <xdr:to>
      <xdr:col>17</xdr:col>
      <xdr:colOff>279400</xdr:colOff>
      <xdr:row>45</xdr:row>
      <xdr:rowOff>164616</xdr:rowOff>
    </xdr:to>
    <xdr:pic>
      <xdr:nvPicPr>
        <xdr:cNvPr id="2" name="Picture 1">
          <a:extLst>
            <a:ext uri="{FF2B5EF4-FFF2-40B4-BE49-F238E27FC236}">
              <a16:creationId xmlns:a16="http://schemas.microsoft.com/office/drawing/2014/main" id="{31899EFB-3DF9-E897-3927-2AB12150FFA9}"/>
            </a:ext>
          </a:extLst>
        </xdr:cNvPr>
        <xdr:cNvPicPr>
          <a:picLocks noChangeAspect="1"/>
        </xdr:cNvPicPr>
      </xdr:nvPicPr>
      <xdr:blipFill>
        <a:blip xmlns:r="http://schemas.openxmlformats.org/officeDocument/2006/relationships" r:embed="rId1"/>
        <a:stretch>
          <a:fillRect/>
        </a:stretch>
      </xdr:blipFill>
      <xdr:spPr>
        <a:xfrm>
          <a:off x="673100" y="6705599"/>
          <a:ext cx="13182600" cy="212041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431800</xdr:colOff>
      <xdr:row>30</xdr:row>
      <xdr:rowOff>140982</xdr:rowOff>
    </xdr:from>
    <xdr:to>
      <xdr:col>17</xdr:col>
      <xdr:colOff>114300</xdr:colOff>
      <xdr:row>41</xdr:row>
      <xdr:rowOff>2796</xdr:rowOff>
    </xdr:to>
    <xdr:pic>
      <xdr:nvPicPr>
        <xdr:cNvPr id="2" name="Picture 1">
          <a:extLst>
            <a:ext uri="{FF2B5EF4-FFF2-40B4-BE49-F238E27FC236}">
              <a16:creationId xmlns:a16="http://schemas.microsoft.com/office/drawing/2014/main" id="{6C1EFB63-1456-329B-ACD2-545FF845E6AD}"/>
            </a:ext>
          </a:extLst>
        </xdr:cNvPr>
        <xdr:cNvPicPr>
          <a:picLocks noChangeAspect="1"/>
        </xdr:cNvPicPr>
      </xdr:nvPicPr>
      <xdr:blipFill>
        <a:blip xmlns:r="http://schemas.openxmlformats.org/officeDocument/2006/relationships" r:embed="rId1"/>
        <a:stretch>
          <a:fillRect/>
        </a:stretch>
      </xdr:blipFill>
      <xdr:spPr>
        <a:xfrm>
          <a:off x="431800" y="6668782"/>
          <a:ext cx="13208000" cy="1817614"/>
        </a:xfrm>
        <a:prstGeom prst="rect">
          <a:avLst/>
        </a:prstGeom>
      </xdr:spPr>
    </xdr:pic>
    <xdr:clientData/>
  </xdr:twoCellAnchor>
  <xdr:twoCellAnchor editAs="oneCell">
    <xdr:from>
      <xdr:col>17</xdr:col>
      <xdr:colOff>69929</xdr:colOff>
      <xdr:row>31</xdr:row>
      <xdr:rowOff>165100</xdr:rowOff>
    </xdr:from>
    <xdr:to>
      <xdr:col>20</xdr:col>
      <xdr:colOff>500604</xdr:colOff>
      <xdr:row>41</xdr:row>
      <xdr:rowOff>0</xdr:rowOff>
    </xdr:to>
    <xdr:pic>
      <xdr:nvPicPr>
        <xdr:cNvPr id="4" name="Picture 3">
          <a:extLst>
            <a:ext uri="{FF2B5EF4-FFF2-40B4-BE49-F238E27FC236}">
              <a16:creationId xmlns:a16="http://schemas.microsoft.com/office/drawing/2014/main" id="{E908EDCF-7C55-41BF-111D-0846012ADE53}"/>
            </a:ext>
          </a:extLst>
        </xdr:cNvPr>
        <xdr:cNvPicPr>
          <a:picLocks noChangeAspect="1"/>
        </xdr:cNvPicPr>
      </xdr:nvPicPr>
      <xdr:blipFill>
        <a:blip xmlns:r="http://schemas.openxmlformats.org/officeDocument/2006/relationships" r:embed="rId2"/>
        <a:stretch>
          <a:fillRect/>
        </a:stretch>
      </xdr:blipFill>
      <xdr:spPr>
        <a:xfrm>
          <a:off x="13595429" y="6870700"/>
          <a:ext cx="2449975" cy="1612900"/>
        </a:xfrm>
        <a:prstGeom prst="rect">
          <a:avLst/>
        </a:prstGeom>
      </xdr:spPr>
    </xdr:pic>
    <xdr:clientData/>
  </xdr:twoCellAnchor>
  <xdr:twoCellAnchor editAs="oneCell">
    <xdr:from>
      <xdr:col>20</xdr:col>
      <xdr:colOff>498763</xdr:colOff>
      <xdr:row>31</xdr:row>
      <xdr:rowOff>18393</xdr:rowOff>
    </xdr:from>
    <xdr:to>
      <xdr:col>24</xdr:col>
      <xdr:colOff>125844</xdr:colOff>
      <xdr:row>41</xdr:row>
      <xdr:rowOff>0</xdr:rowOff>
    </xdr:to>
    <xdr:pic>
      <xdr:nvPicPr>
        <xdr:cNvPr id="5" name="Picture 4">
          <a:extLst>
            <a:ext uri="{FF2B5EF4-FFF2-40B4-BE49-F238E27FC236}">
              <a16:creationId xmlns:a16="http://schemas.microsoft.com/office/drawing/2014/main" id="{330E74D3-CDD4-82FD-A031-0897F017D7EE}"/>
            </a:ext>
          </a:extLst>
        </xdr:cNvPr>
        <xdr:cNvPicPr>
          <a:picLocks noChangeAspect="1"/>
        </xdr:cNvPicPr>
      </xdr:nvPicPr>
      <xdr:blipFill>
        <a:blip xmlns:r="http://schemas.openxmlformats.org/officeDocument/2006/relationships" r:embed="rId3"/>
        <a:stretch>
          <a:fillRect/>
        </a:stretch>
      </xdr:blipFill>
      <xdr:spPr>
        <a:xfrm>
          <a:off x="16043563" y="6723993"/>
          <a:ext cx="2319481" cy="175960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365760</xdr:colOff>
      <xdr:row>6</xdr:row>
      <xdr:rowOff>84712</xdr:rowOff>
    </xdr:from>
    <xdr:to>
      <xdr:col>25</xdr:col>
      <xdr:colOff>430696</xdr:colOff>
      <xdr:row>32</xdr:row>
      <xdr:rowOff>154608</xdr:rowOff>
    </xdr:to>
    <xdr:graphicFrame macro="">
      <xdr:nvGraphicFramePr>
        <xdr:cNvPr id="2" name="Chart 1">
          <a:extLst>
            <a:ext uri="{FF2B5EF4-FFF2-40B4-BE49-F238E27FC236}">
              <a16:creationId xmlns:a16="http://schemas.microsoft.com/office/drawing/2014/main" id="{543893BB-6B5A-014B-AD5E-EF4394FDCA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0.80641</cdr:x>
      <cdr:y>0.05709</cdr:y>
    </cdr:from>
    <cdr:to>
      <cdr:x>0.80802</cdr:x>
      <cdr:y>0.97442</cdr:y>
    </cdr:to>
    <cdr:cxnSp macro="">
      <cdr:nvCxnSpPr>
        <cdr:cNvPr id="2" name="Straight Arrow Connector 1">
          <a:extLst xmlns:a="http://schemas.openxmlformats.org/drawingml/2006/main">
            <a:ext uri="{FF2B5EF4-FFF2-40B4-BE49-F238E27FC236}">
              <a16:creationId xmlns:a16="http://schemas.microsoft.com/office/drawing/2014/main" id="{A0A61CEC-C983-822D-90F0-6559B7C59EC8}"/>
            </a:ext>
          </a:extLst>
        </cdr:cNvPr>
        <cdr:cNvCxnSpPr/>
      </cdr:nvCxnSpPr>
      <cdr:spPr>
        <a:xfrm xmlns:a="http://schemas.openxmlformats.org/drawingml/2006/main">
          <a:off x="6043614" y="272870"/>
          <a:ext cx="12066" cy="4384359"/>
        </a:xfrm>
        <a:prstGeom xmlns:a="http://schemas.openxmlformats.org/drawingml/2006/main" prst="straightConnector1">
          <a:avLst/>
        </a:prstGeom>
        <a:ln xmlns:a="http://schemas.openxmlformats.org/drawingml/2006/main">
          <a:solidFill>
            <a:srgbClr val="FF0000"/>
          </a:solidFill>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0.86396</cdr:x>
      <cdr:y>0.98164</cdr:y>
    </cdr:from>
    <cdr:to>
      <cdr:x>0.89812</cdr:x>
      <cdr:y>0.98732</cdr:y>
    </cdr:to>
    <cdr:sp macro="" textlink="">
      <cdr:nvSpPr>
        <cdr:cNvPr id="5" name="Rectangle 4">
          <a:extLst xmlns:a="http://schemas.openxmlformats.org/drawingml/2006/main">
            <a:ext uri="{FF2B5EF4-FFF2-40B4-BE49-F238E27FC236}">
              <a16:creationId xmlns:a16="http://schemas.microsoft.com/office/drawing/2014/main" id="{C5E5A2E2-04B5-3824-6629-2913EC51AD52}"/>
            </a:ext>
          </a:extLst>
        </cdr:cNvPr>
        <cdr:cNvSpPr/>
      </cdr:nvSpPr>
      <cdr:spPr>
        <a:xfrm xmlns:a="http://schemas.openxmlformats.org/drawingml/2006/main" rot="10800000" flipV="1">
          <a:off x="6474930" y="4691738"/>
          <a:ext cx="256010" cy="27147"/>
        </a:xfrm>
        <a:prstGeom xmlns:a="http://schemas.openxmlformats.org/drawingml/2006/main" prst="rect">
          <a:avLst/>
        </a:prstGeom>
        <a:solidFill xmlns:a="http://schemas.openxmlformats.org/drawingml/2006/main">
          <a:srgbClr val="FF0000"/>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0.89747</cdr:x>
      <cdr:y>0.95734</cdr:y>
    </cdr:from>
    <cdr:to>
      <cdr:x>0.99011</cdr:x>
      <cdr:y>0.99684</cdr:y>
    </cdr:to>
    <cdr:sp macro="" textlink="">
      <cdr:nvSpPr>
        <cdr:cNvPr id="7" name="TextBox 6">
          <a:extLst xmlns:a="http://schemas.openxmlformats.org/drawingml/2006/main">
            <a:ext uri="{FF2B5EF4-FFF2-40B4-BE49-F238E27FC236}">
              <a16:creationId xmlns:a16="http://schemas.microsoft.com/office/drawing/2014/main" id="{4214B7BF-F1F5-8F3D-0B80-6363416CE039}"/>
            </a:ext>
          </a:extLst>
        </cdr:cNvPr>
        <cdr:cNvSpPr txBox="1"/>
      </cdr:nvSpPr>
      <cdr:spPr>
        <a:xfrm xmlns:a="http://schemas.openxmlformats.org/drawingml/2006/main">
          <a:off x="6726068" y="4575596"/>
          <a:ext cx="694285" cy="18879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a:latin typeface="Arial" panose="020B0604020202020204" pitchFamily="34" charset="0"/>
              <a:cs typeface="Arial" panose="020B0604020202020204" pitchFamily="34" charset="0"/>
            </a:rPr>
            <a:t>Current Price</a:t>
          </a:r>
        </a:p>
      </cdr:txBody>
    </cdr:sp>
  </cdr:relSizeAnchor>
</c:userShapes>
</file>

<file path=xl/drawings/drawing7.xml><?xml version="1.0" encoding="utf-8"?>
<xdr:wsDr xmlns:xdr="http://schemas.openxmlformats.org/drawingml/2006/spreadsheetDrawing" xmlns:a="http://schemas.openxmlformats.org/drawingml/2006/main">
  <xdr:twoCellAnchor editAs="oneCell">
    <xdr:from>
      <xdr:col>0</xdr:col>
      <xdr:colOff>505269</xdr:colOff>
      <xdr:row>6</xdr:row>
      <xdr:rowOff>135577</xdr:rowOff>
    </xdr:from>
    <xdr:to>
      <xdr:col>18</xdr:col>
      <xdr:colOff>177527</xdr:colOff>
      <xdr:row>30</xdr:row>
      <xdr:rowOff>155880</xdr:rowOff>
    </xdr:to>
    <xdr:pic>
      <xdr:nvPicPr>
        <xdr:cNvPr id="3" name="Picture 2">
          <a:extLst>
            <a:ext uri="{FF2B5EF4-FFF2-40B4-BE49-F238E27FC236}">
              <a16:creationId xmlns:a16="http://schemas.microsoft.com/office/drawing/2014/main" id="{3B499E7B-DE90-374F-BCF7-90601D68E2B8}"/>
            </a:ext>
          </a:extLst>
        </xdr:cNvPr>
        <xdr:cNvPicPr>
          <a:picLocks noChangeAspect="1"/>
        </xdr:cNvPicPr>
      </xdr:nvPicPr>
      <xdr:blipFill>
        <a:blip xmlns:r="http://schemas.openxmlformats.org/officeDocument/2006/relationships" r:embed="rId1"/>
        <a:stretch>
          <a:fillRect/>
        </a:stretch>
      </xdr:blipFill>
      <xdr:spPr>
        <a:xfrm>
          <a:off x="505269" y="1105147"/>
          <a:ext cx="11921613" cy="503202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12</xdr:col>
      <xdr:colOff>467360</xdr:colOff>
      <xdr:row>6</xdr:row>
      <xdr:rowOff>72012</xdr:rowOff>
    </xdr:from>
    <xdr:to>
      <xdr:col>25</xdr:col>
      <xdr:colOff>532296</xdr:colOff>
      <xdr:row>29</xdr:row>
      <xdr:rowOff>141908</xdr:rowOff>
    </xdr:to>
    <xdr:graphicFrame macro="">
      <xdr:nvGraphicFramePr>
        <xdr:cNvPr id="10" name="Chart 1">
          <a:extLst>
            <a:ext uri="{FF2B5EF4-FFF2-40B4-BE49-F238E27FC236}">
              <a16:creationId xmlns:a16="http://schemas.microsoft.com/office/drawing/2014/main" id="{C9D097F2-0038-DF47-ADE4-E8CB8BEF4D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0.96683</cdr:x>
      <cdr:y>0.04458</cdr:y>
    </cdr:from>
    <cdr:to>
      <cdr:x>0.96844</cdr:x>
      <cdr:y>0.96191</cdr:y>
    </cdr:to>
    <cdr:cxnSp macro="">
      <cdr:nvCxnSpPr>
        <cdr:cNvPr id="2" name="Straight Arrow Connector 1">
          <a:extLst xmlns:a="http://schemas.openxmlformats.org/drawingml/2006/main">
            <a:ext uri="{FF2B5EF4-FFF2-40B4-BE49-F238E27FC236}">
              <a16:creationId xmlns:a16="http://schemas.microsoft.com/office/drawing/2014/main" id="{A0A61CEC-C983-822D-90F0-6559B7C59EC8}"/>
            </a:ext>
          </a:extLst>
        </cdr:cNvPr>
        <cdr:cNvCxnSpPr/>
      </cdr:nvCxnSpPr>
      <cdr:spPr>
        <a:xfrm xmlns:a="http://schemas.openxmlformats.org/drawingml/2006/main">
          <a:off x="7245866" y="188242"/>
          <a:ext cx="12066" cy="3873697"/>
        </a:xfrm>
        <a:prstGeom xmlns:a="http://schemas.openxmlformats.org/drawingml/2006/main" prst="straightConnector1">
          <a:avLst/>
        </a:prstGeom>
        <a:ln xmlns:a="http://schemas.openxmlformats.org/drawingml/2006/main">
          <a:solidFill>
            <a:srgbClr val="FF0000"/>
          </a:solidFill>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0.87724</cdr:x>
      <cdr:y>0.77113</cdr:y>
    </cdr:from>
    <cdr:to>
      <cdr:x>0.9114</cdr:x>
      <cdr:y>0.77681</cdr:y>
    </cdr:to>
    <cdr:sp macro="" textlink="">
      <cdr:nvSpPr>
        <cdr:cNvPr id="5" name="Rectangle 4">
          <a:extLst xmlns:a="http://schemas.openxmlformats.org/drawingml/2006/main">
            <a:ext uri="{FF2B5EF4-FFF2-40B4-BE49-F238E27FC236}">
              <a16:creationId xmlns:a16="http://schemas.microsoft.com/office/drawing/2014/main" id="{C5E5A2E2-04B5-3824-6629-2913EC51AD52}"/>
            </a:ext>
          </a:extLst>
        </cdr:cNvPr>
        <cdr:cNvSpPr/>
      </cdr:nvSpPr>
      <cdr:spPr>
        <a:xfrm xmlns:a="http://schemas.openxmlformats.org/drawingml/2006/main" rot="10800000" flipV="1">
          <a:off x="6574419" y="3256325"/>
          <a:ext cx="256010" cy="23985"/>
        </a:xfrm>
        <a:prstGeom xmlns:a="http://schemas.openxmlformats.org/drawingml/2006/main" prst="rect">
          <a:avLst/>
        </a:prstGeom>
        <a:solidFill xmlns:a="http://schemas.openxmlformats.org/drawingml/2006/main">
          <a:srgbClr val="FF0000"/>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0.90736</cdr:x>
      <cdr:y>0.74951</cdr:y>
    </cdr:from>
    <cdr:to>
      <cdr:x>1</cdr:x>
      <cdr:y>0.78901</cdr:y>
    </cdr:to>
    <cdr:sp macro="" textlink="">
      <cdr:nvSpPr>
        <cdr:cNvPr id="7" name="TextBox 6">
          <a:extLst xmlns:a="http://schemas.openxmlformats.org/drawingml/2006/main">
            <a:ext uri="{FF2B5EF4-FFF2-40B4-BE49-F238E27FC236}">
              <a16:creationId xmlns:a16="http://schemas.microsoft.com/office/drawing/2014/main" id="{4214B7BF-F1F5-8F3D-0B80-6363416CE039}"/>
            </a:ext>
          </a:extLst>
        </cdr:cNvPr>
        <cdr:cNvSpPr txBox="1"/>
      </cdr:nvSpPr>
      <cdr:spPr>
        <a:xfrm xmlns:a="http://schemas.openxmlformats.org/drawingml/2006/main">
          <a:off x="6800152" y="3165028"/>
          <a:ext cx="694284" cy="16680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a:latin typeface="Arial" panose="020B0604020202020204" pitchFamily="34" charset="0"/>
              <a:cs typeface="Arial" panose="020B0604020202020204" pitchFamily="34" charset="0"/>
            </a:rPr>
            <a:t>Current Price</a:t>
          </a:r>
        </a:p>
      </cdr:txBody>
    </cdr:sp>
  </cdr:relSizeAnchor>
</c:userShapes>
</file>

<file path=xl/externalLinks/_rels/externalLink1.xml.rels><?xml version="1.0" encoding="UTF-8" standalone="yes"?>
<Relationships xmlns="http://schemas.openxmlformats.org/package/2006/relationships"><Relationship Id="rId2" Type="http://schemas.openxmlformats.org/officeDocument/2006/relationships/externalLinkPath" Target="/Users/sangitadasgupta/Downloads/DKS%20DCF%20Model.xlsx" TargetMode="External"/><Relationship Id="rId1" Type="http://schemas.openxmlformats.org/officeDocument/2006/relationships/externalLinkPath" Target="/Users/sangitadasgupta/Downloads/DKS%20DCF%20Mod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come Statement"/>
      <sheetName val="3-Year Price Target Calculation"/>
      <sheetName val="1-Year Price Target Calculation"/>
      <sheetName val="Supporting Statements"/>
      <sheetName val="NWC Calculation Instructions"/>
      <sheetName val="Cash Flow Statement"/>
      <sheetName val="Balance Sheet"/>
      <sheetName val="Revenue Build"/>
      <sheetName val="Relative Valuation"/>
      <sheetName val="Instructions"/>
      <sheetName val="Valuation Spread"/>
      <sheetName val="Companies"/>
      <sheetName val="Financials"/>
      <sheetName val="Sheet1"/>
      <sheetName val="Valuation"/>
      <sheetName val="Exhibits"/>
      <sheetName val="Graphs"/>
    </sheetNames>
    <sheetDataSet>
      <sheetData sheetId="0">
        <row r="37">
          <cell r="H37">
            <v>85.924999999999997</v>
          </cell>
        </row>
        <row r="66">
          <cell r="H66">
            <v>1768.2269999999987</v>
          </cell>
        </row>
      </sheetData>
      <sheetData sheetId="1"/>
      <sheetData sheetId="2"/>
      <sheetData sheetId="3"/>
      <sheetData sheetId="4"/>
      <sheetData sheetId="5"/>
      <sheetData sheetId="6">
        <row r="10">
          <cell r="G10">
            <v>1801.22</v>
          </cell>
        </row>
        <row r="43">
          <cell r="G43">
            <v>1483.2600000000002</v>
          </cell>
        </row>
        <row r="53">
          <cell r="G53">
            <v>2617.2809999999999</v>
          </cell>
        </row>
      </sheetData>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3" Type="http://schemas.openxmlformats.org/officeDocument/2006/relationships/hyperlink" Target="https://yoginestudios.com/swot-analysis-of-dicks-sporting-goods-2024/" TargetMode="External"/><Relationship Id="rId2" Type="http://schemas.openxmlformats.org/officeDocument/2006/relationships/hyperlink" Target="https://www.financecharts.com/stocks/DKS/bulls-bears" TargetMode="External"/><Relationship Id="rId1" Type="http://schemas.openxmlformats.org/officeDocument/2006/relationships/hyperlink" Target="https://finance.yahoo.com/news/beyond-balance-sheet-swot-reveals-052444528.html" TargetMode="External"/><Relationship Id="rId5" Type="http://schemas.openxmlformats.org/officeDocument/2006/relationships/printerSettings" Target="../printerSettings/printerSettings12.bin"/><Relationship Id="rId4" Type="http://schemas.openxmlformats.org/officeDocument/2006/relationships/hyperlink" Target="https://www.gurufocus.com/news/2516733/decoding-dicks-sporting-goods-inc-dks-a-strategic-swot-insigh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78902-E82C-4F50-8A54-C153999E6367}">
  <sheetPr>
    <pageSetUpPr fitToPage="1"/>
  </sheetPr>
  <dimension ref="B1:P120"/>
  <sheetViews>
    <sheetView showGridLines="0" tabSelected="1" topLeftCell="A80" zoomScaleNormal="100" zoomScaleSheetLayoutView="100" workbookViewId="0">
      <selection activeCell="P99" sqref="P99"/>
    </sheetView>
  </sheetViews>
  <sheetFormatPr baseColWidth="10" defaultColWidth="8" defaultRowHeight="16" outlineLevelRow="1"/>
  <cols>
    <col min="1" max="1" width="5.59765625" style="88" customWidth="1"/>
    <col min="2" max="2" width="50.3984375" style="88" bestFit="1" customWidth="1"/>
    <col min="3" max="3" width="10.59765625" style="88" bestFit="1" customWidth="1"/>
    <col min="4" max="4" width="11.19921875" style="88" bestFit="1" customWidth="1"/>
    <col min="5" max="5" width="11.3984375" style="88" bestFit="1" customWidth="1"/>
    <col min="6" max="7" width="11.19921875" style="88" bestFit="1" customWidth="1"/>
    <col min="8" max="9" width="12.59765625" style="88" bestFit="1" customWidth="1"/>
    <col min="10" max="10" width="12.19921875" style="88" bestFit="1" customWidth="1"/>
    <col min="11" max="11" width="11.19921875" style="88" bestFit="1" customWidth="1"/>
    <col min="12" max="12" width="11" style="88" customWidth="1"/>
    <col min="13" max="13" width="8" style="88"/>
    <col min="14" max="14" width="8.796875" style="88" bestFit="1" customWidth="1"/>
    <col min="15" max="16384" width="8" style="88"/>
  </cols>
  <sheetData>
    <row r="1" spans="2:14">
      <c r="L1" s="452"/>
    </row>
    <row r="2" spans="2:14">
      <c r="L2" s="453"/>
    </row>
    <row r="3" spans="2:14" ht="19">
      <c r="B3" s="114" t="s">
        <v>246</v>
      </c>
      <c r="C3" s="87"/>
      <c r="D3" s="87"/>
      <c r="E3" s="87"/>
      <c r="F3" s="87"/>
      <c r="G3" s="87"/>
      <c r="H3" s="87"/>
      <c r="I3" s="87"/>
      <c r="J3" s="87"/>
      <c r="K3" s="87"/>
      <c r="L3" s="453"/>
    </row>
    <row r="4" spans="2:14">
      <c r="B4" s="124" t="s">
        <v>247</v>
      </c>
    </row>
    <row r="5" spans="2:14">
      <c r="B5" s="124"/>
    </row>
    <row r="6" spans="2:14">
      <c r="B6" s="116" t="s">
        <v>148</v>
      </c>
      <c r="C6" s="117"/>
      <c r="D6" s="117"/>
      <c r="E6" s="117"/>
      <c r="F6" s="117"/>
      <c r="G6" s="117"/>
      <c r="H6" s="117"/>
      <c r="I6" s="117"/>
      <c r="J6" s="117"/>
      <c r="K6" s="117"/>
    </row>
    <row r="7" spans="2:14">
      <c r="B7" s="90"/>
      <c r="D7" s="115" t="s">
        <v>217</v>
      </c>
      <c r="E7" s="115"/>
      <c r="F7" s="115"/>
      <c r="G7" s="115"/>
      <c r="H7" s="115"/>
      <c r="I7" s="115"/>
      <c r="J7" s="115" t="s">
        <v>218</v>
      </c>
      <c r="K7" s="115"/>
    </row>
    <row r="8" spans="2:14" ht="17">
      <c r="B8" s="34"/>
      <c r="D8" s="113" t="s">
        <v>143</v>
      </c>
      <c r="E8" s="113" t="s">
        <v>144</v>
      </c>
      <c r="F8" s="113" t="s">
        <v>145</v>
      </c>
      <c r="G8" s="113" t="s">
        <v>146</v>
      </c>
      <c r="H8" s="113" t="s">
        <v>214</v>
      </c>
      <c r="I8" s="362" t="s">
        <v>215</v>
      </c>
      <c r="J8" s="113" t="s">
        <v>147</v>
      </c>
      <c r="K8" s="113" t="s">
        <v>216</v>
      </c>
      <c r="L8" s="79" t="s">
        <v>139</v>
      </c>
      <c r="N8" s="146"/>
    </row>
    <row r="9" spans="2:14" hidden="1" outlineLevel="1">
      <c r="B9" s="77" t="s">
        <v>135</v>
      </c>
      <c r="C9" s="89"/>
      <c r="D9" s="33"/>
      <c r="E9" s="33"/>
      <c r="F9" s="33"/>
      <c r="G9" s="33"/>
      <c r="H9" s="33"/>
      <c r="I9" s="96">
        <f>1</f>
        <v>1</v>
      </c>
      <c r="J9" s="78">
        <f>I9+1</f>
        <v>2</v>
      </c>
      <c r="K9" s="78">
        <f>J9+1</f>
        <v>3</v>
      </c>
      <c r="L9" s="1"/>
    </row>
    <row r="10" spans="2:14" collapsed="1">
      <c r="I10" s="97"/>
      <c r="L10" s="1"/>
      <c r="N10" s="147"/>
    </row>
    <row r="11" spans="2:14">
      <c r="B11" s="32" t="s">
        <v>39</v>
      </c>
      <c r="D11" s="134">
        <v>8750.74</v>
      </c>
      <c r="E11" s="134">
        <v>9584.02</v>
      </c>
      <c r="F11" s="134">
        <v>12293.37</v>
      </c>
      <c r="G11" s="134">
        <v>12368.2</v>
      </c>
      <c r="H11" s="134">
        <v>12984.4</v>
      </c>
      <c r="I11" s="135">
        <f>H11*(1+I12)</f>
        <v>13499.330420204264</v>
      </c>
      <c r="J11" s="136">
        <f>I11*(1+J12)</f>
        <v>14119.658550503103</v>
      </c>
      <c r="K11" s="136">
        <f>J11*(1+K12)</f>
        <v>14841.703934122101</v>
      </c>
      <c r="L11" s="1"/>
    </row>
    <row r="12" spans="2:14">
      <c r="B12" s="82" t="s">
        <v>38</v>
      </c>
      <c r="D12" s="31"/>
      <c r="E12" s="22">
        <f>(E11/D11)-1</f>
        <v>9.5223946774787072E-2</v>
      </c>
      <c r="F12" s="22">
        <f>(F11/E11)-1</f>
        <v>0.28269452693128772</v>
      </c>
      <c r="G12" s="22">
        <f>(G11/F11)-1</f>
        <v>6.0870208901220302E-3</v>
      </c>
      <c r="H12" s="22">
        <f>(H11/G11)-1</f>
        <v>4.9821315955433931E-2</v>
      </c>
      <c r="I12" s="110">
        <f>'Revenue Build'!H18</f>
        <v>3.9657621469167958E-2</v>
      </c>
      <c r="J12" s="111">
        <f>'Revenue Build'!I18</f>
        <v>4.5952511049763167E-2</v>
      </c>
      <c r="K12" s="111">
        <f>'Revenue Build'!J18</f>
        <v>5.1137595221328436E-2</v>
      </c>
      <c r="L12" s="88" t="s">
        <v>311</v>
      </c>
    </row>
    <row r="13" spans="2:14">
      <c r="B13" s="299" t="s">
        <v>183</v>
      </c>
      <c r="C13" s="92"/>
      <c r="D13" s="300"/>
      <c r="E13" s="301"/>
      <c r="F13" s="301"/>
      <c r="G13" s="301"/>
      <c r="H13" s="302">
        <f>(H11/F11)^(1/3) - 1</f>
        <v>1.8396686620480329E-2</v>
      </c>
      <c r="I13" s="303"/>
      <c r="J13" s="304"/>
      <c r="K13" s="305">
        <f>(K11/I11)^(1/3) - 1</f>
        <v>3.2104913160779791E-2</v>
      </c>
      <c r="L13" s="88" t="s">
        <v>308</v>
      </c>
    </row>
    <row r="14" spans="2:14">
      <c r="B14" s="306" t="s">
        <v>137</v>
      </c>
      <c r="C14" s="87"/>
      <c r="D14" s="307"/>
      <c r="E14" s="308"/>
      <c r="F14" s="308"/>
      <c r="G14" s="308"/>
      <c r="H14" s="308"/>
      <c r="I14" s="309">
        <v>2.5399999999999999E-2</v>
      </c>
      <c r="J14" s="310">
        <v>4.2200000000000001E-2</v>
      </c>
      <c r="K14" s="311">
        <v>4.1599999999999998E-2</v>
      </c>
      <c r="L14" s="1"/>
    </row>
    <row r="15" spans="2:14">
      <c r="B15" s="23"/>
      <c r="D15" s="31"/>
      <c r="E15" s="22"/>
      <c r="F15" s="22"/>
      <c r="G15" s="22"/>
      <c r="H15" s="22"/>
      <c r="I15" s="99"/>
      <c r="J15" s="75"/>
      <c r="K15" s="75"/>
      <c r="L15" s="1"/>
    </row>
    <row r="16" spans="2:14">
      <c r="B16" s="21" t="s">
        <v>37</v>
      </c>
      <c r="D16" s="19">
        <v>6183.09</v>
      </c>
      <c r="E16" s="19">
        <v>6510</v>
      </c>
      <c r="F16" s="19">
        <v>7581.48</v>
      </c>
      <c r="G16" s="19">
        <v>8082.94</v>
      </c>
      <c r="H16" s="19">
        <v>8438.66</v>
      </c>
      <c r="I16" s="100">
        <f>I17*I11</f>
        <v>8828.5620948135893</v>
      </c>
      <c r="J16" s="19">
        <f>J17*J11</f>
        <v>9234.2566920290301</v>
      </c>
      <c r="K16" s="19">
        <f>K17*K11</f>
        <v>9706.4743729158545</v>
      </c>
      <c r="L16" s="1"/>
    </row>
    <row r="17" spans="2:12">
      <c r="B17" s="23" t="s">
        <v>36</v>
      </c>
      <c r="D17" s="22">
        <f>D16/D11</f>
        <v>0.70657910073890895</v>
      </c>
      <c r="E17" s="22">
        <f>E16/E11</f>
        <v>0.67925567768013839</v>
      </c>
      <c r="F17" s="22">
        <f>F16/F11</f>
        <v>0.61671291110574233</v>
      </c>
      <c r="G17" s="22">
        <f>G16/G11</f>
        <v>0.65352597791109446</v>
      </c>
      <c r="H17" s="22">
        <f>H16/H11</f>
        <v>0.64990758140537874</v>
      </c>
      <c r="I17" s="423">
        <v>0.65400000000000003</v>
      </c>
      <c r="J17" s="423">
        <v>0.65400000000000003</v>
      </c>
      <c r="K17" s="423">
        <v>0.65400000000000003</v>
      </c>
      <c r="L17" s="208" t="s">
        <v>332</v>
      </c>
    </row>
    <row r="18" spans="2:12">
      <c r="B18" s="86" t="s">
        <v>35</v>
      </c>
      <c r="D18" s="81">
        <f>D11-D16</f>
        <v>2567.6499999999996</v>
      </c>
      <c r="E18" s="81">
        <f t="shared" ref="E18:K18" si="0">E11-E16</f>
        <v>3074.0200000000004</v>
      </c>
      <c r="F18" s="81">
        <f t="shared" si="0"/>
        <v>4711.8900000000012</v>
      </c>
      <c r="G18" s="81">
        <f t="shared" si="0"/>
        <v>4285.2600000000011</v>
      </c>
      <c r="H18" s="81">
        <f t="shared" si="0"/>
        <v>4545.74</v>
      </c>
      <c r="I18" s="101">
        <f t="shared" si="0"/>
        <v>4670.7683253906744</v>
      </c>
      <c r="J18" s="81">
        <f t="shared" si="0"/>
        <v>4885.4018584740734</v>
      </c>
      <c r="K18" s="81">
        <f t="shared" si="0"/>
        <v>5135.2295612062462</v>
      </c>
      <c r="L18" s="88" t="s">
        <v>333</v>
      </c>
    </row>
    <row r="19" spans="2:12">
      <c r="B19" s="23" t="s">
        <v>34</v>
      </c>
      <c r="D19" s="30">
        <f>D18/D11</f>
        <v>0.29342089926109105</v>
      </c>
      <c r="E19" s="30">
        <f t="shared" ref="E19:K19" si="1">E18/E11</f>
        <v>0.32074432231986161</v>
      </c>
      <c r="F19" s="30">
        <f t="shared" si="1"/>
        <v>0.38328708889425772</v>
      </c>
      <c r="G19" s="30">
        <f t="shared" si="1"/>
        <v>0.34647402208890549</v>
      </c>
      <c r="H19" s="30">
        <f t="shared" si="1"/>
        <v>0.35009241859462126</v>
      </c>
      <c r="I19" s="102">
        <f t="shared" si="1"/>
        <v>0.34599999999999992</v>
      </c>
      <c r="J19" s="30">
        <f t="shared" si="1"/>
        <v>0.34599999999999997</v>
      </c>
      <c r="K19" s="30">
        <f t="shared" si="1"/>
        <v>0.34599999999999997</v>
      </c>
    </row>
    <row r="20" spans="2:12">
      <c r="B20" s="21"/>
      <c r="D20" s="19"/>
      <c r="E20" s="19"/>
      <c r="F20" s="19"/>
      <c r="G20" s="19"/>
      <c r="H20" s="19"/>
      <c r="I20" s="98"/>
      <c r="J20" s="1"/>
      <c r="K20" s="1"/>
      <c r="L20" s="1"/>
    </row>
    <row r="21" spans="2:12">
      <c r="B21" s="29" t="s">
        <v>141</v>
      </c>
      <c r="D21" s="19">
        <v>2120.1799999999998</v>
      </c>
      <c r="E21" s="19">
        <v>2146.5300000000002</v>
      </c>
      <c r="F21" s="19">
        <v>2649.08</v>
      </c>
      <c r="G21" s="19">
        <v>2776.16</v>
      </c>
      <c r="H21" s="19">
        <v>3131.31</v>
      </c>
      <c r="I21" s="103"/>
      <c r="J21" s="80"/>
      <c r="K21" s="80"/>
      <c r="L21" s="1"/>
    </row>
    <row r="22" spans="2:12">
      <c r="B22" s="29" t="s">
        <v>248</v>
      </c>
      <c r="C22" s="89"/>
      <c r="D22" s="19">
        <v>0</v>
      </c>
      <c r="E22" s="19">
        <v>0</v>
      </c>
      <c r="F22" s="19">
        <v>0</v>
      </c>
      <c r="G22" s="19">
        <v>0.7</v>
      </c>
      <c r="H22" s="19">
        <v>0</v>
      </c>
      <c r="I22" s="103"/>
      <c r="J22" s="80"/>
      <c r="K22" s="80"/>
      <c r="L22" s="1"/>
    </row>
    <row r="23" spans="2:12">
      <c r="B23" s="21" t="s">
        <v>33</v>
      </c>
      <c r="C23" s="89"/>
      <c r="D23" s="19">
        <f>SUM(D21:D22)</f>
        <v>2120.1799999999998</v>
      </c>
      <c r="E23" s="19">
        <f>SUM(E21:E22)</f>
        <v>2146.5300000000002</v>
      </c>
      <c r="F23" s="19">
        <f>SUM(F21:F22)</f>
        <v>2649.08</v>
      </c>
      <c r="G23" s="19">
        <f>SUM(G21:G22)</f>
        <v>2776.8599999999997</v>
      </c>
      <c r="H23" s="19">
        <f>SUM(H21:H22)</f>
        <v>3131.31</v>
      </c>
      <c r="I23" s="104">
        <f>I24*I11</f>
        <v>3143.1536473278402</v>
      </c>
      <c r="J23" s="64">
        <f>J24*J11</f>
        <v>3287.5894500377763</v>
      </c>
      <c r="K23" s="64">
        <f>K24*K11</f>
        <v>3455.7088685877179</v>
      </c>
      <c r="L23" s="88" t="s">
        <v>334</v>
      </c>
    </row>
    <row r="24" spans="2:12">
      <c r="B24" s="23" t="s">
        <v>32</v>
      </c>
      <c r="D24" s="22">
        <f>D23/D11</f>
        <v>0.24228579525845814</v>
      </c>
      <c r="E24" s="22">
        <f>E23/E11</f>
        <v>0.2239696912151686</v>
      </c>
      <c r="F24" s="22">
        <f>F23/F11</f>
        <v>0.21548851128697824</v>
      </c>
      <c r="G24" s="22">
        <f>G23/G11</f>
        <v>0.22451609773451267</v>
      </c>
      <c r="H24" s="22">
        <f>H23/H11</f>
        <v>0.24115939126952343</v>
      </c>
      <c r="I24" s="112">
        <f>(G24+H24)/2</f>
        <v>0.23283774450201805</v>
      </c>
      <c r="J24" s="112">
        <f t="shared" ref="J24:K24" si="2">I24</f>
        <v>0.23283774450201805</v>
      </c>
      <c r="K24" s="112">
        <f t="shared" si="2"/>
        <v>0.23283774450201805</v>
      </c>
      <c r="L24" s="88" t="s">
        <v>335</v>
      </c>
    </row>
    <row r="25" spans="2:12">
      <c r="B25" s="86" t="s">
        <v>31</v>
      </c>
      <c r="D25" s="81">
        <f t="shared" ref="D25:K25" si="3">D18-D23</f>
        <v>447.4699999999998</v>
      </c>
      <c r="E25" s="81">
        <f t="shared" si="3"/>
        <v>927.49000000000024</v>
      </c>
      <c r="F25" s="81">
        <f t="shared" si="3"/>
        <v>2062.8100000000013</v>
      </c>
      <c r="G25" s="81">
        <f t="shared" si="3"/>
        <v>1508.4000000000015</v>
      </c>
      <c r="H25" s="81">
        <f t="shared" si="3"/>
        <v>1414.4299999999998</v>
      </c>
      <c r="I25" s="101">
        <f t="shared" si="3"/>
        <v>1527.6146780628342</v>
      </c>
      <c r="J25" s="81">
        <f t="shared" si="3"/>
        <v>1597.8124084362971</v>
      </c>
      <c r="K25" s="81">
        <f t="shared" si="3"/>
        <v>1679.5206926185283</v>
      </c>
      <c r="L25" s="451"/>
    </row>
    <row r="26" spans="2:12">
      <c r="B26" s="23" t="s">
        <v>30</v>
      </c>
      <c r="D26" s="22">
        <f>D25/D11</f>
        <v>5.1135104002632902E-2</v>
      </c>
      <c r="E26" s="22">
        <f t="shared" ref="E26:K26" si="4">E25/E11</f>
        <v>9.6774631104693046E-2</v>
      </c>
      <c r="F26" s="22">
        <f t="shared" si="4"/>
        <v>0.16779857760727945</v>
      </c>
      <c r="G26" s="22">
        <f t="shared" si="4"/>
        <v>0.12195792435439283</v>
      </c>
      <c r="H26" s="22">
        <f t="shared" si="4"/>
        <v>0.1089330273250978</v>
      </c>
      <c r="I26" s="102">
        <f t="shared" si="4"/>
        <v>0.1131622554979819</v>
      </c>
      <c r="J26" s="22">
        <f t="shared" si="4"/>
        <v>0.11316225549798191</v>
      </c>
      <c r="K26" s="22">
        <f t="shared" si="4"/>
        <v>0.1131622554979819</v>
      </c>
      <c r="L26" s="451"/>
    </row>
    <row r="27" spans="2:12">
      <c r="B27" s="21"/>
      <c r="D27" s="19"/>
      <c r="E27" s="19"/>
      <c r="F27" s="19"/>
      <c r="G27" s="19"/>
      <c r="H27" s="19"/>
      <c r="I27" s="98"/>
      <c r="J27" s="1"/>
      <c r="K27" s="1"/>
      <c r="L27" s="1"/>
    </row>
    <row r="28" spans="2:12">
      <c r="B28" s="21" t="s">
        <v>29</v>
      </c>
      <c r="D28" s="19">
        <v>17</v>
      </c>
      <c r="E28" s="19">
        <v>49</v>
      </c>
      <c r="F28" s="19">
        <v>58</v>
      </c>
      <c r="G28" s="19">
        <v>95</v>
      </c>
      <c r="H28" s="19">
        <v>58</v>
      </c>
      <c r="I28" s="105">
        <f>AVERAGE($E$28,$F$28,$H$28)</f>
        <v>55</v>
      </c>
      <c r="J28" s="105">
        <f t="shared" ref="J28:K28" si="5">AVERAGE($E$28,$F$28,$H$28)</f>
        <v>55</v>
      </c>
      <c r="K28" s="105">
        <f t="shared" si="5"/>
        <v>55</v>
      </c>
      <c r="L28" s="1" t="s">
        <v>312</v>
      </c>
    </row>
    <row r="29" spans="2:12">
      <c r="B29" s="21" t="s">
        <v>28</v>
      </c>
      <c r="D29" s="19">
        <v>22</v>
      </c>
      <c r="E29" s="19">
        <v>166</v>
      </c>
      <c r="F29" s="19">
        <v>11</v>
      </c>
      <c r="G29" s="19">
        <v>29</v>
      </c>
      <c r="H29" s="19">
        <v>38</v>
      </c>
      <c r="I29" s="103"/>
      <c r="J29" s="80"/>
      <c r="K29" s="80"/>
      <c r="L29" s="1"/>
    </row>
    <row r="30" spans="2:12">
      <c r="B30" s="86" t="s">
        <v>27</v>
      </c>
      <c r="D30" s="81">
        <f t="shared" ref="D30:K30" si="6">D25-D28-D29</f>
        <v>408.4699999999998</v>
      </c>
      <c r="E30" s="81">
        <f t="shared" si="6"/>
        <v>712.49000000000024</v>
      </c>
      <c r="F30" s="81">
        <f t="shared" si="6"/>
        <v>1993.8100000000013</v>
      </c>
      <c r="G30" s="81">
        <f t="shared" si="6"/>
        <v>1384.4000000000015</v>
      </c>
      <c r="H30" s="81">
        <f t="shared" si="6"/>
        <v>1318.4299999999998</v>
      </c>
      <c r="I30" s="101">
        <f t="shared" si="6"/>
        <v>1472.6146780628342</v>
      </c>
      <c r="J30" s="81">
        <f t="shared" si="6"/>
        <v>1542.8124084362971</v>
      </c>
      <c r="K30" s="81">
        <f t="shared" si="6"/>
        <v>1624.5206926185283</v>
      </c>
      <c r="L30" s="1"/>
    </row>
    <row r="31" spans="2:12">
      <c r="B31" s="21"/>
      <c r="D31" s="19"/>
      <c r="E31" s="19"/>
      <c r="F31" s="19"/>
      <c r="G31" s="19"/>
      <c r="H31" s="19"/>
      <c r="I31" s="98"/>
      <c r="J31" s="1"/>
      <c r="K31" s="1"/>
      <c r="L31" s="1"/>
    </row>
    <row r="32" spans="2:12">
      <c r="B32" s="21" t="s">
        <v>26</v>
      </c>
      <c r="D32" s="19">
        <v>110</v>
      </c>
      <c r="E32" s="19">
        <v>181.48</v>
      </c>
      <c r="F32" s="19">
        <v>474.57</v>
      </c>
      <c r="G32" s="19">
        <v>340.61</v>
      </c>
      <c r="H32" s="19">
        <v>271.63</v>
      </c>
      <c r="I32" s="106">
        <f>I33*I30</f>
        <v>303.39595200519386</v>
      </c>
      <c r="J32" s="26">
        <f>J33*J30</f>
        <v>317.85846385743002</v>
      </c>
      <c r="K32" s="26">
        <f>K33*K30</f>
        <v>334.69244156760004</v>
      </c>
      <c r="L32" s="1"/>
    </row>
    <row r="33" spans="2:16">
      <c r="B33" s="23" t="s">
        <v>25</v>
      </c>
      <c r="C33" s="89"/>
      <c r="D33" s="22">
        <f>D32/D30</f>
        <v>0.26929762283643854</v>
      </c>
      <c r="E33" s="22">
        <f>E32/E30</f>
        <v>0.25471234683995553</v>
      </c>
      <c r="F33" s="22">
        <f>F32/F30</f>
        <v>0.23802167709059524</v>
      </c>
      <c r="G33" s="22">
        <f>G32/G30</f>
        <v>0.24603438312626383</v>
      </c>
      <c r="H33" s="22">
        <f>H32/H30</f>
        <v>0.20602534833096944</v>
      </c>
      <c r="I33" s="112">
        <f>H33</f>
        <v>0.20602534833096944</v>
      </c>
      <c r="J33" s="112">
        <f t="shared" ref="J33:K33" si="7">I33</f>
        <v>0.20602534833096944</v>
      </c>
      <c r="K33" s="112">
        <f t="shared" si="7"/>
        <v>0.20602534833096944</v>
      </c>
      <c r="L33" s="1" t="s">
        <v>313</v>
      </c>
    </row>
    <row r="34" spans="2:16" ht="17" thickBot="1">
      <c r="B34" s="86" t="s">
        <v>9</v>
      </c>
      <c r="C34" s="89"/>
      <c r="D34" s="83">
        <v>297</v>
      </c>
      <c r="E34" s="83">
        <v>530</v>
      </c>
      <c r="F34" s="83">
        <v>1520</v>
      </c>
      <c r="G34" s="83">
        <v>1043</v>
      </c>
      <c r="H34" s="83">
        <f t="shared" ref="H34:K34" si="8">H30-H32</f>
        <v>1046.7999999999997</v>
      </c>
      <c r="I34" s="107">
        <f t="shared" si="8"/>
        <v>1169.2187260576402</v>
      </c>
      <c r="J34" s="83">
        <f t="shared" si="8"/>
        <v>1224.9539445788671</v>
      </c>
      <c r="K34" s="83">
        <f t="shared" si="8"/>
        <v>1289.8282510509282</v>
      </c>
      <c r="L34" s="1"/>
    </row>
    <row r="35" spans="2:16" ht="17" thickTop="1">
      <c r="B35" s="23" t="s">
        <v>24</v>
      </c>
      <c r="D35" s="22">
        <f t="shared" ref="D35:K35" si="9">D34/D11</f>
        <v>3.3939986789688646E-2</v>
      </c>
      <c r="E35" s="22">
        <f t="shared" si="9"/>
        <v>5.5300385433252434E-2</v>
      </c>
      <c r="F35" s="22">
        <f t="shared" si="9"/>
        <v>0.12364388284091343</v>
      </c>
      <c r="G35" s="22">
        <f t="shared" si="9"/>
        <v>8.4329166734043753E-2</v>
      </c>
      <c r="H35" s="22">
        <f t="shared" si="9"/>
        <v>8.0619820707926421E-2</v>
      </c>
      <c r="I35" s="102">
        <f t="shared" si="9"/>
        <v>8.6613090402445927E-2</v>
      </c>
      <c r="J35" s="22">
        <f t="shared" si="9"/>
        <v>8.6755210134682778E-2</v>
      </c>
      <c r="K35" s="22">
        <f t="shared" si="9"/>
        <v>8.6905671799955814E-2</v>
      </c>
      <c r="L35" s="1"/>
    </row>
    <row r="36" spans="2:16">
      <c r="B36" s="21"/>
      <c r="D36" s="19"/>
      <c r="E36" s="19"/>
      <c r="F36" s="19"/>
      <c r="G36" s="19"/>
      <c r="H36" s="19"/>
      <c r="I36" s="98"/>
      <c r="J36" s="1"/>
      <c r="K36" s="1"/>
      <c r="L36" s="1"/>
    </row>
    <row r="37" spans="2:16">
      <c r="B37" s="20" t="s">
        <v>149</v>
      </c>
      <c r="D37" s="18">
        <v>89.07</v>
      </c>
      <c r="E37" s="18">
        <v>92.64</v>
      </c>
      <c r="F37" s="18">
        <v>109.58</v>
      </c>
      <c r="G37" s="18">
        <v>99.27</v>
      </c>
      <c r="H37" s="18">
        <v>85.93</v>
      </c>
      <c r="I37" s="100">
        <f>H37+I38</f>
        <v>84.43</v>
      </c>
      <c r="J37" s="19">
        <f>I37+J38</f>
        <v>82.93</v>
      </c>
      <c r="K37" s="19">
        <f>J37+K38</f>
        <v>81.53</v>
      </c>
      <c r="L37" s="4"/>
    </row>
    <row r="38" spans="2:16">
      <c r="B38" s="4" t="s">
        <v>150</v>
      </c>
      <c r="D38" s="4"/>
      <c r="E38" s="18">
        <f>E37-D37</f>
        <v>3.5700000000000074</v>
      </c>
      <c r="F38" s="18">
        <f>F37-E37</f>
        <v>16.939999999999998</v>
      </c>
      <c r="G38" s="18">
        <f>G37-F37</f>
        <v>-10.310000000000002</v>
      </c>
      <c r="H38" s="18">
        <f>H37-G37</f>
        <v>-13.339999999999989</v>
      </c>
      <c r="I38" s="424">
        <v>-1.5</v>
      </c>
      <c r="J38" s="425">
        <v>-1.5</v>
      </c>
      <c r="K38" s="425">
        <v>-1.4</v>
      </c>
      <c r="L38" s="88" t="s">
        <v>314</v>
      </c>
    </row>
    <row r="39" spans="2:16">
      <c r="B39" s="3" t="s">
        <v>23</v>
      </c>
      <c r="D39" s="3">
        <f t="shared" ref="D39:K39" si="10">D34/D37</f>
        <v>3.334456045806669</v>
      </c>
      <c r="E39" s="3">
        <f t="shared" si="10"/>
        <v>5.7210708117443865</v>
      </c>
      <c r="F39" s="3">
        <f t="shared" si="10"/>
        <v>13.871144369410477</v>
      </c>
      <c r="G39" s="3">
        <f t="shared" si="10"/>
        <v>10.506698901984487</v>
      </c>
      <c r="H39" s="3">
        <f>H34/H37</f>
        <v>12.182008611660651</v>
      </c>
      <c r="I39" s="108">
        <f>I34/I37</f>
        <v>13.848380031477438</v>
      </c>
      <c r="J39" s="3">
        <f t="shared" si="10"/>
        <v>14.770938678148644</v>
      </c>
      <c r="K39" s="3">
        <f t="shared" si="10"/>
        <v>15.820290090162249</v>
      </c>
      <c r="M39" s="3"/>
    </row>
    <row r="40" spans="2:16">
      <c r="B40" s="352" t="s">
        <v>151</v>
      </c>
      <c r="C40" s="92"/>
      <c r="D40" s="353"/>
      <c r="E40" s="353"/>
      <c r="F40" s="353"/>
      <c r="G40" s="353"/>
      <c r="H40" s="353"/>
      <c r="I40" s="351">
        <v>13.91</v>
      </c>
      <c r="J40" s="354">
        <v>14.83</v>
      </c>
      <c r="K40" s="355">
        <v>15.94</v>
      </c>
      <c r="L40" s="3"/>
      <c r="M40" s="1"/>
    </row>
    <row r="41" spans="2:16">
      <c r="B41" s="356" t="s">
        <v>212</v>
      </c>
      <c r="C41" s="357"/>
      <c r="D41" s="357"/>
      <c r="E41" s="357"/>
      <c r="F41" s="357"/>
      <c r="G41" s="357"/>
      <c r="H41" s="357"/>
      <c r="I41" s="363">
        <v>13.92</v>
      </c>
      <c r="J41" s="358">
        <v>14.82</v>
      </c>
      <c r="K41" s="359">
        <v>15.92</v>
      </c>
      <c r="L41" s="3"/>
      <c r="M41" s="1"/>
    </row>
    <row r="42" spans="2:16">
      <c r="B42" s="16" t="s">
        <v>22</v>
      </c>
      <c r="D42" s="12"/>
      <c r="E42" s="12">
        <f t="shared" ref="E42:J42" si="11">(E39-D39)/D39</f>
        <v>0.71574335758273566</v>
      </c>
      <c r="F42" s="12">
        <f t="shared" si="11"/>
        <v>1.4245713478909181</v>
      </c>
      <c r="G42" s="12">
        <f t="shared" si="11"/>
        <v>-0.24254995678982888</v>
      </c>
      <c r="H42" s="12">
        <f t="shared" si="11"/>
        <v>0.15945157706572652</v>
      </c>
      <c r="I42" s="142">
        <f t="shared" si="11"/>
        <v>0.13678954538102461</v>
      </c>
      <c r="J42" s="12">
        <f t="shared" si="11"/>
        <v>6.661852466311767E-2</v>
      </c>
      <c r="K42" s="12">
        <f>(K39-J39)/J39</f>
        <v>7.1041619959194668E-2</v>
      </c>
      <c r="L42" s="2"/>
      <c r="M42" s="2"/>
    </row>
    <row r="45" spans="2:16">
      <c r="B45" s="121" t="s">
        <v>16</v>
      </c>
      <c r="C45" s="121"/>
      <c r="D45" s="121"/>
      <c r="E45" s="121"/>
      <c r="F45" s="121"/>
      <c r="G45" s="121"/>
      <c r="H45" s="121"/>
      <c r="I45" s="122"/>
      <c r="J45" s="122"/>
      <c r="K45" s="122"/>
    </row>
    <row r="46" spans="2:16" ht="17">
      <c r="B46" s="120"/>
      <c r="C46" s="120"/>
      <c r="D46" s="293" t="str">
        <f t="shared" ref="D46:K46" si="12">D8</f>
        <v>2020A</v>
      </c>
      <c r="E46" s="293" t="str">
        <f t="shared" si="12"/>
        <v>2021A</v>
      </c>
      <c r="F46" s="293" t="str">
        <f t="shared" si="12"/>
        <v>2022A</v>
      </c>
      <c r="G46" s="293" t="str">
        <f t="shared" si="12"/>
        <v>2023A</v>
      </c>
      <c r="H46" s="293" t="str">
        <f>H8</f>
        <v>2024A</v>
      </c>
      <c r="I46" s="293" t="str">
        <f t="shared" si="12"/>
        <v>2025E</v>
      </c>
      <c r="J46" s="293" t="str">
        <f t="shared" si="12"/>
        <v>2026F</v>
      </c>
      <c r="K46" s="293" t="str">
        <f t="shared" si="12"/>
        <v>2027F</v>
      </c>
    </row>
    <row r="47" spans="2:16">
      <c r="B47" s="120"/>
      <c r="C47" s="120"/>
      <c r="D47" s="120"/>
      <c r="E47" s="120"/>
      <c r="F47" s="120"/>
      <c r="G47" s="120"/>
      <c r="H47" s="120"/>
      <c r="I47" s="125"/>
      <c r="J47" s="95"/>
      <c r="K47" s="95"/>
      <c r="O47" s="386"/>
      <c r="P47" s="386"/>
    </row>
    <row r="48" spans="2:16">
      <c r="B48" s="13" t="s">
        <v>15</v>
      </c>
      <c r="D48" s="13">
        <f>'Cash Flow Statement'!C10</f>
        <v>270.39999999999998</v>
      </c>
      <c r="E48" s="13">
        <f>'Cash Flow Statement'!D10</f>
        <v>290</v>
      </c>
      <c r="F48" s="13">
        <f>'Cash Flow Statement'!E10</f>
        <v>322.60000000000002</v>
      </c>
      <c r="G48" s="13">
        <f>'Cash Flow Statement'!F10</f>
        <v>365.5</v>
      </c>
      <c r="H48" s="13">
        <f>'Cash Flow Statement'!G10</f>
        <v>393.9</v>
      </c>
      <c r="I48" s="126">
        <f>I49*I11</f>
        <v>397.65984193311488</v>
      </c>
      <c r="J48" s="13">
        <f>J49*J11</f>
        <v>415.93331021359342</v>
      </c>
      <c r="K48" s="13">
        <f>K49*K11</f>
        <v>437.2031394703634</v>
      </c>
      <c r="O48" s="386"/>
      <c r="P48" s="386"/>
    </row>
    <row r="49" spans="2:16">
      <c r="B49" s="12" t="s">
        <v>153</v>
      </c>
      <c r="D49" s="12">
        <f>D48/D11</f>
        <v>3.0900243865090264E-2</v>
      </c>
      <c r="E49" s="12">
        <f>E48/E11</f>
        <v>3.0258701463477745E-2</v>
      </c>
      <c r="F49" s="12">
        <f>F48/F11</f>
        <v>2.6241787239788601E-2</v>
      </c>
      <c r="G49" s="12">
        <f>G48/G11</f>
        <v>2.9551591985899319E-2</v>
      </c>
      <c r="H49" s="12">
        <f>H48/H11</f>
        <v>3.0336403684421306E-2</v>
      </c>
      <c r="I49" s="127">
        <f>AVERAGE($D$49:$H$49)</f>
        <v>2.9457745647735449E-2</v>
      </c>
      <c r="J49" s="127">
        <f t="shared" ref="J49:K49" si="13">AVERAGE($D$49:$H$49)</f>
        <v>2.9457745647735449E-2</v>
      </c>
      <c r="K49" s="127">
        <f t="shared" si="13"/>
        <v>2.9457745647735449E-2</v>
      </c>
      <c r="L49" s="88" t="s">
        <v>315</v>
      </c>
      <c r="O49" s="386"/>
      <c r="P49" s="386"/>
    </row>
    <row r="50" spans="2:16">
      <c r="B50" s="13" t="s">
        <v>14</v>
      </c>
      <c r="D50" s="13">
        <f>-'Cash Flow Statement'!C16</f>
        <v>218.8</v>
      </c>
      <c r="E50" s="13">
        <f>-'Cash Flow Statement'!D16</f>
        <v>224.2</v>
      </c>
      <c r="F50" s="13">
        <f>-'Cash Flow Statement'!E16</f>
        <v>353.7</v>
      </c>
      <c r="G50" s="13">
        <f>-'Cash Flow Statement'!F16</f>
        <v>407.2</v>
      </c>
      <c r="H50" s="13">
        <f>-'Cash Flow Statement'!G16</f>
        <v>587.4</v>
      </c>
      <c r="I50" s="126">
        <f>I51*I11</f>
        <v>607.46986890919186</v>
      </c>
      <c r="J50" s="13">
        <f>J51*J11</f>
        <v>635.38463477263963</v>
      </c>
      <c r="K50" s="13">
        <f>K51*K11</f>
        <v>667.87667703549448</v>
      </c>
      <c r="O50" s="386"/>
      <c r="P50" s="386"/>
    </row>
    <row r="51" spans="2:16">
      <c r="B51" s="12" t="s">
        <v>13</v>
      </c>
      <c r="D51" s="12">
        <f>D50/D11</f>
        <v>2.5003599695568604E-2</v>
      </c>
      <c r="E51" s="12">
        <f>E50/E11</f>
        <v>2.3393106441764518E-2</v>
      </c>
      <c r="F51" s="12">
        <f>F50/F11</f>
        <v>2.8771606158441498E-2</v>
      </c>
      <c r="G51" s="12">
        <f>G50/G11</f>
        <v>3.2923141605084E-2</v>
      </c>
      <c r="H51" s="12">
        <f>H50/H11</f>
        <v>4.5238902067095896E-2</v>
      </c>
      <c r="I51" s="127">
        <v>4.4999999999999998E-2</v>
      </c>
      <c r="J51" s="127">
        <v>4.4999999999999998E-2</v>
      </c>
      <c r="K51" s="127">
        <v>4.4999999999999998E-2</v>
      </c>
      <c r="L51" s="88" t="s">
        <v>316</v>
      </c>
      <c r="O51" s="386"/>
      <c r="P51" s="386"/>
    </row>
    <row r="52" spans="2:16">
      <c r="B52" s="12"/>
      <c r="D52" s="12"/>
      <c r="E52" s="12"/>
      <c r="F52" s="12"/>
      <c r="G52" s="12"/>
      <c r="H52" s="12"/>
      <c r="I52" s="127"/>
      <c r="J52" s="123"/>
      <c r="K52" s="123"/>
      <c r="O52" s="386"/>
      <c r="P52" s="386"/>
    </row>
    <row r="53" spans="2:16" s="386" customFormat="1">
      <c r="B53" s="385" t="s">
        <v>197</v>
      </c>
      <c r="D53" s="387">
        <f>SUM('Balance Sheet'!C11,'Balance Sheet'!C12,'Balance Sheet'!C13)-SUM('Balance Sheet'!C36,'Balance Sheet'!C39,'Balance Sheet'!C37)</f>
        <v>1104.2240000000002</v>
      </c>
      <c r="E53" s="387">
        <f>SUM('Balance Sheet'!D11,'Balance Sheet'!D12,'Balance Sheet'!D13)-SUM('Balance Sheet'!D36,'Balance Sheet'!D39,'Balance Sheet'!D37)</f>
        <v>802.49299999999994</v>
      </c>
      <c r="F53" s="387">
        <f>SUM('Balance Sheet'!E11,'Balance Sheet'!E12,'Balance Sheet'!E13)-SUM('Balance Sheet'!E36,'Balance Sheet'!E39,'Balance Sheet'!E37)</f>
        <v>1168.6650000000002</v>
      </c>
      <c r="G53" s="387">
        <f>SUM('Balance Sheet'!F11,'Balance Sheet'!F12,'Balance Sheet'!F13)-SUM('Balance Sheet'!F36,'Balance Sheet'!F39,'Balance Sheet'!F37)</f>
        <v>1584.3079999999998</v>
      </c>
      <c r="H53" s="387">
        <f>SUM('Balance Sheet'!G11,'Balance Sheet'!G12,'Balance Sheet'!G13)-SUM('Balance Sheet'!G36,'Balance Sheet'!G39,'Balance Sheet'!G37)</f>
        <v>1532.643</v>
      </c>
      <c r="I53" s="103"/>
      <c r="J53" s="103"/>
      <c r="K53" s="103"/>
      <c r="L53" s="386" t="s">
        <v>317</v>
      </c>
    </row>
    <row r="54" spans="2:16">
      <c r="B54" s="5" t="s">
        <v>12</v>
      </c>
      <c r="D54" s="9"/>
      <c r="E54" s="9">
        <f>E53-D53</f>
        <v>-301.73100000000022</v>
      </c>
      <c r="F54" s="9">
        <f t="shared" ref="F54:H54" si="14">F53-E53</f>
        <v>366.17200000000025</v>
      </c>
      <c r="G54" s="9">
        <f t="shared" si="14"/>
        <v>415.64299999999957</v>
      </c>
      <c r="H54" s="9">
        <f t="shared" si="14"/>
        <v>-51.664999999999736</v>
      </c>
      <c r="I54" s="128">
        <f>I55*I11</f>
        <v>202.48995630306393</v>
      </c>
      <c r="J54" s="9">
        <f>J55*J11</f>
        <v>211.79487825754654</v>
      </c>
      <c r="K54" s="9">
        <f>K55*K11</f>
        <v>157.86228975373271</v>
      </c>
      <c r="O54" s="386"/>
      <c r="P54" s="386"/>
    </row>
    <row r="55" spans="2:16">
      <c r="B55" s="5" t="s">
        <v>140</v>
      </c>
      <c r="D55" s="9"/>
      <c r="E55" s="129">
        <f>E54/E11</f>
        <v>-3.1482718107850381E-2</v>
      </c>
      <c r="F55" s="129">
        <f>F54/F11</f>
        <v>2.9786136755015121E-2</v>
      </c>
      <c r="G55" s="129">
        <f>G54/G11</f>
        <v>3.3605779337332803E-2</v>
      </c>
      <c r="H55" s="129">
        <f>H54/H11</f>
        <v>-3.9790055759218552E-3</v>
      </c>
      <c r="I55" s="130">
        <v>1.4999999999999999E-2</v>
      </c>
      <c r="J55" s="130">
        <v>1.4999999999999999E-2</v>
      </c>
      <c r="K55" s="130">
        <f t="shared" ref="K55" si="15">AVERAGE($E$55:$G$55)</f>
        <v>1.0636399328165846E-2</v>
      </c>
      <c r="L55" s="88" t="s">
        <v>318</v>
      </c>
      <c r="O55" s="386"/>
      <c r="P55" s="386"/>
    </row>
    <row r="56" spans="2:16">
      <c r="B56" s="5"/>
      <c r="D56" s="9"/>
      <c r="E56" s="129"/>
      <c r="F56" s="129"/>
      <c r="G56" s="129"/>
      <c r="H56" s="129"/>
      <c r="I56" s="130"/>
      <c r="J56" s="131"/>
      <c r="K56" s="131"/>
      <c r="L56" s="88" t="s">
        <v>319</v>
      </c>
      <c r="O56" s="386"/>
      <c r="P56" s="386"/>
    </row>
    <row r="57" spans="2:16">
      <c r="B57" s="5" t="s">
        <v>182</v>
      </c>
      <c r="D57" s="9">
        <f>SUM('Balance Sheet'!C43:C44)</f>
        <v>2677.4459999999999</v>
      </c>
      <c r="E57" s="9">
        <f>SUM('Balance Sheet'!D43:D44)</f>
        <v>2677.4459999999999</v>
      </c>
      <c r="F57" s="9">
        <f>SUM('Balance Sheet'!E43:E44)</f>
        <v>4029.8760000000002</v>
      </c>
      <c r="G57" s="9">
        <f>SUM('Balance Sheet'!F43:F44)</f>
        <v>3658.38</v>
      </c>
      <c r="H57" s="9">
        <f>SUM('Balance Sheet'!G43:G44)</f>
        <v>3770.9740000000002</v>
      </c>
      <c r="I57" s="298">
        <f>AVERAGE($D$57:$H$57)</f>
        <v>3362.8244000000004</v>
      </c>
      <c r="J57" s="298">
        <f t="shared" ref="J57:K57" si="16">AVERAGE($D$57:$H$57)</f>
        <v>3362.8244000000004</v>
      </c>
      <c r="K57" s="298">
        <f t="shared" si="16"/>
        <v>3362.8244000000004</v>
      </c>
      <c r="L57" s="88" t="s">
        <v>320</v>
      </c>
      <c r="O57" s="386"/>
      <c r="P57" s="386"/>
    </row>
    <row r="58" spans="2:16">
      <c r="B58" s="5" t="s">
        <v>11</v>
      </c>
      <c r="D58" s="9">
        <f>SUM('Balance Sheet'!C43:C44)-'Balance Sheet'!C10</f>
        <v>2608.1120000000001</v>
      </c>
      <c r="E58" s="9">
        <f>SUM('Balance Sheet'!D43:D44)-'Balance Sheet'!D10</f>
        <v>1019.3789999999999</v>
      </c>
      <c r="F58" s="9">
        <f>SUM('Balance Sheet'!E43:E44)-'Balance Sheet'!E10</f>
        <v>1386.6710000000003</v>
      </c>
      <c r="G58" s="9">
        <f>SUM('Balance Sheet'!F43:F44)-'Balance Sheet'!F10</f>
        <v>1733.9940000000001</v>
      </c>
      <c r="H58" s="9">
        <f>SUM('Balance Sheet'!G43:G44)-'Balance Sheet'!G10</f>
        <v>1969.7540000000001</v>
      </c>
      <c r="I58" s="360">
        <f>I57-'Balance Sheet'!$G$10</f>
        <v>1561.6044000000004</v>
      </c>
      <c r="J58" s="361">
        <f>J57-'Balance Sheet'!$G$10</f>
        <v>1561.6044000000004</v>
      </c>
      <c r="K58" s="361">
        <f>K57-'Balance Sheet'!$G$10</f>
        <v>1561.6044000000004</v>
      </c>
      <c r="O58" s="386"/>
      <c r="P58" s="386"/>
    </row>
    <row r="59" spans="2:16">
      <c r="B59" s="5" t="s">
        <v>10</v>
      </c>
      <c r="D59" s="11">
        <f>D58/D66</f>
        <v>3.6331257748617451</v>
      </c>
      <c r="E59" s="11">
        <f t="shared" ref="E59:G59" si="17">E58/E66</f>
        <v>0.83727915629697136</v>
      </c>
      <c r="F59" s="11">
        <f t="shared" si="17"/>
        <v>0.58131348489358203</v>
      </c>
      <c r="G59" s="11">
        <f t="shared" si="17"/>
        <v>0.92533966593734929</v>
      </c>
      <c r="H59" s="11">
        <f>H58/H66</f>
        <v>1.0892668926578668</v>
      </c>
      <c r="I59" s="11">
        <f t="shared" ref="I59:K59" si="18">I58/I66</f>
        <v>0.81110739470197013</v>
      </c>
      <c r="J59" s="11">
        <f t="shared" si="18"/>
        <v>0.77547248668862379</v>
      </c>
      <c r="K59" s="11">
        <f t="shared" si="18"/>
        <v>0.73774593375222164</v>
      </c>
      <c r="P59" s="386"/>
    </row>
    <row r="60" spans="2:16">
      <c r="B60" s="5" t="s">
        <v>181</v>
      </c>
      <c r="D60" s="297">
        <f>D28/D57</f>
        <v>6.3493344030094356E-3</v>
      </c>
      <c r="E60" s="297">
        <f>E28/E57</f>
        <v>1.8301022691027197E-2</v>
      </c>
      <c r="F60" s="297">
        <f>F28/F57</f>
        <v>1.4392502399577555E-2</v>
      </c>
      <c r="G60" s="297">
        <f>G28/G57</f>
        <v>2.5967778087568814E-2</v>
      </c>
      <c r="H60" s="297">
        <f>H28/H57</f>
        <v>1.538064171219425E-2</v>
      </c>
      <c r="I60" s="297">
        <f t="shared" ref="I60:K60" si="19">I28/I57</f>
        <v>1.6355299432227265E-2</v>
      </c>
      <c r="J60" s="297">
        <f t="shared" si="19"/>
        <v>1.6355299432227265E-2</v>
      </c>
      <c r="K60" s="297">
        <f t="shared" si="19"/>
        <v>1.6355299432227265E-2</v>
      </c>
      <c r="L60" s="88" t="s">
        <v>321</v>
      </c>
      <c r="O60" s="386"/>
      <c r="P60" s="386"/>
    </row>
    <row r="63" spans="2:16">
      <c r="B63" s="121" t="s">
        <v>152</v>
      </c>
      <c r="C63" s="121"/>
      <c r="D63" s="121"/>
      <c r="E63" s="121"/>
      <c r="F63" s="121"/>
      <c r="G63" s="121"/>
      <c r="H63" s="121"/>
      <c r="I63" s="122"/>
      <c r="J63" s="122"/>
      <c r="K63" s="122"/>
    </row>
    <row r="64" spans="2:16" ht="17">
      <c r="D64" s="150" t="str">
        <f t="shared" ref="D64:K64" si="20">D8</f>
        <v>2020A</v>
      </c>
      <c r="E64" s="150" t="str">
        <f t="shared" si="20"/>
        <v>2021A</v>
      </c>
      <c r="F64" s="150" t="str">
        <f t="shared" si="20"/>
        <v>2022A</v>
      </c>
      <c r="G64" s="150" t="str">
        <f t="shared" si="20"/>
        <v>2023A</v>
      </c>
      <c r="H64" s="150" t="str">
        <f>H8</f>
        <v>2024A</v>
      </c>
      <c r="I64" s="150" t="str">
        <f t="shared" si="20"/>
        <v>2025E</v>
      </c>
      <c r="J64" s="150" t="str">
        <f t="shared" si="20"/>
        <v>2026F</v>
      </c>
      <c r="K64" s="150" t="str">
        <f t="shared" si="20"/>
        <v>2027F</v>
      </c>
    </row>
    <row r="65" spans="2:11">
      <c r="C65" s="118"/>
      <c r="D65" s="132"/>
      <c r="E65" s="93"/>
      <c r="F65" s="93"/>
      <c r="G65" s="93"/>
      <c r="H65" s="151"/>
      <c r="I65" s="139"/>
    </row>
    <row r="66" spans="2:11">
      <c r="B66" s="17" t="s">
        <v>21</v>
      </c>
      <c r="D66" s="133">
        <f t="shared" ref="D66:K66" si="21">D25+D48</f>
        <v>717.86999999999978</v>
      </c>
      <c r="E66" s="133">
        <f t="shared" si="21"/>
        <v>1217.4900000000002</v>
      </c>
      <c r="F66" s="133">
        <f t="shared" si="21"/>
        <v>2385.4100000000012</v>
      </c>
      <c r="G66" s="133">
        <f t="shared" si="21"/>
        <v>1873.9000000000015</v>
      </c>
      <c r="H66" s="152">
        <f t="shared" si="21"/>
        <v>1808.33</v>
      </c>
      <c r="I66" s="140">
        <f t="shared" si="21"/>
        <v>1925.274519995949</v>
      </c>
      <c r="J66" s="133">
        <f t="shared" si="21"/>
        <v>2013.7457186498905</v>
      </c>
      <c r="K66" s="133">
        <f t="shared" si="21"/>
        <v>2116.7238320888919</v>
      </c>
    </row>
    <row r="67" spans="2:11">
      <c r="B67" s="16" t="s">
        <v>136</v>
      </c>
      <c r="D67" s="74">
        <f t="shared" ref="D67:K67" si="22">D66/D11</f>
        <v>8.2035347867723166E-2</v>
      </c>
      <c r="E67" s="74">
        <f t="shared" si="22"/>
        <v>0.12703333256817079</v>
      </c>
      <c r="F67" s="74">
        <f t="shared" si="22"/>
        <v>0.19404036484706805</v>
      </c>
      <c r="G67" s="74">
        <f t="shared" si="22"/>
        <v>0.15150951634029214</v>
      </c>
      <c r="H67" s="153">
        <f t="shared" si="22"/>
        <v>0.13926943100951911</v>
      </c>
      <c r="I67" s="141">
        <f>I66/I11</f>
        <v>0.14262000114571735</v>
      </c>
      <c r="J67" s="74">
        <f t="shared" si="22"/>
        <v>0.14262000114571735</v>
      </c>
      <c r="K67" s="74">
        <f t="shared" si="22"/>
        <v>0.14262000114571735</v>
      </c>
    </row>
    <row r="68" spans="2:11">
      <c r="B68" s="137" t="s">
        <v>20</v>
      </c>
      <c r="C68" s="109"/>
      <c r="D68" s="138"/>
      <c r="E68" s="138"/>
      <c r="F68" s="138"/>
      <c r="G68" s="138"/>
      <c r="H68" s="154"/>
      <c r="I68" s="410">
        <v>1886</v>
      </c>
      <c r="J68" s="411">
        <v>2007.6</v>
      </c>
      <c r="K68" s="411">
        <v>2057</v>
      </c>
    </row>
    <row r="69" spans="2:11">
      <c r="B69" s="16"/>
      <c r="D69" s="12"/>
      <c r="E69" s="12"/>
      <c r="F69" s="12"/>
      <c r="G69" s="12"/>
      <c r="H69" s="155"/>
      <c r="I69" s="142"/>
      <c r="J69" s="15"/>
      <c r="K69" s="15"/>
    </row>
    <row r="70" spans="2:11">
      <c r="B70" s="17" t="s">
        <v>138</v>
      </c>
      <c r="D70" s="85">
        <f t="shared" ref="D70:K70" si="23">D85-D28</f>
        <v>361.56739270937868</v>
      </c>
      <c r="E70" s="85">
        <f t="shared" si="23"/>
        <v>1009.77784542941</v>
      </c>
      <c r="F70" s="85">
        <f t="shared" si="23"/>
        <v>1116.5445042807498</v>
      </c>
      <c r="G70" s="85">
        <f t="shared" si="23"/>
        <v>584.93873649234513</v>
      </c>
      <c r="H70" s="156">
        <f t="shared" si="23"/>
        <v>923.18656656022654</v>
      </c>
      <c r="I70" s="143">
        <f t="shared" si="23"/>
        <v>745.58734862029587</v>
      </c>
      <c r="J70" s="85">
        <f t="shared" si="23"/>
        <v>782.37634760407104</v>
      </c>
      <c r="K70" s="85">
        <f t="shared" si="23"/>
        <v>889.9610295738612</v>
      </c>
    </row>
    <row r="71" spans="2:11">
      <c r="B71" s="16"/>
      <c r="D71" s="12"/>
      <c r="E71" s="12"/>
      <c r="F71" s="12"/>
      <c r="G71" s="12"/>
      <c r="H71" s="155"/>
      <c r="I71" s="142"/>
      <c r="J71" s="15"/>
      <c r="K71" s="15"/>
    </row>
    <row r="72" spans="2:11">
      <c r="B72" s="12" t="s">
        <v>19</v>
      </c>
      <c r="D72" s="14">
        <f t="shared" ref="D72:K72" si="24">D70/D37</f>
        <v>4.0593622174624304</v>
      </c>
      <c r="E72" s="14">
        <f t="shared" si="24"/>
        <v>10.900019920438364</v>
      </c>
      <c r="F72" s="14">
        <f t="shared" si="24"/>
        <v>10.189309219572458</v>
      </c>
      <c r="G72" s="14">
        <f t="shared" si="24"/>
        <v>5.8924018987845788</v>
      </c>
      <c r="H72" s="157">
        <f t="shared" si="24"/>
        <v>10.743472204820511</v>
      </c>
      <c r="I72" s="144">
        <f t="shared" si="24"/>
        <v>8.8308344027039656</v>
      </c>
      <c r="J72" s="14">
        <f t="shared" si="24"/>
        <v>9.4341775907882663</v>
      </c>
      <c r="K72" s="14">
        <f t="shared" si="24"/>
        <v>10.915749166857122</v>
      </c>
    </row>
    <row r="73" spans="2:11">
      <c r="B73" s="12" t="s">
        <v>18</v>
      </c>
      <c r="D73" s="12"/>
      <c r="E73" s="12">
        <f>E70/D70 - 1</f>
        <v>1.7927790663386816</v>
      </c>
      <c r="F73" s="12">
        <f t="shared" ref="F73:J73" si="25">F70/E70 - 1</f>
        <v>0.10573281968365733</v>
      </c>
      <c r="G73" s="12">
        <f t="shared" si="25"/>
        <v>-0.47611695346693939</v>
      </c>
      <c r="H73" s="155">
        <f t="shared" si="25"/>
        <v>0.57826197679474078</v>
      </c>
      <c r="I73" s="142">
        <f t="shared" si="25"/>
        <v>-0.19237630222638702</v>
      </c>
      <c r="J73" s="12">
        <f t="shared" si="25"/>
        <v>4.9342305836939104E-2</v>
      </c>
      <c r="K73" s="12">
        <f>K70/J70 - 1</f>
        <v>0.13751014112230608</v>
      </c>
    </row>
    <row r="74" spans="2:11">
      <c r="B74" s="137" t="s">
        <v>17</v>
      </c>
      <c r="C74" s="109"/>
      <c r="D74" s="138"/>
      <c r="E74" s="138"/>
      <c r="F74" s="138"/>
      <c r="G74" s="138"/>
      <c r="H74" s="154"/>
      <c r="I74" s="412">
        <v>10.119999999999999</v>
      </c>
      <c r="J74" s="413">
        <v>11.88</v>
      </c>
      <c r="K74" s="413">
        <v>13.65</v>
      </c>
    </row>
    <row r="75" spans="2:11">
      <c r="D75" s="94"/>
      <c r="E75" s="94"/>
      <c r="F75" s="94"/>
      <c r="G75" s="94"/>
      <c r="H75" s="94"/>
    </row>
    <row r="76" spans="2:11">
      <c r="D76" s="94"/>
      <c r="E76" s="94"/>
      <c r="F76" s="94"/>
      <c r="G76" s="94"/>
      <c r="H76" s="94"/>
    </row>
    <row r="77" spans="2:11">
      <c r="B77" s="121" t="s">
        <v>154</v>
      </c>
      <c r="C77" s="121"/>
      <c r="D77" s="121"/>
      <c r="E77" s="121"/>
      <c r="F77" s="121"/>
      <c r="G77" s="121"/>
      <c r="H77" s="121"/>
      <c r="I77" s="122"/>
      <c r="J77" s="122"/>
      <c r="K77" s="122"/>
    </row>
    <row r="78" spans="2:11" ht="17">
      <c r="B78" s="120"/>
      <c r="C78" s="120"/>
      <c r="D78" s="113" t="str">
        <f t="shared" ref="D78:K78" si="26">D8</f>
        <v>2020A</v>
      </c>
      <c r="E78" s="113" t="str">
        <f t="shared" si="26"/>
        <v>2021A</v>
      </c>
      <c r="F78" s="113" t="str">
        <f t="shared" si="26"/>
        <v>2022A</v>
      </c>
      <c r="G78" s="113" t="str">
        <f t="shared" si="26"/>
        <v>2023A</v>
      </c>
      <c r="H78" s="113" t="str">
        <f>H8</f>
        <v>2024A</v>
      </c>
      <c r="I78" s="113" t="str">
        <f t="shared" si="26"/>
        <v>2025E</v>
      </c>
      <c r="J78" s="113" t="str">
        <f t="shared" si="26"/>
        <v>2026F</v>
      </c>
      <c r="K78" s="113" t="str">
        <f t="shared" si="26"/>
        <v>2027F</v>
      </c>
    </row>
    <row r="79" spans="2:11">
      <c r="B79" s="120"/>
      <c r="C79" s="120"/>
      <c r="D79" s="113"/>
      <c r="E79" s="113"/>
      <c r="F79" s="113"/>
      <c r="G79" s="113"/>
      <c r="H79" s="113"/>
      <c r="I79" s="145"/>
      <c r="J79" s="113"/>
      <c r="K79" s="113"/>
    </row>
    <row r="80" spans="2:11">
      <c r="B80" s="6" t="s">
        <v>8</v>
      </c>
      <c r="D80" s="84">
        <f t="shared" ref="D80:K80" si="27">D25</f>
        <v>447.4699999999998</v>
      </c>
      <c r="E80" s="84">
        <f t="shared" si="27"/>
        <v>927.49000000000024</v>
      </c>
      <c r="F80" s="84">
        <f t="shared" si="27"/>
        <v>2062.8100000000013</v>
      </c>
      <c r="G80" s="84">
        <f t="shared" si="27"/>
        <v>1508.4000000000015</v>
      </c>
      <c r="H80" s="84">
        <f t="shared" si="27"/>
        <v>1414.4299999999998</v>
      </c>
      <c r="I80" s="158">
        <f t="shared" si="27"/>
        <v>1527.6146780628342</v>
      </c>
      <c r="J80" s="84">
        <f t="shared" si="27"/>
        <v>1597.8124084362971</v>
      </c>
      <c r="K80" s="84">
        <f t="shared" si="27"/>
        <v>1679.5206926185283</v>
      </c>
    </row>
    <row r="81" spans="2:12">
      <c r="B81" s="8" t="s">
        <v>155</v>
      </c>
      <c r="D81" s="9">
        <f t="shared" ref="D81:K81" si="28">D48</f>
        <v>270.39999999999998</v>
      </c>
      <c r="E81" s="9">
        <f t="shared" si="28"/>
        <v>290</v>
      </c>
      <c r="F81" s="9">
        <f t="shared" si="28"/>
        <v>322.60000000000002</v>
      </c>
      <c r="G81" s="9">
        <f t="shared" si="28"/>
        <v>365.5</v>
      </c>
      <c r="H81" s="9">
        <f t="shared" si="28"/>
        <v>393.9</v>
      </c>
      <c r="I81" s="128">
        <f t="shared" si="28"/>
        <v>397.65984193311488</v>
      </c>
      <c r="J81" s="9">
        <f t="shared" si="28"/>
        <v>415.93331021359342</v>
      </c>
      <c r="K81" s="9">
        <f t="shared" si="28"/>
        <v>437.2031394703634</v>
      </c>
    </row>
    <row r="82" spans="2:12">
      <c r="B82" s="8" t="s">
        <v>156</v>
      </c>
      <c r="D82" s="9">
        <f t="shared" ref="D82:K82" si="29">-D50</f>
        <v>-218.8</v>
      </c>
      <c r="E82" s="9">
        <f t="shared" si="29"/>
        <v>-224.2</v>
      </c>
      <c r="F82" s="9">
        <f t="shared" si="29"/>
        <v>-353.7</v>
      </c>
      <c r="G82" s="9">
        <f t="shared" si="29"/>
        <v>-407.2</v>
      </c>
      <c r="H82" s="9">
        <f t="shared" si="29"/>
        <v>-587.4</v>
      </c>
      <c r="I82" s="128">
        <f t="shared" si="29"/>
        <v>-607.46986890919186</v>
      </c>
      <c r="J82" s="9">
        <f t="shared" si="29"/>
        <v>-635.38463477263963</v>
      </c>
      <c r="K82" s="9">
        <f t="shared" si="29"/>
        <v>-667.87667703549448</v>
      </c>
    </row>
    <row r="83" spans="2:12">
      <c r="B83" s="8" t="s">
        <v>160</v>
      </c>
      <c r="D83" s="148">
        <f>-D54</f>
        <v>0</v>
      </c>
      <c r="E83" s="148">
        <f t="shared" ref="E83:K83" si="30">-E54</f>
        <v>301.73100000000022</v>
      </c>
      <c r="F83" s="148">
        <f t="shared" si="30"/>
        <v>-366.17200000000025</v>
      </c>
      <c r="G83" s="148">
        <f t="shared" si="30"/>
        <v>-415.64299999999957</v>
      </c>
      <c r="H83" s="148">
        <f t="shared" si="30"/>
        <v>51.664999999999736</v>
      </c>
      <c r="I83" s="128">
        <f t="shared" si="30"/>
        <v>-202.48995630306393</v>
      </c>
      <c r="J83" s="148">
        <f t="shared" si="30"/>
        <v>-211.79487825754654</v>
      </c>
      <c r="K83" s="148">
        <f t="shared" si="30"/>
        <v>-157.86228975373271</v>
      </c>
    </row>
    <row r="84" spans="2:12">
      <c r="B84" s="8" t="s">
        <v>157</v>
      </c>
      <c r="D84" s="148">
        <f t="shared" ref="D84:H84" si="31">-D80*D33</f>
        <v>-120.5026072906211</v>
      </c>
      <c r="E84" s="148">
        <f t="shared" si="31"/>
        <v>-236.24315457059041</v>
      </c>
      <c r="F84" s="148">
        <f t="shared" si="31"/>
        <v>-490.99349571925109</v>
      </c>
      <c r="G84" s="148">
        <f t="shared" si="31"/>
        <v>-371.11826350765671</v>
      </c>
      <c r="H84" s="148">
        <f t="shared" si="31"/>
        <v>-291.40843343977309</v>
      </c>
      <c r="I84" s="128">
        <f>-I80*I33</f>
        <v>-314.72734616339716</v>
      </c>
      <c r="J84" s="148">
        <f>-J80*J33</f>
        <v>-329.18985801563332</v>
      </c>
      <c r="K84" s="148">
        <f>-K80*K33</f>
        <v>-346.02383572580334</v>
      </c>
    </row>
    <row r="85" spans="2:12">
      <c r="B85" s="149" t="s">
        <v>7</v>
      </c>
      <c r="C85" s="109"/>
      <c r="D85" s="149">
        <f>SUM(D80:D84)</f>
        <v>378.56739270937868</v>
      </c>
      <c r="E85" s="149">
        <f t="shared" ref="E85:H85" si="32">SUM(E80:E84)</f>
        <v>1058.77784542941</v>
      </c>
      <c r="F85" s="149">
        <f t="shared" si="32"/>
        <v>1174.5445042807498</v>
      </c>
      <c r="G85" s="149">
        <f t="shared" si="32"/>
        <v>679.93873649234513</v>
      </c>
      <c r="H85" s="149">
        <f t="shared" si="32"/>
        <v>981.18656656022654</v>
      </c>
      <c r="I85" s="159">
        <f>SUM(I80:I84)</f>
        <v>800.58734862029587</v>
      </c>
      <c r="J85" s="149">
        <f>SUM(J80:J84)</f>
        <v>837.37634760407104</v>
      </c>
      <c r="K85" s="149">
        <f>SUM(K80:K84)</f>
        <v>944.9610295738612</v>
      </c>
    </row>
    <row r="86" spans="2:12">
      <c r="D86" s="6"/>
      <c r="E86" s="6"/>
      <c r="F86" s="6"/>
      <c r="G86" s="6"/>
      <c r="H86" s="6"/>
      <c r="I86" s="6"/>
      <c r="J86" s="6"/>
      <c r="K86" s="6"/>
    </row>
    <row r="87" spans="2:12">
      <c r="B87" s="121" t="s">
        <v>168</v>
      </c>
      <c r="C87" s="121"/>
      <c r="D87" s="121"/>
      <c r="E87" s="121"/>
      <c r="F87" s="121"/>
      <c r="G87" s="121"/>
      <c r="H87" s="121"/>
      <c r="I87" s="122"/>
      <c r="J87" s="122"/>
      <c r="K87" s="122"/>
    </row>
    <row r="88" spans="2:12">
      <c r="B88" s="160" t="s">
        <v>158</v>
      </c>
      <c r="C88" s="388">
        <v>8.1699999999999995E-2</v>
      </c>
      <c r="D88" s="120"/>
      <c r="E88" s="120"/>
      <c r="F88" s="120"/>
      <c r="G88" s="120"/>
      <c r="H88" s="120"/>
      <c r="I88" s="95"/>
      <c r="J88" s="95"/>
      <c r="K88" s="95"/>
    </row>
    <row r="89" spans="2:12">
      <c r="D89" s="6"/>
      <c r="E89" s="6"/>
      <c r="F89" s="6"/>
      <c r="G89" s="6"/>
      <c r="H89" s="6"/>
      <c r="I89" s="6"/>
      <c r="J89" s="6"/>
      <c r="K89" s="6"/>
    </row>
    <row r="90" spans="2:12">
      <c r="B90" s="7" t="s">
        <v>159</v>
      </c>
      <c r="C90" s="92"/>
      <c r="D90" s="195"/>
      <c r="E90" s="195"/>
      <c r="F90" s="195"/>
      <c r="G90" s="195"/>
      <c r="H90" s="195"/>
      <c r="I90" s="7">
        <f>I85/(1+$C$88)^I$9</f>
        <v>740.11957901478763</v>
      </c>
      <c r="J90" s="7">
        <f>J85/(1+$C$88)^J$9</f>
        <v>715.66047161653978</v>
      </c>
      <c r="K90" s="7">
        <f>K85/(1+$C$88)^K$9</f>
        <v>746.60932408761823</v>
      </c>
    </row>
    <row r="91" spans="2:12">
      <c r="B91" s="10" t="s">
        <v>166</v>
      </c>
      <c r="C91" s="87"/>
      <c r="D91" s="87"/>
      <c r="E91" s="10"/>
      <c r="F91" s="10"/>
      <c r="G91" s="10"/>
      <c r="H91" s="10"/>
      <c r="I91" s="10"/>
      <c r="J91" s="10"/>
      <c r="K91" s="10">
        <f>SUM(I90:K90)</f>
        <v>2202.3893747189459</v>
      </c>
    </row>
    <row r="92" spans="2:12">
      <c r="B92" s="5"/>
      <c r="E92" s="6"/>
      <c r="F92" s="6"/>
      <c r="G92" s="6"/>
      <c r="H92" s="6"/>
      <c r="I92" s="6"/>
      <c r="J92" s="6"/>
      <c r="K92" s="5"/>
    </row>
    <row r="93" spans="2:12">
      <c r="B93" s="6"/>
      <c r="D93" s="91" t="s">
        <v>6</v>
      </c>
      <c r="E93" s="6"/>
      <c r="F93" s="161" t="s">
        <v>162</v>
      </c>
      <c r="G93" s="6"/>
      <c r="H93" s="6"/>
      <c r="I93" s="161" t="s">
        <v>163</v>
      </c>
      <c r="J93" s="161" t="s">
        <v>164</v>
      </c>
      <c r="K93" s="6"/>
    </row>
    <row r="94" spans="2:12" ht="17">
      <c r="B94" s="113" t="s">
        <v>5</v>
      </c>
      <c r="D94" s="113" t="s">
        <v>161</v>
      </c>
      <c r="E94" s="113" t="s">
        <v>4</v>
      </c>
      <c r="F94" s="113" t="s">
        <v>4</v>
      </c>
      <c r="G94" s="113" t="s">
        <v>3</v>
      </c>
      <c r="H94" s="113" t="s">
        <v>2</v>
      </c>
      <c r="I94" s="113" t="s">
        <v>2</v>
      </c>
      <c r="J94" s="113" t="s">
        <v>165</v>
      </c>
      <c r="K94" s="113"/>
    </row>
    <row r="95" spans="2:12">
      <c r="B95" s="6" t="s">
        <v>288</v>
      </c>
      <c r="D95" s="398">
        <v>11.8</v>
      </c>
      <c r="E95" s="5">
        <f>D95*K66</f>
        <v>24977.341218648926</v>
      </c>
      <c r="F95" s="5">
        <f>E95/(1+$C$88)^3</f>
        <v>19734.481381915728</v>
      </c>
      <c r="G95" s="5">
        <f>(F95+$K$91) - $H$58 - 'Balance Sheet'!G53</f>
        <v>17349.835756634675</v>
      </c>
      <c r="H95" s="5">
        <f>$H$37</f>
        <v>85.93</v>
      </c>
      <c r="I95" s="3">
        <f>G95/H95</f>
        <v>201.90661883666559</v>
      </c>
      <c r="J95" s="76">
        <f>I95/$D$101 - 1</f>
        <v>4.0755767199307069E-2</v>
      </c>
      <c r="K95" s="6"/>
      <c r="L95" s="88" t="s">
        <v>358</v>
      </c>
    </row>
    <row r="96" spans="2:12">
      <c r="B96" s="6"/>
      <c r="D96" s="422"/>
      <c r="E96" s="6"/>
      <c r="F96" s="6"/>
      <c r="G96" s="6"/>
      <c r="H96" s="6"/>
      <c r="I96" s="6"/>
      <c r="J96" s="6"/>
      <c r="K96" s="6"/>
      <c r="L96" s="88" t="s">
        <v>339</v>
      </c>
    </row>
    <row r="97" spans="2:11">
      <c r="B97" s="6"/>
      <c r="C97" s="426" t="s">
        <v>307</v>
      </c>
      <c r="D97" s="426">
        <v>10.77</v>
      </c>
      <c r="E97" s="6"/>
      <c r="F97" s="6"/>
      <c r="G97" s="6"/>
      <c r="H97" s="6"/>
      <c r="I97" s="6"/>
      <c r="J97" s="6"/>
      <c r="K97" s="6"/>
    </row>
    <row r="98" spans="2:11">
      <c r="B98" s="116" t="s">
        <v>169</v>
      </c>
      <c r="C98" s="116"/>
      <c r="D98" s="116"/>
      <c r="E98" s="116"/>
      <c r="F98" s="116"/>
      <c r="G98" s="116"/>
      <c r="H98" s="116"/>
      <c r="I98" s="165"/>
      <c r="J98" s="165"/>
      <c r="K98" s="165"/>
    </row>
    <row r="99" spans="2:11">
      <c r="B99" s="120"/>
      <c r="C99" s="120"/>
      <c r="D99" s="120"/>
      <c r="E99" s="120"/>
      <c r="F99" s="120"/>
      <c r="G99" s="120"/>
      <c r="H99" s="120"/>
      <c r="I99" s="95"/>
      <c r="J99" s="95"/>
      <c r="K99" s="95"/>
    </row>
    <row r="100" spans="2:11">
      <c r="B100" s="5" t="s">
        <v>1</v>
      </c>
      <c r="D100" s="162">
        <f>AVERAGE(I95:I95)</f>
        <v>201.90661883666559</v>
      </c>
      <c r="E100" s="6"/>
      <c r="F100" s="442"/>
      <c r="G100" s="6"/>
      <c r="H100" s="6"/>
      <c r="I100" s="6"/>
      <c r="J100" s="6"/>
      <c r="K100" s="6"/>
    </row>
    <row r="101" spans="2:11">
      <c r="B101" s="88" t="s">
        <v>0</v>
      </c>
      <c r="D101" s="365">
        <v>194</v>
      </c>
    </row>
    <row r="102" spans="2:11">
      <c r="B102" s="88" t="s">
        <v>167</v>
      </c>
      <c r="D102" s="164">
        <f>D100/D101 - 1</f>
        <v>4.0755767199307069E-2</v>
      </c>
    </row>
    <row r="103" spans="2:11">
      <c r="D103" s="119"/>
      <c r="E103" s="119"/>
      <c r="F103" s="119"/>
      <c r="G103" s="119"/>
      <c r="H103" s="119"/>
      <c r="I103" s="119"/>
      <c r="J103" s="119"/>
      <c r="K103" s="119"/>
    </row>
    <row r="107" spans="2:11" ht="12" customHeight="1"/>
    <row r="110" spans="2:11">
      <c r="B110" s="116" t="s">
        <v>348</v>
      </c>
      <c r="C110" s="116"/>
      <c r="D110" s="116"/>
      <c r="E110" s="116"/>
      <c r="F110" s="116"/>
      <c r="G110" s="116"/>
      <c r="H110" s="116"/>
      <c r="I110" s="165"/>
      <c r="J110" s="165"/>
      <c r="K110" s="165"/>
    </row>
    <row r="112" spans="2:11" ht="17" thickBot="1"/>
    <row r="113" spans="2:10" ht="17" thickBot="1">
      <c r="C113" s="485">
        <f>D100</f>
        <v>201.90661883666559</v>
      </c>
      <c r="D113" s="486">
        <v>7</v>
      </c>
      <c r="E113" s="486">
        <v>8</v>
      </c>
      <c r="F113" s="486">
        <v>9</v>
      </c>
      <c r="G113" s="486">
        <v>10</v>
      </c>
      <c r="H113" s="486">
        <v>11</v>
      </c>
      <c r="I113" s="486">
        <v>12</v>
      </c>
      <c r="J113" s="487">
        <v>13</v>
      </c>
    </row>
    <row r="114" spans="2:10">
      <c r="C114" s="488">
        <v>0.06</v>
      </c>
      <c r="D114" s="476">
        <f t="dataTable" ref="D114:J120" dt2D="1" dtr="1" r1="D95" r2="C88"/>
        <v>118.09147652739559</v>
      </c>
      <c r="E114" s="477">
        <v>138.7739174243566</v>
      </c>
      <c r="F114" s="477">
        <v>159.45635832131768</v>
      </c>
      <c r="G114" s="477">
        <v>180.13879921827871</v>
      </c>
      <c r="H114" s="477">
        <v>200.82124011523968</v>
      </c>
      <c r="I114" s="477">
        <v>221.50368101220076</v>
      </c>
      <c r="J114" s="478">
        <v>242.18612190916178</v>
      </c>
    </row>
    <row r="115" spans="2:10">
      <c r="B115" s="88" t="s">
        <v>349</v>
      </c>
      <c r="C115" s="488">
        <v>7.0000000000000007E-2</v>
      </c>
      <c r="D115" s="479">
        <v>113.5701650222063</v>
      </c>
      <c r="E115" s="480">
        <v>133.67812696912156</v>
      </c>
      <c r="F115" s="480">
        <v>153.7860889160369</v>
      </c>
      <c r="G115" s="480">
        <v>173.89405086295218</v>
      </c>
      <c r="H115" s="480">
        <v>194.00201280986744</v>
      </c>
      <c r="I115" s="480">
        <v>214.10997475678275</v>
      </c>
      <c r="J115" s="481">
        <v>234.217936703698</v>
      </c>
    </row>
    <row r="116" spans="2:10">
      <c r="B116" s="88" t="s">
        <v>350</v>
      </c>
      <c r="C116" s="488">
        <v>0.08</v>
      </c>
      <c r="D116" s="479">
        <v>109.21180875803729</v>
      </c>
      <c r="E116" s="480">
        <v>128.76637204499096</v>
      </c>
      <c r="F116" s="480">
        <v>148.32093533194464</v>
      </c>
      <c r="G116" s="480">
        <v>167.87549861889823</v>
      </c>
      <c r="H116" s="480">
        <v>187.43006190585186</v>
      </c>
      <c r="I116" s="480">
        <v>206.98462519280548</v>
      </c>
      <c r="J116" s="481">
        <v>226.53918847975916</v>
      </c>
    </row>
    <row r="117" spans="2:10">
      <c r="C117" s="488">
        <v>0.09</v>
      </c>
      <c r="D117" s="479">
        <v>105.00906838076585</v>
      </c>
      <c r="E117" s="480">
        <v>124.03035518386829</v>
      </c>
      <c r="F117" s="480">
        <v>143.05164198697074</v>
      </c>
      <c r="G117" s="480">
        <v>162.07292879007318</v>
      </c>
      <c r="H117" s="480">
        <v>181.09421559317559</v>
      </c>
      <c r="I117" s="480">
        <v>200.11550239627803</v>
      </c>
      <c r="J117" s="481">
        <v>219.13678919938047</v>
      </c>
    </row>
    <row r="118" spans="2:10">
      <c r="C118" s="488">
        <v>0.1</v>
      </c>
      <c r="D118" s="479">
        <v>100.95499904471309</v>
      </c>
      <c r="E118" s="480">
        <v>119.46222521100529</v>
      </c>
      <c r="F118" s="480">
        <v>137.96945137729753</v>
      </c>
      <c r="G118" s="480">
        <v>156.47667754358977</v>
      </c>
      <c r="H118" s="480">
        <v>174.98390370988193</v>
      </c>
      <c r="I118" s="480">
        <v>193.49112987617417</v>
      </c>
      <c r="J118" s="481">
        <v>211.99835604246641</v>
      </c>
    </row>
    <row r="119" spans="2:10">
      <c r="C119" s="488">
        <v>0.11</v>
      </c>
      <c r="D119" s="479">
        <v>97.043025849168217</v>
      </c>
      <c r="E119" s="480">
        <v>115.05454944532458</v>
      </c>
      <c r="F119" s="480">
        <v>133.06607304148099</v>
      </c>
      <c r="G119" s="480">
        <v>151.07759663763736</v>
      </c>
      <c r="H119" s="480">
        <v>169.08912023379372</v>
      </c>
      <c r="I119" s="480">
        <v>187.10064382995012</v>
      </c>
      <c r="J119" s="481">
        <v>205.11216742610651</v>
      </c>
    </row>
    <row r="120" spans="2:10" ht="17" thickBot="1">
      <c r="C120" s="489">
        <v>0.12</v>
      </c>
      <c r="D120" s="482">
        <v>93.266921009126975</v>
      </c>
      <c r="E120" s="483">
        <v>110.80028786304044</v>
      </c>
      <c r="F120" s="483">
        <v>128.33365471695393</v>
      </c>
      <c r="G120" s="483">
        <v>145.86702157086737</v>
      </c>
      <c r="H120" s="483">
        <v>163.4003884247808</v>
      </c>
      <c r="I120" s="483">
        <v>180.93375527869429</v>
      </c>
      <c r="J120" s="484">
        <v>198.46712213260778</v>
      </c>
    </row>
  </sheetData>
  <conditionalFormatting sqref="D102">
    <cfRule type="cellIs" dxfId="2" priority="6" operator="greaterThan">
      <formula>0</formula>
    </cfRule>
  </conditionalFormatting>
  <conditionalFormatting sqref="D114:J120">
    <cfRule type="cellIs" dxfId="1" priority="1" operator="lessThan">
      <formula>221</formula>
    </cfRule>
    <cfRule type="cellIs" dxfId="0" priority="2" operator="greaterThan">
      <formula>221</formula>
    </cfRule>
  </conditionalFormatting>
  <pageMargins left="0.7" right="0.7" top="0.75" bottom="0.75" header="0.3" footer="0.3"/>
  <pageSetup scale="66"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10873-9A13-F343-9963-7EB6F6EFB80A}">
  <dimension ref="B3:O24"/>
  <sheetViews>
    <sheetView showGridLines="0" zoomScaleNormal="100" zoomScaleSheetLayoutView="100" workbookViewId="0">
      <selection activeCell="Q24" sqref="Q24"/>
    </sheetView>
  </sheetViews>
  <sheetFormatPr baseColWidth="10" defaultColWidth="10.59765625" defaultRowHeight="14"/>
  <cols>
    <col min="1" max="1" width="10.59765625" style="63"/>
    <col min="2" max="2" width="40.59765625" style="63" bestFit="1" customWidth="1"/>
    <col min="3" max="4" width="10.59765625" style="63"/>
    <col min="5" max="5" width="13.3984375" style="63" bestFit="1" customWidth="1"/>
    <col min="6" max="16384" width="10.59765625" style="63"/>
  </cols>
  <sheetData>
    <row r="3" spans="2:14" ht="16">
      <c r="B3" s="495" t="s">
        <v>124</v>
      </c>
      <c r="C3" s="495"/>
      <c r="D3" s="495"/>
      <c r="E3" s="495"/>
      <c r="F3" s="495"/>
      <c r="G3" s="495"/>
      <c r="H3" s="495"/>
      <c r="I3" s="495"/>
      <c r="J3" s="495"/>
      <c r="K3" s="495"/>
      <c r="L3" s="495"/>
      <c r="M3" s="272"/>
      <c r="N3" s="272"/>
    </row>
    <row r="4" spans="2:14" ht="16">
      <c r="B4" s="206"/>
      <c r="C4" s="206"/>
      <c r="D4" s="207"/>
      <c r="E4" s="207"/>
      <c r="F4" s="206"/>
      <c r="G4" s="206"/>
      <c r="H4" s="206"/>
      <c r="I4" s="206"/>
      <c r="J4" s="206"/>
      <c r="K4" s="206"/>
      <c r="L4" s="206"/>
    </row>
    <row r="5" spans="2:14" ht="16">
      <c r="B5" s="243"/>
      <c r="C5" s="243"/>
      <c r="D5" s="243"/>
      <c r="E5" s="243"/>
      <c r="F5" s="243" t="s">
        <v>133</v>
      </c>
      <c r="G5" s="243" t="s">
        <v>132</v>
      </c>
      <c r="H5" s="243"/>
      <c r="I5" s="243"/>
      <c r="J5" s="243" t="s">
        <v>133</v>
      </c>
      <c r="K5" s="243" t="s">
        <v>133</v>
      </c>
      <c r="L5" s="243" t="s">
        <v>132</v>
      </c>
    </row>
    <row r="6" spans="2:14" ht="16">
      <c r="B6" s="244"/>
      <c r="C6" s="244"/>
      <c r="D6" s="245" t="s">
        <v>107</v>
      </c>
      <c r="E6" s="245" t="s">
        <v>106</v>
      </c>
      <c r="F6" s="245" t="s">
        <v>130</v>
      </c>
      <c r="G6" s="245" t="s">
        <v>130</v>
      </c>
      <c r="H6" s="246" t="s">
        <v>131</v>
      </c>
      <c r="I6" s="246"/>
      <c r="J6" s="245" t="s">
        <v>130</v>
      </c>
      <c r="K6" s="245" t="s">
        <v>129</v>
      </c>
      <c r="L6" s="245" t="s">
        <v>129</v>
      </c>
    </row>
    <row r="7" spans="2:14" ht="16">
      <c r="B7" s="247" t="s">
        <v>105</v>
      </c>
      <c r="C7" s="248" t="s">
        <v>104</v>
      </c>
      <c r="D7" s="249" t="s">
        <v>103</v>
      </c>
      <c r="E7" s="249" t="s">
        <v>1</v>
      </c>
      <c r="F7" s="249" t="s">
        <v>128</v>
      </c>
      <c r="G7" s="249" t="s">
        <v>128</v>
      </c>
      <c r="H7" s="250" t="s">
        <v>127</v>
      </c>
      <c r="I7" s="250" t="s">
        <v>126</v>
      </c>
      <c r="J7" s="249" t="s">
        <v>125</v>
      </c>
      <c r="K7" s="249" t="s">
        <v>21</v>
      </c>
      <c r="L7" s="249" t="s">
        <v>21</v>
      </c>
    </row>
    <row r="8" spans="2:14" ht="16">
      <c r="B8" s="377"/>
      <c r="C8" s="65"/>
      <c r="D8" s="66"/>
      <c r="E8" s="66"/>
      <c r="F8" s="73"/>
      <c r="G8" s="73"/>
      <c r="H8" s="73"/>
      <c r="I8" s="73"/>
      <c r="J8" s="73"/>
      <c r="K8" s="73"/>
      <c r="L8" s="73"/>
    </row>
    <row r="9" spans="2:14" ht="16">
      <c r="B9" s="375" t="s">
        <v>249</v>
      </c>
      <c r="C9" s="251" t="s">
        <v>226</v>
      </c>
      <c r="D9" s="218">
        <v>18193.3</v>
      </c>
      <c r="E9" s="218">
        <v>18218.599999999999</v>
      </c>
      <c r="F9" s="252">
        <v>15.48</v>
      </c>
      <c r="G9" s="252">
        <v>15.54</v>
      </c>
      <c r="H9" s="252">
        <v>1.34</v>
      </c>
      <c r="I9" s="252">
        <v>1.32</v>
      </c>
      <c r="J9" s="252">
        <v>5.69</v>
      </c>
      <c r="K9" s="252">
        <v>9.48</v>
      </c>
      <c r="L9" s="253">
        <v>9.64</v>
      </c>
    </row>
    <row r="10" spans="2:14" ht="16">
      <c r="B10" s="70" t="s">
        <v>179</v>
      </c>
      <c r="C10" s="68"/>
      <c r="D10" s="69"/>
      <c r="E10" s="69"/>
      <c r="F10" s="317" t="str">
        <f t="shared" ref="F10:L10" si="0">IF(F9&gt;F21,"Yes","No")</f>
        <v>Yes</v>
      </c>
      <c r="G10" s="317" t="str">
        <f t="shared" si="0"/>
        <v>No</v>
      </c>
      <c r="H10" s="317" t="str">
        <f t="shared" si="0"/>
        <v>Yes</v>
      </c>
      <c r="I10" s="317" t="str">
        <f t="shared" si="0"/>
        <v>Yes</v>
      </c>
      <c r="J10" s="317" t="str">
        <f t="shared" si="0"/>
        <v>Yes</v>
      </c>
      <c r="K10" s="317" t="str">
        <f t="shared" si="0"/>
        <v>Yes</v>
      </c>
      <c r="L10" s="317" t="str">
        <f t="shared" si="0"/>
        <v>Yes</v>
      </c>
    </row>
    <row r="11" spans="2:14" ht="16">
      <c r="B11" s="68"/>
      <c r="C11" s="68"/>
      <c r="D11" s="69"/>
      <c r="E11" s="69"/>
      <c r="F11" s="254"/>
      <c r="G11" s="254"/>
      <c r="H11" s="254"/>
      <c r="I11" s="254"/>
      <c r="J11" s="254"/>
      <c r="K11" s="254"/>
      <c r="L11" s="254"/>
    </row>
    <row r="12" spans="2:14" ht="16">
      <c r="B12" s="70" t="s">
        <v>250</v>
      </c>
      <c r="C12" s="70" t="s">
        <v>251</v>
      </c>
      <c r="D12" s="71">
        <v>3452.2</v>
      </c>
      <c r="E12" s="71">
        <v>3642.4</v>
      </c>
      <c r="F12" s="255">
        <v>7.88</v>
      </c>
      <c r="G12" s="255">
        <v>8.1199999999999992</v>
      </c>
      <c r="H12" s="255">
        <v>0.56999999999999995</v>
      </c>
      <c r="I12" s="255">
        <v>0.6</v>
      </c>
      <c r="J12" s="255">
        <v>1.74</v>
      </c>
      <c r="K12" s="255">
        <v>5.19</v>
      </c>
      <c r="L12" s="255">
        <v>5.19</v>
      </c>
    </row>
    <row r="13" spans="2:14" ht="16">
      <c r="B13" s="70" t="s">
        <v>252</v>
      </c>
      <c r="C13" s="70" t="s">
        <v>253</v>
      </c>
      <c r="D13" s="71">
        <v>24.3</v>
      </c>
      <c r="E13" s="71">
        <v>32.6</v>
      </c>
      <c r="F13" s="255">
        <v>-0.36</v>
      </c>
      <c r="G13" s="255" t="s">
        <v>261</v>
      </c>
      <c r="H13" s="255">
        <v>0.03</v>
      </c>
      <c r="I13" s="255">
        <v>0.05</v>
      </c>
      <c r="J13" s="255">
        <v>0.14000000000000001</v>
      </c>
      <c r="K13" s="255" t="s">
        <v>261</v>
      </c>
      <c r="L13" s="255" t="s">
        <v>261</v>
      </c>
    </row>
    <row r="14" spans="2:14" ht="16">
      <c r="B14" s="70" t="s">
        <v>254</v>
      </c>
      <c r="C14" s="70" t="s">
        <v>257</v>
      </c>
      <c r="D14" s="71">
        <v>20771.2</v>
      </c>
      <c r="E14" s="71">
        <v>18530.3</v>
      </c>
      <c r="F14" s="255">
        <v>22.09</v>
      </c>
      <c r="G14" s="255">
        <v>22.98</v>
      </c>
      <c r="H14" s="255">
        <v>4.21</v>
      </c>
      <c r="I14" s="255">
        <v>3.81</v>
      </c>
      <c r="J14" s="255">
        <v>7.85</v>
      </c>
      <c r="K14" s="255">
        <v>15.11</v>
      </c>
      <c r="L14" s="420">
        <v>15.72</v>
      </c>
    </row>
    <row r="15" spans="2:14" ht="16">
      <c r="B15" s="70" t="s">
        <v>255</v>
      </c>
      <c r="C15" s="70" t="s">
        <v>256</v>
      </c>
      <c r="D15" s="71">
        <v>4724.8</v>
      </c>
      <c r="E15" s="71">
        <v>3909.3</v>
      </c>
      <c r="F15" s="255">
        <v>21.8</v>
      </c>
      <c r="G15" s="255">
        <v>20.95</v>
      </c>
      <c r="H15" s="255">
        <v>1.46</v>
      </c>
      <c r="I15" s="255">
        <v>1.1399999999999999</v>
      </c>
      <c r="J15" s="255">
        <v>2.67</v>
      </c>
      <c r="K15" s="255">
        <v>12.12</v>
      </c>
      <c r="L15" s="420">
        <v>9.73</v>
      </c>
    </row>
    <row r="16" spans="2:14" ht="16">
      <c r="B16" s="70" t="s">
        <v>292</v>
      </c>
      <c r="C16" s="70" t="s">
        <v>293</v>
      </c>
      <c r="D16" s="71">
        <v>1771.7</v>
      </c>
      <c r="E16" s="71">
        <v>1852.7</v>
      </c>
      <c r="F16" s="255">
        <v>-4.04</v>
      </c>
      <c r="G16" s="255">
        <v>12.31</v>
      </c>
      <c r="H16" s="255">
        <v>0.21</v>
      </c>
      <c r="I16" s="255">
        <v>0.25</v>
      </c>
      <c r="J16" s="255">
        <v>0.6</v>
      </c>
      <c r="K16" s="255">
        <v>5.45</v>
      </c>
      <c r="L16" s="420">
        <v>4.3600000000000003</v>
      </c>
    </row>
    <row r="17" spans="2:15" ht="16">
      <c r="B17" s="70"/>
      <c r="C17" s="70"/>
      <c r="D17" s="71"/>
      <c r="E17" s="71"/>
      <c r="F17" s="255"/>
      <c r="G17" s="255"/>
      <c r="H17" s="255"/>
      <c r="I17" s="255"/>
      <c r="J17" s="255"/>
      <c r="K17" s="255"/>
      <c r="L17" s="255"/>
    </row>
    <row r="18" spans="2:15" ht="16">
      <c r="B18" s="70"/>
      <c r="C18" s="70"/>
      <c r="D18" s="71"/>
      <c r="E18" s="71"/>
      <c r="F18" s="73"/>
      <c r="G18" s="73"/>
      <c r="H18" s="73"/>
      <c r="I18" s="73"/>
      <c r="J18" s="73"/>
      <c r="K18" s="73"/>
      <c r="L18" s="73"/>
    </row>
    <row r="19" spans="2:15" ht="16">
      <c r="B19" s="256" t="s">
        <v>113</v>
      </c>
      <c r="C19" s="257"/>
      <c r="D19" s="258">
        <f t="shared" ref="D19:L19" si="1">QUARTILE(D$12:D$17,0)</f>
        <v>24.3</v>
      </c>
      <c r="E19" s="258">
        <f t="shared" si="1"/>
        <v>32.6</v>
      </c>
      <c r="F19" s="259">
        <f t="shared" si="1"/>
        <v>-4.04</v>
      </c>
      <c r="G19" s="259">
        <f t="shared" si="1"/>
        <v>8.1199999999999992</v>
      </c>
      <c r="H19" s="259">
        <f t="shared" si="1"/>
        <v>0.03</v>
      </c>
      <c r="I19" s="259">
        <f t="shared" si="1"/>
        <v>0.05</v>
      </c>
      <c r="J19" s="259">
        <f t="shared" si="1"/>
        <v>0.14000000000000001</v>
      </c>
      <c r="K19" s="259">
        <f t="shared" si="1"/>
        <v>5.19</v>
      </c>
      <c r="L19" s="260">
        <f t="shared" si="1"/>
        <v>4.3600000000000003</v>
      </c>
    </row>
    <row r="20" spans="2:15" ht="17" thickBot="1">
      <c r="B20" s="261" t="s">
        <v>112</v>
      </c>
      <c r="C20" s="230"/>
      <c r="D20" s="231">
        <f t="shared" ref="D20:L20" si="2">QUARTILE(D$12:D$17,1)</f>
        <v>1771.7</v>
      </c>
      <c r="E20" s="231">
        <f t="shared" si="2"/>
        <v>1852.7</v>
      </c>
      <c r="F20" s="262">
        <f t="shared" si="2"/>
        <v>-0.36</v>
      </c>
      <c r="G20" s="262">
        <f t="shared" si="2"/>
        <v>11.262499999999999</v>
      </c>
      <c r="H20" s="262">
        <f t="shared" si="2"/>
        <v>0.21</v>
      </c>
      <c r="I20" s="262">
        <f t="shared" si="2"/>
        <v>0.25</v>
      </c>
      <c r="J20" s="262">
        <f t="shared" si="2"/>
        <v>0.6</v>
      </c>
      <c r="K20" s="262">
        <f t="shared" si="2"/>
        <v>5.3849999999999998</v>
      </c>
      <c r="L20" s="263">
        <f t="shared" si="2"/>
        <v>4.9824999999999999</v>
      </c>
    </row>
    <row r="21" spans="2:15" ht="16">
      <c r="B21" s="273" t="s">
        <v>111</v>
      </c>
      <c r="C21" s="274"/>
      <c r="D21" s="275">
        <f t="shared" ref="D21:L21" si="3">QUARTILE(D$12:D$17,2)</f>
        <v>3452.2</v>
      </c>
      <c r="E21" s="275">
        <f t="shared" si="3"/>
        <v>3642.4</v>
      </c>
      <c r="F21" s="276">
        <f t="shared" si="3"/>
        <v>7.88</v>
      </c>
      <c r="G21" s="276">
        <f t="shared" si="3"/>
        <v>16.63</v>
      </c>
      <c r="H21" s="276">
        <f t="shared" si="3"/>
        <v>0.56999999999999995</v>
      </c>
      <c r="I21" s="276">
        <f t="shared" si="3"/>
        <v>0.6</v>
      </c>
      <c r="J21" s="276">
        <f t="shared" si="3"/>
        <v>1.74</v>
      </c>
      <c r="K21" s="276">
        <f t="shared" si="3"/>
        <v>8.7850000000000001</v>
      </c>
      <c r="L21" s="277">
        <f t="shared" si="3"/>
        <v>7.4600000000000009</v>
      </c>
    </row>
    <row r="22" spans="2:15" ht="17" thickBot="1">
      <c r="B22" s="278" t="s">
        <v>110</v>
      </c>
      <c r="C22" s="279"/>
      <c r="D22" s="280">
        <f t="shared" ref="D22:L22" si="4">AVERAGE(D12:D17)</f>
        <v>6148.84</v>
      </c>
      <c r="E22" s="280">
        <f t="shared" si="4"/>
        <v>5593.46</v>
      </c>
      <c r="F22" s="281">
        <f t="shared" si="4"/>
        <v>9.4740000000000002</v>
      </c>
      <c r="G22" s="281">
        <f t="shared" si="4"/>
        <v>16.09</v>
      </c>
      <c r="H22" s="281">
        <f t="shared" si="4"/>
        <v>1.2959999999999998</v>
      </c>
      <c r="I22" s="281">
        <f t="shared" si="4"/>
        <v>1.17</v>
      </c>
      <c r="J22" s="281">
        <f t="shared" si="4"/>
        <v>2.6</v>
      </c>
      <c r="K22" s="281">
        <f t="shared" si="4"/>
        <v>9.4675000000000011</v>
      </c>
      <c r="L22" s="282">
        <f t="shared" si="4"/>
        <v>8.75</v>
      </c>
      <c r="O22" s="421"/>
    </row>
    <row r="23" spans="2:15" ht="16">
      <c r="B23" s="261" t="s">
        <v>109</v>
      </c>
      <c r="C23" s="230"/>
      <c r="D23" s="231">
        <f t="shared" ref="D23:L23" si="5">QUARTILE(D$12:D$17,3)</f>
        <v>4724.8</v>
      </c>
      <c r="E23" s="231">
        <f t="shared" si="5"/>
        <v>3909.3</v>
      </c>
      <c r="F23" s="262">
        <f t="shared" si="5"/>
        <v>21.8</v>
      </c>
      <c r="G23" s="262">
        <f t="shared" si="5"/>
        <v>21.4575</v>
      </c>
      <c r="H23" s="262">
        <f t="shared" si="5"/>
        <v>1.46</v>
      </c>
      <c r="I23" s="262">
        <f t="shared" si="5"/>
        <v>1.1399999999999999</v>
      </c>
      <c r="J23" s="262">
        <f t="shared" si="5"/>
        <v>2.67</v>
      </c>
      <c r="K23" s="262">
        <f t="shared" si="5"/>
        <v>12.8675</v>
      </c>
      <c r="L23" s="263">
        <f t="shared" si="5"/>
        <v>11.227500000000001</v>
      </c>
    </row>
    <row r="24" spans="2:15" ht="16">
      <c r="B24" s="264" t="s">
        <v>108</v>
      </c>
      <c r="C24" s="265"/>
      <c r="D24" s="266">
        <f t="shared" ref="D24:L24" si="6">QUARTILE(D$12:D$17,4)</f>
        <v>20771.2</v>
      </c>
      <c r="E24" s="266">
        <f t="shared" si="6"/>
        <v>18530.3</v>
      </c>
      <c r="F24" s="267">
        <f t="shared" si="6"/>
        <v>22.09</v>
      </c>
      <c r="G24" s="267">
        <f t="shared" si="6"/>
        <v>22.98</v>
      </c>
      <c r="H24" s="267">
        <f t="shared" si="6"/>
        <v>4.21</v>
      </c>
      <c r="I24" s="267">
        <f t="shared" si="6"/>
        <v>3.81</v>
      </c>
      <c r="J24" s="267">
        <f t="shared" si="6"/>
        <v>7.85</v>
      </c>
      <c r="K24" s="267">
        <f t="shared" si="6"/>
        <v>15.11</v>
      </c>
      <c r="L24" s="268">
        <f t="shared" si="6"/>
        <v>15.72</v>
      </c>
    </row>
  </sheetData>
  <mergeCells count="1">
    <mergeCell ref="B3:L3"/>
  </mergeCells>
  <pageMargins left="0.7" right="0.7" top="0.75" bottom="0.75" header="0.3" footer="0.3"/>
  <pageSetup scale="60" orientation="portrait" horizontalDpi="200" verticalDpi="2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AF4A2-670D-E041-B3ED-7F036C8E87A9}">
  <dimension ref="B3:T43"/>
  <sheetViews>
    <sheetView topLeftCell="E4" zoomScale="120" zoomScaleNormal="120" workbookViewId="0">
      <selection activeCell="L28" sqref="L28"/>
    </sheetView>
  </sheetViews>
  <sheetFormatPr baseColWidth="10" defaultColWidth="9" defaultRowHeight="13"/>
  <cols>
    <col min="1" max="1" width="9" style="166"/>
    <col min="2" max="2" width="35" style="166" customWidth="1"/>
    <col min="3" max="3" width="35.19921875" style="166" customWidth="1"/>
    <col min="4" max="4" width="4.59765625" style="166" customWidth="1"/>
    <col min="5" max="6" width="11" style="166" bestFit="1" customWidth="1"/>
    <col min="7" max="7" width="9.19921875" style="166" customWidth="1"/>
    <col min="8" max="8" width="19.3984375" style="166" customWidth="1"/>
    <col min="9" max="9" width="9.59765625" style="166" customWidth="1"/>
    <col min="10" max="10" width="10.3984375" style="166" customWidth="1"/>
    <col min="11" max="11" width="11.19921875" style="166" bestFit="1" customWidth="1"/>
    <col min="12" max="12" width="12" style="166" customWidth="1"/>
    <col min="13" max="16384" width="9" style="166"/>
  </cols>
  <sheetData>
    <row r="3" spans="2:20" ht="19">
      <c r="B3" s="439" t="s">
        <v>246</v>
      </c>
      <c r="C3" s="87"/>
      <c r="D3" s="87"/>
      <c r="E3" s="87"/>
      <c r="F3" s="87"/>
      <c r="G3" s="87"/>
      <c r="H3" s="87"/>
      <c r="I3" s="87"/>
      <c r="J3" s="87"/>
      <c r="K3" s="87"/>
    </row>
    <row r="4" spans="2:20" ht="18">
      <c r="B4" s="292" t="s">
        <v>177</v>
      </c>
      <c r="C4" s="88"/>
      <c r="D4" s="88"/>
      <c r="E4" s="88"/>
      <c r="F4" s="88"/>
      <c r="G4" s="88"/>
      <c r="H4" s="88"/>
      <c r="I4" s="88"/>
      <c r="J4" s="88"/>
      <c r="K4" s="88"/>
      <c r="P4" s="475"/>
      <c r="Q4" s="475"/>
      <c r="T4" s="475"/>
    </row>
    <row r="6" spans="2:20" ht="14" thickBot="1"/>
    <row r="7" spans="2:20" ht="14" thickBot="1">
      <c r="B7" s="470" t="s">
        <v>171</v>
      </c>
      <c r="C7" s="471"/>
      <c r="D7" s="471"/>
      <c r="E7" s="471"/>
      <c r="F7" s="472"/>
      <c r="G7" s="167"/>
      <c r="H7" s="470" t="s">
        <v>171</v>
      </c>
      <c r="I7" s="471"/>
      <c r="J7" s="471"/>
      <c r="K7" s="471"/>
      <c r="L7" s="472"/>
    </row>
    <row r="9" spans="2:20">
      <c r="B9" s="168"/>
      <c r="C9" s="168" t="s">
        <v>80</v>
      </c>
      <c r="D9" s="169"/>
      <c r="E9" s="196" t="s">
        <v>172</v>
      </c>
      <c r="F9" s="197"/>
      <c r="G9" s="167"/>
      <c r="H9" s="170" t="s">
        <v>80</v>
      </c>
      <c r="I9" s="171"/>
      <c r="J9" s="496" t="s">
        <v>172</v>
      </c>
      <c r="K9" s="497"/>
      <c r="L9" s="498"/>
    </row>
    <row r="10" spans="2:20">
      <c r="B10" s="173" t="s">
        <v>190</v>
      </c>
      <c r="C10" s="173" t="s">
        <v>189</v>
      </c>
      <c r="D10" s="169"/>
      <c r="E10" s="173" t="s">
        <v>174</v>
      </c>
      <c r="F10" s="173" t="s">
        <v>175</v>
      </c>
      <c r="G10" s="167"/>
      <c r="H10" s="173" t="s">
        <v>173</v>
      </c>
      <c r="J10" s="172" t="s">
        <v>174</v>
      </c>
      <c r="K10" s="198" t="s">
        <v>176</v>
      </c>
      <c r="L10" s="172" t="s">
        <v>175</v>
      </c>
    </row>
    <row r="11" spans="2:20" ht="14" thickBot="1">
      <c r="G11" s="167"/>
    </row>
    <row r="12" spans="2:20">
      <c r="B12" s="166" t="s">
        <v>342</v>
      </c>
      <c r="C12" s="294" t="s">
        <v>193</v>
      </c>
      <c r="D12" s="174"/>
      <c r="E12" s="492">
        <v>176</v>
      </c>
      <c r="F12" s="492">
        <v>255</v>
      </c>
      <c r="G12" s="167"/>
      <c r="H12" s="183" t="str">
        <f>IF(ISTEXT(C12),C12,"n/a")</f>
        <v>52-Week Low/High</v>
      </c>
      <c r="I12" s="184"/>
      <c r="J12" s="185">
        <f>E12</f>
        <v>176</v>
      </c>
      <c r="K12" s="186">
        <f>L12-J12</f>
        <v>79</v>
      </c>
      <c r="L12" s="187">
        <f>F12</f>
        <v>255</v>
      </c>
    </row>
    <row r="13" spans="2:20">
      <c r="B13" s="166" t="s">
        <v>343</v>
      </c>
      <c r="C13" s="294" t="s">
        <v>310</v>
      </c>
      <c r="D13" s="174"/>
      <c r="E13" s="493">
        <v>153.25</v>
      </c>
      <c r="F13" s="493">
        <v>271.97000000000003</v>
      </c>
      <c r="G13" s="167"/>
      <c r="H13" s="188" t="str">
        <f>IF(ISTEXT(C13),C13,"n/a")</f>
        <v>2024 EBITDA DCF (9.3x - 15.4x)</v>
      </c>
      <c r="I13" s="348"/>
      <c r="J13" s="349">
        <f>E13</f>
        <v>153.25</v>
      </c>
      <c r="K13" s="350">
        <f>L13-J13</f>
        <v>118.72000000000003</v>
      </c>
      <c r="L13" s="189">
        <f>F13</f>
        <v>271.97000000000003</v>
      </c>
    </row>
    <row r="14" spans="2:20">
      <c r="B14" s="166" t="s">
        <v>192</v>
      </c>
      <c r="C14" s="294" t="s">
        <v>346</v>
      </c>
      <c r="D14" s="174"/>
      <c r="E14" s="492">
        <f>E22*'Income Statement'!H39</f>
        <v>146.18410333992782</v>
      </c>
      <c r="F14" s="492">
        <f>F22*'Income Statement'!H39</f>
        <v>243.64017223321301</v>
      </c>
      <c r="G14" s="167"/>
      <c r="H14" s="188" t="str">
        <f>IF(ISTEXT(C14),C14,"n/a")</f>
        <v>2024 P/E Comps (12.0x - 20.0x)</v>
      </c>
      <c r="I14" s="348"/>
      <c r="J14" s="349">
        <f>E14</f>
        <v>146.18410333992782</v>
      </c>
      <c r="K14" s="350">
        <f>L14-J14</f>
        <v>97.456068893285192</v>
      </c>
      <c r="L14" s="189">
        <f>F14</f>
        <v>243.64017223321301</v>
      </c>
    </row>
    <row r="15" spans="2:20" ht="14" thickBot="1">
      <c r="B15" s="166" t="s">
        <v>192</v>
      </c>
      <c r="C15" s="294" t="s">
        <v>347</v>
      </c>
      <c r="D15" s="174"/>
      <c r="E15" s="492">
        <f>(('Income Statement'!$H$66*E23)-'Balance Sheet'!$G$43+'Balance Sheet'!$G$10)/'Income Statement'!$H$37</f>
        <v>199.41148609333177</v>
      </c>
      <c r="F15" s="492">
        <f>(('Income Statement'!$H$66*F23)-'Balance Sheet'!$G$43+'Balance Sheet'!$G$10)/'Income Statement'!$H$37</f>
        <v>327.78124054462933</v>
      </c>
      <c r="G15" s="167"/>
      <c r="H15" s="190" t="str">
        <f>IF(ISTEXT(C15),C15,"n/a")</f>
        <v>2024 EV / EBITDA Comps (9.3x -15.4x)</v>
      </c>
      <c r="I15" s="191"/>
      <c r="J15" s="192">
        <f>E15</f>
        <v>199.41148609333177</v>
      </c>
      <c r="K15" s="193">
        <f>L15-J15</f>
        <v>128.36975445129755</v>
      </c>
      <c r="L15" s="194">
        <f>F15</f>
        <v>327.78124054462933</v>
      </c>
    </row>
    <row r="16" spans="2:20">
      <c r="D16" s="174"/>
      <c r="G16" s="167"/>
    </row>
    <row r="17" spans="2:19" ht="14" thickBot="1">
      <c r="D17" s="174"/>
      <c r="G17" s="167"/>
    </row>
    <row r="18" spans="2:19" ht="14" thickBot="1">
      <c r="B18" s="470" t="s">
        <v>170</v>
      </c>
      <c r="C18" s="471"/>
      <c r="D18" s="471"/>
      <c r="E18" s="471"/>
      <c r="F18" s="472"/>
      <c r="G18" s="167"/>
    </row>
    <row r="20" spans="2:19">
      <c r="B20" s="168"/>
      <c r="C20" s="168" t="s">
        <v>80</v>
      </c>
      <c r="D20" s="169"/>
      <c r="E20" s="196" t="s">
        <v>172</v>
      </c>
      <c r="F20" s="197"/>
      <c r="G20" s="167"/>
    </row>
    <row r="21" spans="2:19">
      <c r="B21" s="173" t="s">
        <v>190</v>
      </c>
      <c r="C21" s="173" t="s">
        <v>189</v>
      </c>
      <c r="D21" s="169"/>
      <c r="E21" s="173" t="s">
        <v>174</v>
      </c>
      <c r="F21" s="173" t="s">
        <v>175</v>
      </c>
      <c r="G21" s="167"/>
    </row>
    <row r="22" spans="2:19">
      <c r="B22" s="166" t="s">
        <v>192</v>
      </c>
      <c r="C22" s="294" t="s">
        <v>344</v>
      </c>
      <c r="E22" s="473">
        <v>12</v>
      </c>
      <c r="F22" s="473">
        <v>20</v>
      </c>
    </row>
    <row r="23" spans="2:19">
      <c r="B23" s="166" t="s">
        <v>192</v>
      </c>
      <c r="C23" s="294" t="s">
        <v>345</v>
      </c>
      <c r="E23" s="473">
        <v>9.3000000000000007</v>
      </c>
      <c r="F23" s="473">
        <v>15.4</v>
      </c>
    </row>
    <row r="25" spans="2:19" ht="16">
      <c r="H25" s="180"/>
    </row>
    <row r="26" spans="2:19" ht="16">
      <c r="H26" s="180"/>
      <c r="L26" s="177"/>
    </row>
    <row r="27" spans="2:19" ht="16">
      <c r="B27" s="474"/>
      <c r="H27" s="180"/>
      <c r="K27" s="177"/>
      <c r="L27" s="177"/>
    </row>
    <row r="28" spans="2:19" ht="16">
      <c r="B28" s="474"/>
      <c r="H28" s="180"/>
      <c r="K28" s="177"/>
      <c r="L28" s="177"/>
    </row>
    <row r="29" spans="2:19" ht="16">
      <c r="H29" s="180"/>
      <c r="K29" s="177"/>
    </row>
    <row r="30" spans="2:19" ht="16">
      <c r="H30" s="180"/>
      <c r="S30" s="177"/>
    </row>
    <row r="31" spans="2:19" ht="16">
      <c r="C31" s="178"/>
      <c r="D31" s="178"/>
      <c r="E31" s="179"/>
      <c r="F31" s="180"/>
      <c r="G31" s="179"/>
      <c r="H31" s="180"/>
      <c r="S31" s="177"/>
    </row>
    <row r="32" spans="2:19" ht="16">
      <c r="C32" s="178"/>
      <c r="D32" s="178"/>
      <c r="E32" s="179"/>
      <c r="F32" s="180"/>
      <c r="G32" s="179"/>
    </row>
    <row r="33" spans="3:20" ht="16">
      <c r="C33" s="178"/>
      <c r="D33" s="178"/>
      <c r="E33" s="179"/>
      <c r="F33" s="180"/>
      <c r="G33" s="179"/>
      <c r="T33" s="499"/>
    </row>
    <row r="34" spans="3:20" ht="16">
      <c r="C34" s="181"/>
      <c r="D34" s="178"/>
      <c r="E34" s="179"/>
      <c r="F34" s="180"/>
      <c r="G34" s="182"/>
      <c r="T34" s="499"/>
    </row>
    <row r="35" spans="3:20" ht="16">
      <c r="C35" s="178"/>
      <c r="D35" s="178"/>
      <c r="E35" s="179"/>
      <c r="F35" s="180"/>
      <c r="G35" s="180"/>
      <c r="T35" s="499"/>
    </row>
    <row r="36" spans="3:20" ht="16">
      <c r="C36" s="178"/>
      <c r="D36" s="178"/>
      <c r="E36" s="179"/>
      <c r="F36" s="180"/>
      <c r="G36" s="180"/>
      <c r="T36" s="499"/>
    </row>
    <row r="37" spans="3:20">
      <c r="H37" s="474"/>
      <c r="T37" s="499"/>
    </row>
    <row r="38" spans="3:20">
      <c r="T38" s="499"/>
    </row>
    <row r="39" spans="3:20">
      <c r="T39" s="499"/>
    </row>
    <row r="40" spans="3:20">
      <c r="T40" s="499"/>
    </row>
    <row r="41" spans="3:20">
      <c r="T41" s="499"/>
    </row>
    <row r="42" spans="3:20">
      <c r="T42" s="499"/>
    </row>
    <row r="43" spans="3:20">
      <c r="T43" s="499"/>
    </row>
  </sheetData>
  <mergeCells count="2">
    <mergeCell ref="J9:L9"/>
    <mergeCell ref="T33:T43"/>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4A47A-4C56-4F67-BB05-99B71C611CA6}">
  <sheetPr>
    <pageSetUpPr fitToPage="1"/>
  </sheetPr>
  <dimension ref="B2:W36"/>
  <sheetViews>
    <sheetView showGridLines="0" zoomScale="93" zoomScaleNormal="100" workbookViewId="0">
      <selection activeCell="O37" sqref="O37"/>
    </sheetView>
  </sheetViews>
  <sheetFormatPr baseColWidth="10" defaultColWidth="10.59765625" defaultRowHeight="14"/>
  <cols>
    <col min="1" max="1" width="10.59765625" style="63"/>
    <col min="2" max="2" width="10" style="63" customWidth="1"/>
    <col min="3" max="16" width="10.59765625" style="63"/>
    <col min="17" max="17" width="14.19921875" style="63" customWidth="1"/>
    <col min="18" max="16384" width="10.59765625" style="63"/>
  </cols>
  <sheetData>
    <row r="2" spans="2:21" ht="14.25" customHeight="1">
      <c r="B2" s="501" t="s">
        <v>102</v>
      </c>
      <c r="C2" s="501"/>
      <c r="D2" s="501"/>
      <c r="E2" s="501"/>
      <c r="F2" s="501"/>
      <c r="G2" s="501"/>
      <c r="H2" s="501"/>
      <c r="I2" s="501"/>
      <c r="J2" s="501"/>
      <c r="K2" s="501"/>
      <c r="L2" s="501"/>
      <c r="M2" s="501"/>
      <c r="N2" s="501"/>
      <c r="O2" s="501"/>
      <c r="P2" s="501"/>
      <c r="Q2" s="501"/>
      <c r="R2" s="327"/>
      <c r="S2" s="327"/>
      <c r="T2" s="327"/>
      <c r="U2" s="327"/>
    </row>
    <row r="3" spans="2:21" ht="18" customHeight="1">
      <c r="B3" s="328" t="s">
        <v>196</v>
      </c>
      <c r="C3" s="327"/>
      <c r="D3" s="329"/>
      <c r="E3" s="329"/>
      <c r="F3" s="327"/>
      <c r="G3" s="327"/>
      <c r="H3" s="327"/>
      <c r="I3" s="327"/>
      <c r="J3" s="327"/>
      <c r="K3" s="327"/>
      <c r="L3" s="327"/>
      <c r="M3" s="327"/>
      <c r="N3" s="327"/>
      <c r="O3" s="327"/>
      <c r="P3" s="327"/>
      <c r="Q3" s="327"/>
    </row>
    <row r="4" spans="2:21" ht="2" customHeight="1">
      <c r="B4" s="328"/>
      <c r="C4" s="327"/>
      <c r="D4" s="329"/>
      <c r="E4" s="329"/>
      <c r="F4" s="327"/>
      <c r="G4" s="327"/>
      <c r="H4" s="327"/>
      <c r="I4" s="327"/>
      <c r="J4" s="327"/>
      <c r="K4" s="327"/>
      <c r="L4" s="327"/>
      <c r="M4" s="327"/>
      <c r="N4" s="327"/>
      <c r="O4" s="327"/>
      <c r="P4" s="327"/>
      <c r="Q4" s="327"/>
    </row>
    <row r="5" spans="2:21" s="325" customFormat="1" ht="14.5" customHeight="1">
      <c r="B5" s="326" t="s">
        <v>101</v>
      </c>
      <c r="C5" s="325" t="s">
        <v>194</v>
      </c>
    </row>
    <row r="6" spans="2:21" s="325" customFormat="1"/>
    <row r="7" spans="2:21" s="325" customFormat="1" ht="65.5" customHeight="1"/>
    <row r="8" spans="2:21" s="325" customFormat="1"/>
    <row r="9" spans="2:21" s="325" customFormat="1"/>
    <row r="10" spans="2:21" s="325" customFormat="1"/>
    <row r="11" spans="2:21" s="325" customFormat="1"/>
    <row r="12" spans="2:21" s="325" customFormat="1"/>
    <row r="13" spans="2:21" s="325" customFormat="1"/>
    <row r="14" spans="2:21" s="325" customFormat="1"/>
    <row r="15" spans="2:21" s="325" customFormat="1"/>
    <row r="16" spans="2:21" s="325" customFormat="1"/>
    <row r="17" spans="2:23" s="325" customFormat="1"/>
    <row r="18" spans="2:23" s="325" customFormat="1"/>
    <row r="19" spans="2:23" s="325" customFormat="1"/>
    <row r="20" spans="2:23" s="325" customFormat="1" ht="23">
      <c r="W20" s="367"/>
    </row>
    <row r="21" spans="2:23" s="325" customFormat="1"/>
    <row r="22" spans="2:23" s="325" customFormat="1"/>
    <row r="23" spans="2:23" s="325" customFormat="1"/>
    <row r="24" spans="2:23" s="325" customFormat="1"/>
    <row r="25" spans="2:23" s="325" customFormat="1"/>
    <row r="26" spans="2:23" s="325" customFormat="1"/>
    <row r="27" spans="2:23" s="325" customFormat="1"/>
    <row r="28" spans="2:23" s="325" customFormat="1"/>
    <row r="29" spans="2:23" s="325" customFormat="1"/>
    <row r="30" spans="2:23" s="325" customFormat="1">
      <c r="B30" s="326"/>
    </row>
    <row r="31" spans="2:23" s="325" customFormat="1"/>
    <row r="32" spans="2:23" s="325" customFormat="1" ht="53.5" customHeight="1">
      <c r="B32" s="330" t="s">
        <v>99</v>
      </c>
      <c r="C32" s="500" t="s">
        <v>195</v>
      </c>
      <c r="D32" s="500"/>
      <c r="E32" s="500"/>
      <c r="F32" s="500"/>
      <c r="G32" s="500"/>
      <c r="H32" s="500"/>
      <c r="I32" s="500"/>
      <c r="J32" s="500"/>
      <c r="K32" s="500"/>
      <c r="L32" s="500"/>
      <c r="M32" s="500"/>
      <c r="N32" s="500"/>
      <c r="O32" s="500"/>
      <c r="P32" s="500"/>
      <c r="Q32" s="500"/>
    </row>
    <row r="33" spans="2:2" s="325" customFormat="1"/>
    <row r="34" spans="2:2" s="325" customFormat="1">
      <c r="B34" s="325" t="s">
        <v>199</v>
      </c>
    </row>
    <row r="35" spans="2:2" s="325" customFormat="1">
      <c r="B35" s="331" t="s">
        <v>198</v>
      </c>
    </row>
    <row r="36" spans="2:2" s="325" customFormat="1"/>
  </sheetData>
  <mergeCells count="2">
    <mergeCell ref="C32:Q32"/>
    <mergeCell ref="B2:Q2"/>
  </mergeCells>
  <pageMargins left="0.7" right="0.7" top="0.75" bottom="0.75" header="0.3" footer="0.3"/>
  <pageSetup scale="61" fitToHeight="0"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BBA71-2B7C-4C3C-BA1B-AA9F70B00AA2}">
  <sheetPr>
    <tabColor theme="3"/>
  </sheetPr>
  <dimension ref="A1"/>
  <sheetViews>
    <sheetView zoomScaleNormal="100" workbookViewId="0"/>
  </sheetViews>
  <sheetFormatPr baseColWidth="10" defaultColWidth="9" defaultRowHeight="14"/>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6BEC2-A434-C843-98E6-1E5092925B54}">
  <dimension ref="B2:R34"/>
  <sheetViews>
    <sheetView showGridLines="0" topLeftCell="A7" zoomScaleNormal="100" workbookViewId="0">
      <selection activeCell="I17" sqref="I17"/>
    </sheetView>
  </sheetViews>
  <sheetFormatPr baseColWidth="10" defaultColWidth="10.59765625" defaultRowHeight="15"/>
  <cols>
    <col min="1" max="1" width="10.59765625" style="45"/>
    <col min="2" max="2" width="22.19921875" style="45" customWidth="1"/>
    <col min="3" max="8" width="10.59765625" style="45"/>
    <col min="9" max="14" width="17.796875" style="45" bestFit="1" customWidth="1"/>
    <col min="15" max="15" width="23.59765625" style="45" bestFit="1" customWidth="1"/>
    <col min="16" max="16" width="10.59765625" style="45"/>
    <col min="17" max="17" width="12" style="45" bestFit="1" customWidth="1"/>
    <col min="18" max="18" width="13.3984375" style="45" bestFit="1" customWidth="1"/>
    <col min="19" max="16384" width="10.59765625" style="45"/>
  </cols>
  <sheetData>
    <row r="2" spans="2:18" ht="14.25" customHeight="1">
      <c r="B2" s="495" t="s">
        <v>102</v>
      </c>
      <c r="C2" s="495"/>
      <c r="D2" s="495"/>
      <c r="E2" s="495"/>
      <c r="F2" s="495"/>
      <c r="G2" s="495"/>
      <c r="H2" s="495"/>
      <c r="I2" s="495"/>
      <c r="J2" s="495"/>
      <c r="K2" s="495"/>
      <c r="L2" s="495"/>
      <c r="M2" s="495"/>
      <c r="N2" s="495"/>
      <c r="O2" s="61"/>
      <c r="P2" s="61"/>
      <c r="Q2" s="61"/>
      <c r="R2" s="61"/>
    </row>
    <row r="3" spans="2:18" ht="18" customHeight="1">
      <c r="B3" s="61"/>
      <c r="C3" s="61"/>
      <c r="D3" s="62"/>
      <c r="E3" s="62"/>
      <c r="F3" s="61"/>
      <c r="G3" s="61"/>
      <c r="H3" s="61"/>
      <c r="I3" s="61"/>
      <c r="J3" s="61"/>
      <c r="K3" s="61"/>
      <c r="L3" s="61"/>
      <c r="M3" s="61"/>
      <c r="N3" s="61"/>
      <c r="O3" s="61"/>
    </row>
    <row r="4" spans="2:18" ht="14.5" customHeight="1">
      <c r="B4" s="511" t="s">
        <v>101</v>
      </c>
      <c r="C4" s="510" t="s">
        <v>100</v>
      </c>
      <c r="D4" s="510"/>
      <c r="E4" s="510"/>
      <c r="F4" s="510"/>
      <c r="G4" s="510"/>
      <c r="H4" s="510"/>
      <c r="I4" s="510"/>
      <c r="J4" s="510"/>
      <c r="K4" s="510"/>
      <c r="L4" s="510"/>
      <c r="M4" s="510"/>
      <c r="N4" s="510"/>
      <c r="O4" s="60"/>
      <c r="P4" s="60"/>
      <c r="Q4" s="60"/>
      <c r="R4" s="60"/>
    </row>
    <row r="5" spans="2:18">
      <c r="B5" s="511"/>
      <c r="C5" s="510"/>
      <c r="D5" s="510"/>
      <c r="E5" s="510"/>
      <c r="F5" s="510"/>
      <c r="G5" s="510"/>
      <c r="H5" s="510"/>
      <c r="I5" s="510"/>
      <c r="J5" s="510"/>
      <c r="K5" s="510"/>
      <c r="L5" s="510"/>
      <c r="M5" s="510"/>
      <c r="N5" s="510"/>
      <c r="O5" s="60"/>
      <c r="P5" s="60"/>
      <c r="Q5" s="60"/>
      <c r="R5" s="60"/>
    </row>
    <row r="6" spans="2:18">
      <c r="B6" s="511"/>
      <c r="C6" s="510"/>
      <c r="D6" s="510"/>
      <c r="E6" s="510"/>
      <c r="F6" s="510"/>
      <c r="G6" s="510"/>
      <c r="H6" s="510"/>
      <c r="I6" s="510"/>
      <c r="J6" s="510"/>
      <c r="K6" s="510"/>
      <c r="L6" s="510"/>
      <c r="M6" s="510"/>
      <c r="N6" s="510"/>
      <c r="O6" s="60"/>
      <c r="P6" s="60"/>
      <c r="Q6" s="60"/>
      <c r="R6" s="60"/>
    </row>
    <row r="7" spans="2:18">
      <c r="B7" s="511" t="s">
        <v>99</v>
      </c>
      <c r="C7" s="510" t="s">
        <v>98</v>
      </c>
      <c r="D7" s="510"/>
      <c r="E7" s="510"/>
      <c r="F7" s="510"/>
      <c r="G7" s="510"/>
      <c r="H7" s="510"/>
      <c r="I7" s="510"/>
      <c r="J7" s="510"/>
      <c r="K7" s="510"/>
      <c r="L7" s="510"/>
      <c r="M7" s="510"/>
      <c r="N7" s="510"/>
      <c r="O7" s="60"/>
      <c r="P7" s="60"/>
      <c r="Q7" s="60"/>
      <c r="R7" s="60"/>
    </row>
    <row r="8" spans="2:18">
      <c r="B8" s="511"/>
      <c r="C8" s="510"/>
      <c r="D8" s="510"/>
      <c r="E8" s="510"/>
      <c r="F8" s="510"/>
      <c r="G8" s="510"/>
      <c r="H8" s="510"/>
      <c r="I8" s="510"/>
      <c r="J8" s="510"/>
      <c r="K8" s="510"/>
      <c r="L8" s="510"/>
      <c r="M8" s="510"/>
      <c r="N8" s="510"/>
      <c r="O8" s="60"/>
      <c r="P8" s="60"/>
      <c r="Q8" s="60"/>
      <c r="R8" s="60"/>
    </row>
    <row r="9" spans="2:18">
      <c r="B9" s="511"/>
      <c r="C9" s="510"/>
      <c r="D9" s="510"/>
      <c r="E9" s="510"/>
      <c r="F9" s="510"/>
      <c r="G9" s="510"/>
      <c r="H9" s="510"/>
      <c r="I9" s="510"/>
      <c r="J9" s="510"/>
      <c r="K9" s="510"/>
      <c r="L9" s="510"/>
      <c r="M9" s="510"/>
      <c r="N9" s="510"/>
      <c r="O9" s="59"/>
    </row>
    <row r="10" spans="2:18">
      <c r="B10" s="58"/>
      <c r="C10" s="58"/>
      <c r="D10" s="57"/>
      <c r="E10" s="57"/>
      <c r="F10" s="53"/>
      <c r="G10" s="53"/>
      <c r="H10" s="53"/>
      <c r="I10" s="53"/>
      <c r="J10" s="53"/>
      <c r="K10" s="53"/>
      <c r="L10" s="53"/>
      <c r="M10" s="53"/>
      <c r="O10" s="53"/>
    </row>
    <row r="11" spans="2:18" ht="16">
      <c r="B11" s="399" t="s">
        <v>97</v>
      </c>
      <c r="C11" s="502"/>
      <c r="D11" s="502"/>
      <c r="E11" s="502"/>
      <c r="F11" s="502"/>
      <c r="G11" s="502"/>
      <c r="H11" s="502"/>
      <c r="I11" s="402" t="s">
        <v>226</v>
      </c>
      <c r="J11" s="402" t="s">
        <v>294</v>
      </c>
      <c r="K11" s="402" t="s">
        <v>253</v>
      </c>
      <c r="L11" s="402" t="s">
        <v>257</v>
      </c>
      <c r="M11" s="403" t="s">
        <v>256</v>
      </c>
      <c r="N11" s="402" t="s">
        <v>293</v>
      </c>
    </row>
    <row r="12" spans="2:18" ht="16">
      <c r="B12" s="400" t="s">
        <v>96</v>
      </c>
      <c r="C12" s="504" t="s">
        <v>94</v>
      </c>
      <c r="D12" s="505"/>
      <c r="E12" s="505"/>
      <c r="F12" s="505"/>
      <c r="G12" s="505"/>
      <c r="H12" s="506"/>
      <c r="I12" s="401" t="s">
        <v>295</v>
      </c>
      <c r="J12" s="401" t="s">
        <v>295</v>
      </c>
      <c r="K12" s="401" t="s">
        <v>295</v>
      </c>
      <c r="L12" s="401" t="s">
        <v>295</v>
      </c>
      <c r="M12" s="401" t="s">
        <v>295</v>
      </c>
      <c r="N12" s="401" t="s">
        <v>295</v>
      </c>
      <c r="O12" s="53"/>
    </row>
    <row r="13" spans="2:18" ht="16">
      <c r="B13" s="401" t="s">
        <v>95</v>
      </c>
      <c r="C13" s="507" t="s">
        <v>94</v>
      </c>
      <c r="D13" s="508"/>
      <c r="E13" s="508"/>
      <c r="F13" s="508"/>
      <c r="G13" s="508"/>
      <c r="H13" s="509"/>
      <c r="I13" s="465">
        <v>18193.3</v>
      </c>
      <c r="J13" s="466">
        <v>3452.2</v>
      </c>
      <c r="K13" s="466">
        <v>24.3</v>
      </c>
      <c r="L13" s="466">
        <v>20771.2</v>
      </c>
      <c r="M13" s="466">
        <v>4724.8</v>
      </c>
      <c r="N13" s="466">
        <v>1771.7</v>
      </c>
      <c r="O13" s="53"/>
    </row>
    <row r="14" spans="2:18" ht="16">
      <c r="B14" s="401" t="s">
        <v>93</v>
      </c>
      <c r="C14" s="507" t="s">
        <v>68</v>
      </c>
      <c r="D14" s="508"/>
      <c r="E14" s="508"/>
      <c r="F14" s="508"/>
      <c r="G14" s="508"/>
      <c r="H14" s="509"/>
      <c r="I14" s="465">
        <v>18218.599999999999</v>
      </c>
      <c r="J14" s="466">
        <v>3642.4</v>
      </c>
      <c r="K14" s="466">
        <v>32.6</v>
      </c>
      <c r="L14" s="466">
        <v>18530.3</v>
      </c>
      <c r="M14" s="466">
        <v>3909.3</v>
      </c>
      <c r="N14" s="466">
        <v>1852.7</v>
      </c>
      <c r="O14" s="53"/>
    </row>
    <row r="15" spans="2:18" ht="16">
      <c r="B15" s="52"/>
      <c r="C15" s="52"/>
      <c r="D15" s="56"/>
      <c r="E15" s="55"/>
      <c r="F15" s="54"/>
      <c r="G15" s="54"/>
      <c r="H15" s="53"/>
      <c r="I15" s="404"/>
      <c r="J15" s="404"/>
      <c r="K15" s="404"/>
      <c r="L15" s="404"/>
      <c r="M15" s="404"/>
      <c r="N15" s="404"/>
      <c r="O15" s="53"/>
    </row>
    <row r="16" spans="2:18" ht="16">
      <c r="B16" s="51" t="s">
        <v>92</v>
      </c>
      <c r="C16" s="46"/>
      <c r="D16" s="50"/>
      <c r="E16" s="49"/>
      <c r="F16" s="48"/>
      <c r="G16" s="48"/>
      <c r="H16" s="47"/>
      <c r="I16" s="406"/>
      <c r="J16" s="406"/>
      <c r="K16" s="406"/>
      <c r="L16" s="406"/>
      <c r="M16" s="406"/>
      <c r="N16" s="406"/>
      <c r="O16" s="47"/>
    </row>
    <row r="17" spans="2:18" ht="16">
      <c r="B17" s="405" t="s">
        <v>91</v>
      </c>
      <c r="C17" s="502" t="s">
        <v>90</v>
      </c>
      <c r="D17" s="502"/>
      <c r="E17" s="502"/>
      <c r="F17" s="502"/>
      <c r="G17" s="502"/>
      <c r="H17" s="502"/>
      <c r="I17" s="427">
        <v>0.06</v>
      </c>
      <c r="J17" s="408">
        <v>9.7999999999999997E-3</v>
      </c>
      <c r="K17" s="408">
        <v>0.12570000000000001</v>
      </c>
      <c r="L17" s="408">
        <v>0.19520000000000001</v>
      </c>
      <c r="M17" s="408">
        <v>-3.4000000000000002E-2</v>
      </c>
      <c r="N17" s="428">
        <v>-6.9999999999999999E-4</v>
      </c>
      <c r="O17" s="47"/>
    </row>
    <row r="18" spans="2:18" ht="16">
      <c r="B18" s="405" t="s">
        <v>89</v>
      </c>
      <c r="C18" s="502" t="s">
        <v>88</v>
      </c>
      <c r="D18" s="502"/>
      <c r="E18" s="502"/>
      <c r="F18" s="502"/>
      <c r="G18" s="502"/>
      <c r="H18" s="502"/>
      <c r="I18" s="427">
        <v>0.13</v>
      </c>
      <c r="J18" s="408">
        <v>-0.30259999999999998</v>
      </c>
      <c r="K18" s="408" t="s">
        <v>261</v>
      </c>
      <c r="L18" s="408">
        <v>0.18779999999999999</v>
      </c>
      <c r="M18" s="408">
        <v>0.15260000000000001</v>
      </c>
      <c r="N18" s="408">
        <v>-4.5100000000000001E-2</v>
      </c>
      <c r="O18" s="47"/>
    </row>
    <row r="19" spans="2:18" ht="16">
      <c r="B19" s="405" t="s">
        <v>87</v>
      </c>
      <c r="C19" s="502" t="s">
        <v>86</v>
      </c>
      <c r="D19" s="502"/>
      <c r="E19" s="502"/>
      <c r="F19" s="502"/>
      <c r="G19" s="502"/>
      <c r="H19" s="502"/>
      <c r="I19" s="427">
        <v>0.11</v>
      </c>
      <c r="J19" s="408">
        <v>9.6699999999999994E-2</v>
      </c>
      <c r="K19" s="408">
        <v>-7.1599999999999997E-2</v>
      </c>
      <c r="L19" s="408">
        <v>0.247</v>
      </c>
      <c r="M19" s="408">
        <v>8.8499999999999995E-2</v>
      </c>
      <c r="N19" s="408">
        <v>-6.7699999999999996E-2</v>
      </c>
      <c r="O19" s="47"/>
      <c r="P19" s="47"/>
      <c r="Q19" s="47"/>
      <c r="R19" s="47"/>
    </row>
    <row r="20" spans="2:18" s="417" customFormat="1" ht="16">
      <c r="B20" s="415" t="s">
        <v>85</v>
      </c>
      <c r="C20" s="503" t="s">
        <v>68</v>
      </c>
      <c r="D20" s="503"/>
      <c r="E20" s="503"/>
      <c r="F20" s="503"/>
      <c r="G20" s="503"/>
      <c r="H20" s="503"/>
      <c r="I20" s="429">
        <v>0.12</v>
      </c>
      <c r="J20" s="430">
        <v>9.2700000000000005E-2</v>
      </c>
      <c r="K20" s="430">
        <v>-9.0800000000000006E-2</v>
      </c>
      <c r="L20" s="430">
        <v>0.26540000000000002</v>
      </c>
      <c r="M20" s="430">
        <v>7.7799999999999994E-2</v>
      </c>
      <c r="N20" s="430">
        <v>-6.2E-2</v>
      </c>
      <c r="O20" s="416"/>
      <c r="P20" s="416"/>
      <c r="Q20" s="416"/>
      <c r="R20" s="416"/>
    </row>
    <row r="21" spans="2:18" ht="16">
      <c r="B21" s="405" t="s">
        <v>84</v>
      </c>
      <c r="C21" s="502" t="s">
        <v>68</v>
      </c>
      <c r="D21" s="502"/>
      <c r="E21" s="502"/>
      <c r="F21" s="502"/>
      <c r="G21" s="502"/>
      <c r="H21" s="502"/>
      <c r="I21" s="427">
        <v>0.38</v>
      </c>
      <c r="J21" s="408">
        <v>0.23089999999999999</v>
      </c>
      <c r="K21" s="408">
        <v>-0.2913</v>
      </c>
      <c r="L21" s="408">
        <v>0.35809999999999997</v>
      </c>
      <c r="M21" s="408">
        <v>0.12540000000000001</v>
      </c>
      <c r="N21" s="408">
        <v>-0.14849999999999999</v>
      </c>
      <c r="O21" s="47"/>
      <c r="P21" s="47"/>
      <c r="Q21" s="47"/>
      <c r="R21" s="47"/>
    </row>
    <row r="22" spans="2:18" ht="16">
      <c r="B22" s="405" t="s">
        <v>83</v>
      </c>
      <c r="C22" s="502" t="s">
        <v>68</v>
      </c>
      <c r="D22" s="502"/>
      <c r="E22" s="502"/>
      <c r="F22" s="502"/>
      <c r="G22" s="502"/>
      <c r="H22" s="502"/>
      <c r="I22" s="427">
        <v>0.18</v>
      </c>
      <c r="J22" s="408">
        <v>0.1217</v>
      </c>
      <c r="K22" s="408">
        <v>-0.11749999999999999</v>
      </c>
      <c r="L22" s="408">
        <v>1.1004</v>
      </c>
      <c r="M22" s="408">
        <v>0.14230000000000001</v>
      </c>
      <c r="N22" s="408">
        <v>2.6800000000000001E-2</v>
      </c>
      <c r="O22" s="47"/>
      <c r="P22" s="47"/>
      <c r="Q22" s="47"/>
      <c r="R22" s="47"/>
    </row>
    <row r="23" spans="2:18" ht="16">
      <c r="B23" s="405" t="s">
        <v>10</v>
      </c>
      <c r="C23" s="502" t="s">
        <v>82</v>
      </c>
      <c r="D23" s="502"/>
      <c r="E23" s="502"/>
      <c r="F23" s="502"/>
      <c r="G23" s="502"/>
      <c r="H23" s="502"/>
      <c r="I23" s="431">
        <v>1.23</v>
      </c>
      <c r="J23" s="431">
        <v>1.7</v>
      </c>
      <c r="K23" s="431">
        <v>-4.0199999999999996</v>
      </c>
      <c r="L23" s="431">
        <v>1.1000000000000001</v>
      </c>
      <c r="M23" s="431">
        <v>-1.66</v>
      </c>
      <c r="N23" s="431">
        <v>2.8</v>
      </c>
      <c r="O23" s="47"/>
      <c r="P23" s="47"/>
      <c r="Q23" s="47"/>
      <c r="R23" s="47"/>
    </row>
    <row r="24" spans="2:18" ht="16">
      <c r="B24" s="405" t="s">
        <v>81</v>
      </c>
      <c r="C24" s="502" t="s">
        <v>68</v>
      </c>
      <c r="D24" s="502"/>
      <c r="E24" s="502"/>
      <c r="F24" s="502"/>
      <c r="G24" s="502"/>
      <c r="H24" s="502"/>
      <c r="I24" s="427">
        <v>1.629</v>
      </c>
      <c r="J24" s="432">
        <v>0.86799999999999999</v>
      </c>
      <c r="K24" s="433">
        <v>1.1339999999999999</v>
      </c>
      <c r="L24" s="433">
        <v>0.12670000000000001</v>
      </c>
      <c r="M24" s="433">
        <v>0.25230000000000002</v>
      </c>
      <c r="N24" s="437">
        <v>1.0183</v>
      </c>
      <c r="O24" s="47"/>
      <c r="P24" s="47"/>
      <c r="Q24" s="47"/>
      <c r="R24" s="47"/>
    </row>
    <row r="25" spans="2:18" ht="16">
      <c r="B25" s="46"/>
      <c r="C25" s="46"/>
      <c r="D25" s="47"/>
      <c r="E25" s="47"/>
      <c r="F25" s="48"/>
      <c r="G25" s="48"/>
      <c r="H25" s="47"/>
      <c r="I25" s="434"/>
      <c r="J25" s="434"/>
      <c r="K25" s="434"/>
      <c r="L25" s="434"/>
      <c r="M25" s="434"/>
      <c r="N25" s="434"/>
      <c r="O25" s="47"/>
      <c r="P25" s="47"/>
      <c r="Q25" s="47"/>
      <c r="R25" s="47"/>
    </row>
    <row r="26" spans="2:18" ht="16">
      <c r="B26" s="51" t="s">
        <v>80</v>
      </c>
      <c r="C26" s="46"/>
      <c r="D26" s="47"/>
      <c r="E26" s="47"/>
      <c r="F26" s="48"/>
      <c r="G26" s="48"/>
      <c r="H26" s="47"/>
      <c r="I26" s="434"/>
      <c r="J26" s="434"/>
      <c r="K26" s="434"/>
      <c r="L26" s="434"/>
      <c r="M26" s="434"/>
      <c r="N26" s="434"/>
      <c r="O26" s="47"/>
      <c r="P26" s="47"/>
      <c r="Q26" s="47"/>
      <c r="R26" s="47"/>
    </row>
    <row r="27" spans="2:18" ht="16">
      <c r="B27" s="405" t="s">
        <v>79</v>
      </c>
      <c r="C27" s="502" t="s">
        <v>78</v>
      </c>
      <c r="D27" s="502"/>
      <c r="E27" s="502"/>
      <c r="F27" s="502"/>
      <c r="G27" s="502"/>
      <c r="H27" s="502"/>
      <c r="I27" s="431">
        <v>16.399999999999999</v>
      </c>
      <c r="J27" s="435">
        <v>8.7200000000000006</v>
      </c>
      <c r="K27" s="435" t="s">
        <v>261</v>
      </c>
      <c r="L27" s="435">
        <v>30.79</v>
      </c>
      <c r="M27" s="435">
        <v>21.55</v>
      </c>
      <c r="N27" s="435" t="s">
        <v>261</v>
      </c>
      <c r="O27" s="47"/>
      <c r="P27" s="47"/>
      <c r="Q27" s="47"/>
      <c r="R27" s="47"/>
    </row>
    <row r="28" spans="2:18" ht="16">
      <c r="B28" s="405" t="s">
        <v>77</v>
      </c>
      <c r="C28" s="502" t="s">
        <v>76</v>
      </c>
      <c r="D28" s="502"/>
      <c r="E28" s="502"/>
      <c r="F28" s="502"/>
      <c r="G28" s="502"/>
      <c r="H28" s="502"/>
      <c r="I28" s="431">
        <v>15.5</v>
      </c>
      <c r="J28" s="435">
        <v>7.84</v>
      </c>
      <c r="K28" s="435" t="s">
        <v>261</v>
      </c>
      <c r="L28" s="435">
        <v>23.47</v>
      </c>
      <c r="M28" s="435">
        <v>21.01</v>
      </c>
      <c r="N28" s="435" t="s">
        <v>261</v>
      </c>
      <c r="O28" s="47"/>
      <c r="P28" s="47"/>
      <c r="Q28" s="47"/>
      <c r="R28" s="47"/>
    </row>
    <row r="29" spans="2:18" ht="16">
      <c r="B29" s="405" t="s">
        <v>75</v>
      </c>
      <c r="C29" s="502" t="s">
        <v>74</v>
      </c>
      <c r="D29" s="502"/>
      <c r="E29" s="502"/>
      <c r="F29" s="502"/>
      <c r="G29" s="502"/>
      <c r="H29" s="502"/>
      <c r="I29" s="431">
        <v>26.64</v>
      </c>
      <c r="J29" s="431">
        <v>8.27</v>
      </c>
      <c r="K29" s="431">
        <v>-1.1200000000000001</v>
      </c>
      <c r="L29" s="431">
        <v>21.16</v>
      </c>
      <c r="M29" s="431">
        <v>11.46</v>
      </c>
      <c r="N29" s="431">
        <v>65.819999999999993</v>
      </c>
      <c r="O29" s="47"/>
      <c r="P29" s="47"/>
      <c r="Q29" s="47"/>
      <c r="R29" s="47"/>
    </row>
    <row r="30" spans="2:18" ht="16">
      <c r="B30" s="405" t="s">
        <v>73</v>
      </c>
      <c r="C30" s="502" t="s">
        <v>68</v>
      </c>
      <c r="D30" s="502"/>
      <c r="E30" s="502"/>
      <c r="F30" s="502"/>
      <c r="G30" s="502"/>
      <c r="H30" s="502"/>
      <c r="I30" s="436">
        <v>1.4</v>
      </c>
      <c r="J30" s="435">
        <v>0.56000000000000005</v>
      </c>
      <c r="K30" s="435">
        <v>0.03</v>
      </c>
      <c r="L30" s="435">
        <v>4.28</v>
      </c>
      <c r="M30" s="435">
        <v>1.42</v>
      </c>
      <c r="N30" s="435">
        <v>0.2</v>
      </c>
    </row>
    <row r="31" spans="2:18" ht="16">
      <c r="B31" s="405" t="s">
        <v>72</v>
      </c>
      <c r="C31" s="502" t="s">
        <v>71</v>
      </c>
      <c r="D31" s="502"/>
      <c r="E31" s="502"/>
      <c r="F31" s="502"/>
      <c r="G31" s="502"/>
      <c r="H31" s="502"/>
      <c r="I31" s="436">
        <v>1.4</v>
      </c>
      <c r="J31" s="435">
        <v>0.6</v>
      </c>
      <c r="K31" s="435">
        <v>0.05</v>
      </c>
      <c r="L31" s="435">
        <v>3.82</v>
      </c>
      <c r="M31" s="435">
        <v>1.19</v>
      </c>
      <c r="N31" s="435">
        <v>0.23</v>
      </c>
    </row>
    <row r="32" spans="2:18" ht="16">
      <c r="B32" s="405" t="s">
        <v>70</v>
      </c>
      <c r="C32" s="502" t="s">
        <v>68</v>
      </c>
      <c r="D32" s="502"/>
      <c r="E32" s="502"/>
      <c r="F32" s="502"/>
      <c r="G32" s="502"/>
      <c r="H32" s="502"/>
      <c r="I32" s="436">
        <v>6.1</v>
      </c>
      <c r="J32" s="435">
        <v>2.02</v>
      </c>
      <c r="K32" s="435">
        <v>0.23</v>
      </c>
      <c r="L32" s="435">
        <v>11.43</v>
      </c>
      <c r="M32" s="435">
        <v>2.7</v>
      </c>
      <c r="N32" s="435">
        <v>0.79</v>
      </c>
    </row>
    <row r="33" spans="2:14" ht="16">
      <c r="B33" s="405" t="s">
        <v>69</v>
      </c>
      <c r="C33" s="502" t="s">
        <v>68</v>
      </c>
      <c r="D33" s="502"/>
      <c r="E33" s="502"/>
      <c r="F33" s="502"/>
      <c r="G33" s="502"/>
      <c r="H33" s="502"/>
      <c r="I33" s="436">
        <v>9.6999999999999993</v>
      </c>
      <c r="J33" s="436">
        <v>5.0999999999999996</v>
      </c>
      <c r="K33" s="436">
        <v>-1.1499999999999999</v>
      </c>
      <c r="L33" s="436">
        <v>15.36</v>
      </c>
      <c r="M33" s="436">
        <v>12.23</v>
      </c>
      <c r="N33" s="436">
        <v>5.43</v>
      </c>
    </row>
    <row r="34" spans="2:14" ht="16">
      <c r="B34" s="405" t="s">
        <v>67</v>
      </c>
      <c r="C34" s="502" t="s">
        <v>66</v>
      </c>
      <c r="D34" s="502"/>
      <c r="E34" s="502"/>
      <c r="F34" s="502"/>
      <c r="G34" s="502"/>
      <c r="H34" s="502"/>
      <c r="I34" s="436">
        <v>9.8000000000000007</v>
      </c>
      <c r="J34" s="409">
        <v>5.7</v>
      </c>
      <c r="K34" s="409" t="s">
        <v>261</v>
      </c>
      <c r="L34" s="441">
        <v>15.36</v>
      </c>
      <c r="M34" s="441">
        <v>6.41</v>
      </c>
      <c r="N34" s="441">
        <v>5.43</v>
      </c>
    </row>
  </sheetData>
  <mergeCells count="25">
    <mergeCell ref="B2:N2"/>
    <mergeCell ref="C4:N6"/>
    <mergeCell ref="B4:B6"/>
    <mergeCell ref="B7:B9"/>
    <mergeCell ref="C7:N9"/>
    <mergeCell ref="C18:H18"/>
    <mergeCell ref="C19:H19"/>
    <mergeCell ref="C20:H20"/>
    <mergeCell ref="C21:H21"/>
    <mergeCell ref="C11:H11"/>
    <mergeCell ref="C12:H12"/>
    <mergeCell ref="C13:H13"/>
    <mergeCell ref="C14:H14"/>
    <mergeCell ref="C17:H17"/>
    <mergeCell ref="C22:H22"/>
    <mergeCell ref="C23:H23"/>
    <mergeCell ref="C24:H24"/>
    <mergeCell ref="C27:H27"/>
    <mergeCell ref="C28:H28"/>
    <mergeCell ref="C34:H34"/>
    <mergeCell ref="C29:H29"/>
    <mergeCell ref="C30:H30"/>
    <mergeCell ref="C31:H31"/>
    <mergeCell ref="C32:H32"/>
    <mergeCell ref="C33:H3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E5280-F3A9-EB42-BB78-091F56E6A9A7}">
  <dimension ref="B3:T40"/>
  <sheetViews>
    <sheetView showGridLines="0" zoomScaleNormal="100" workbookViewId="0">
      <selection activeCell="H29" sqref="H29"/>
    </sheetView>
  </sheetViews>
  <sheetFormatPr baseColWidth="10" defaultColWidth="9" defaultRowHeight="13"/>
  <cols>
    <col min="1" max="1" width="9" style="166"/>
    <col min="2" max="2" width="15.59765625" style="166" customWidth="1"/>
    <col min="3" max="3" width="38.3984375" style="166" bestFit="1" customWidth="1"/>
    <col min="4" max="4" width="4.59765625" style="166" customWidth="1"/>
    <col min="5" max="6" width="11" style="166" bestFit="1" customWidth="1"/>
    <col min="7" max="7" width="9.19921875" style="166" customWidth="1"/>
    <col min="8" max="8" width="19.3984375" style="166" customWidth="1"/>
    <col min="9" max="9" width="9.796875" style="166" customWidth="1"/>
    <col min="10" max="10" width="10.3984375" style="166" customWidth="1"/>
    <col min="11" max="11" width="11.19921875" style="166" bestFit="1" customWidth="1"/>
    <col min="12" max="12" width="12" style="166" customWidth="1"/>
    <col min="13" max="16384" width="9" style="166"/>
  </cols>
  <sheetData>
    <row r="3" spans="2:12" ht="19">
      <c r="B3" s="439" t="s">
        <v>246</v>
      </c>
      <c r="C3" s="87"/>
      <c r="D3" s="87"/>
      <c r="E3" s="87"/>
      <c r="F3" s="87"/>
      <c r="G3" s="87"/>
      <c r="H3" s="87"/>
      <c r="I3" s="87"/>
      <c r="J3" s="87"/>
      <c r="K3" s="87"/>
    </row>
    <row r="4" spans="2:12" ht="16">
      <c r="B4" s="292" t="s">
        <v>177</v>
      </c>
      <c r="C4" s="88"/>
      <c r="D4" s="88"/>
      <c r="E4" s="88"/>
      <c r="F4" s="88"/>
      <c r="G4" s="88"/>
      <c r="H4" s="88"/>
      <c r="I4" s="88"/>
      <c r="J4" s="88"/>
      <c r="K4" s="88"/>
    </row>
    <row r="6" spans="2:12" ht="14" thickBot="1"/>
    <row r="7" spans="2:12" ht="15" customHeight="1" thickBot="1">
      <c r="B7" s="512" t="s">
        <v>170</v>
      </c>
      <c r="C7" s="513"/>
      <c r="D7" s="513"/>
      <c r="E7" s="513"/>
      <c r="F7" s="514"/>
      <c r="G7" s="167"/>
      <c r="H7" s="512" t="s">
        <v>171</v>
      </c>
      <c r="I7" s="513"/>
      <c r="J7" s="513"/>
      <c r="K7" s="513"/>
      <c r="L7" s="514"/>
    </row>
    <row r="9" spans="2:12">
      <c r="B9" s="168"/>
      <c r="C9" s="168" t="s">
        <v>80</v>
      </c>
      <c r="D9" s="169"/>
      <c r="E9" s="196" t="s">
        <v>172</v>
      </c>
      <c r="F9" s="197"/>
      <c r="G9" s="167"/>
      <c r="H9" s="170" t="s">
        <v>80</v>
      </c>
      <c r="I9" s="171"/>
      <c r="J9" s="496" t="s">
        <v>172</v>
      </c>
      <c r="K9" s="497"/>
      <c r="L9" s="498"/>
    </row>
    <row r="10" spans="2:12">
      <c r="B10" s="173" t="s">
        <v>190</v>
      </c>
      <c r="C10" s="173" t="s">
        <v>189</v>
      </c>
      <c r="D10" s="169"/>
      <c r="E10" s="173" t="s">
        <v>174</v>
      </c>
      <c r="F10" s="173" t="s">
        <v>175</v>
      </c>
      <c r="G10" s="167"/>
      <c r="H10" s="173" t="s">
        <v>173</v>
      </c>
      <c r="J10" s="172" t="s">
        <v>174</v>
      </c>
      <c r="K10" s="198" t="s">
        <v>176</v>
      </c>
      <c r="L10" s="172" t="s">
        <v>175</v>
      </c>
    </row>
    <row r="11" spans="2:12" ht="14" thickBot="1">
      <c r="G11" s="167"/>
    </row>
    <row r="12" spans="2:12">
      <c r="B12" s="166" t="s">
        <v>107</v>
      </c>
      <c r="C12" s="294" t="s">
        <v>193</v>
      </c>
      <c r="D12" s="174"/>
      <c r="E12" s="175">
        <v>176.23</v>
      </c>
      <c r="F12" s="175">
        <v>254.59</v>
      </c>
      <c r="G12" s="167"/>
      <c r="H12" s="183" t="str">
        <f>IF(ISTEXT(C12),C12,"n/a")</f>
        <v>52-Week Low/High</v>
      </c>
      <c r="I12" s="184"/>
      <c r="J12" s="185">
        <f>E12</f>
        <v>176.23</v>
      </c>
      <c r="K12" s="186">
        <f>L12-J12</f>
        <v>78.360000000000014</v>
      </c>
      <c r="L12" s="187">
        <f>F12</f>
        <v>254.59</v>
      </c>
    </row>
    <row r="13" spans="2:12">
      <c r="B13" s="166" t="s">
        <v>191</v>
      </c>
      <c r="C13" s="294" t="s">
        <v>310</v>
      </c>
      <c r="D13" s="174"/>
      <c r="E13" s="440">
        <v>160</v>
      </c>
      <c r="F13" s="440">
        <v>260</v>
      </c>
      <c r="G13" s="167"/>
      <c r="H13" s="188" t="str">
        <f>IF(ISTEXT(C13),C13,"n/a")</f>
        <v>2024 EBITDA DCF (9.3x - 15.4x)</v>
      </c>
      <c r="I13" s="348"/>
      <c r="J13" s="349">
        <f>E13</f>
        <v>160</v>
      </c>
      <c r="K13" s="350">
        <f>L13-J13</f>
        <v>100</v>
      </c>
      <c r="L13" s="189">
        <f>F13</f>
        <v>260</v>
      </c>
    </row>
    <row r="14" spans="2:12">
      <c r="B14" s="166" t="s">
        <v>191</v>
      </c>
      <c r="C14" s="294" t="s">
        <v>338</v>
      </c>
      <c r="D14" s="174"/>
      <c r="E14" s="175">
        <v>146</v>
      </c>
      <c r="F14" s="175">
        <v>244</v>
      </c>
      <c r="G14" s="167"/>
      <c r="H14" s="188" t="str">
        <f>IF(ISTEXT(C14),C14,"n/a")</f>
        <v>2024 P/E Comps (12.0x - 20.1x)</v>
      </c>
      <c r="I14" s="348"/>
      <c r="J14" s="349">
        <f>E14</f>
        <v>146</v>
      </c>
      <c r="K14" s="350">
        <f>L14-J14</f>
        <v>98</v>
      </c>
      <c r="L14" s="189">
        <f>F14</f>
        <v>244</v>
      </c>
    </row>
    <row r="15" spans="2:12" ht="14" thickBot="1">
      <c r="B15" s="166" t="s">
        <v>192</v>
      </c>
      <c r="C15" s="294" t="s">
        <v>309</v>
      </c>
      <c r="D15" s="174"/>
      <c r="E15" s="175">
        <f>(('[1]Income Statement'!$H$66*9.3)-'[1]Balance Sheet'!$G$43+'[1]Balance Sheet'!$G$10-'[1]Balance Sheet'!$G$53)/'[1]Income Statement'!$H$37</f>
        <v>164.62252080302576</v>
      </c>
      <c r="F15" s="175">
        <f>(('[1]Income Statement'!$H$66*15.4)-'[1]Balance Sheet'!$G$43+'[1]Balance Sheet'!$G$10-'[1]Balance Sheet'!$G$53)/'[1]Income Statement'!$H$37</f>
        <v>290.15274716322352</v>
      </c>
      <c r="G15" s="167"/>
      <c r="H15" s="190" t="str">
        <f>IF(ISTEXT(C15),C15,"n/a")</f>
        <v>2024 EV / EBITDA Comps (9.3x - 15.4x)</v>
      </c>
      <c r="I15" s="191"/>
      <c r="J15" s="192">
        <f>E15</f>
        <v>164.62252080302576</v>
      </c>
      <c r="K15" s="193">
        <f>L15-J15</f>
        <v>125.53022636019776</v>
      </c>
      <c r="L15" s="194">
        <f>F15</f>
        <v>290.15274716322352</v>
      </c>
    </row>
    <row r="16" spans="2:12">
      <c r="D16" s="174"/>
      <c r="E16" s="175"/>
      <c r="F16" s="175"/>
      <c r="G16" s="167"/>
    </row>
    <row r="17" spans="3:20">
      <c r="C17" s="294"/>
      <c r="D17" s="174"/>
      <c r="E17" s="175"/>
      <c r="F17" s="175"/>
      <c r="G17" s="167"/>
    </row>
    <row r="18" spans="3:20">
      <c r="E18" s="175"/>
      <c r="F18" s="175"/>
      <c r="G18" s="167"/>
    </row>
    <row r="19" spans="3:20">
      <c r="E19" s="166" t="s">
        <v>340</v>
      </c>
    </row>
    <row r="20" spans="3:20">
      <c r="C20" s="176"/>
      <c r="E20" s="177" t="s">
        <v>341</v>
      </c>
      <c r="F20" s="177"/>
    </row>
    <row r="22" spans="3:20" ht="16">
      <c r="C22" s="294"/>
      <c r="D22" s="174"/>
      <c r="H22" s="180"/>
    </row>
    <row r="23" spans="3:20" ht="16">
      <c r="C23" s="294"/>
      <c r="D23" s="174"/>
      <c r="H23" s="180"/>
      <c r="L23" s="177"/>
    </row>
    <row r="24" spans="3:20" ht="16">
      <c r="C24" s="294"/>
      <c r="D24" s="174"/>
      <c r="H24" s="180"/>
      <c r="K24" s="177"/>
      <c r="L24" s="177"/>
    </row>
    <row r="25" spans="3:20" ht="16">
      <c r="C25" s="294"/>
      <c r="D25" s="174"/>
      <c r="H25" s="180"/>
      <c r="K25" s="177"/>
      <c r="L25" s="177"/>
    </row>
    <row r="26" spans="3:20" ht="16">
      <c r="H26" s="180"/>
      <c r="K26" s="177"/>
    </row>
    <row r="27" spans="3:20" ht="16">
      <c r="H27" s="180"/>
      <c r="S27" s="177"/>
    </row>
    <row r="28" spans="3:20" ht="16">
      <c r="C28" s="178"/>
      <c r="D28" s="178"/>
      <c r="E28" s="179"/>
      <c r="F28" s="180"/>
      <c r="G28" s="179"/>
      <c r="H28" s="180"/>
      <c r="S28" s="177"/>
    </row>
    <row r="29" spans="3:20" ht="16">
      <c r="C29" s="178"/>
      <c r="D29" s="178"/>
      <c r="E29" s="179"/>
      <c r="F29" s="180"/>
      <c r="G29" s="179"/>
    </row>
    <row r="30" spans="3:20" ht="16">
      <c r="C30" s="178"/>
      <c r="D30" s="178"/>
      <c r="E30" s="179"/>
      <c r="F30" s="180"/>
      <c r="G30" s="179"/>
      <c r="T30" s="499"/>
    </row>
    <row r="31" spans="3:20" ht="16">
      <c r="C31" s="181"/>
      <c r="D31" s="178"/>
      <c r="E31" s="179"/>
      <c r="F31" s="180"/>
      <c r="G31" s="182"/>
      <c r="T31" s="499"/>
    </row>
    <row r="32" spans="3:20" ht="16">
      <c r="C32" s="178"/>
      <c r="D32" s="178"/>
      <c r="E32" s="179"/>
      <c r="F32" s="180"/>
      <c r="G32" s="180"/>
      <c r="T32" s="499"/>
    </row>
    <row r="33" spans="3:20" ht="16">
      <c r="C33" s="178"/>
      <c r="D33" s="178"/>
      <c r="E33" s="179"/>
      <c r="F33" s="180"/>
      <c r="G33" s="180"/>
      <c r="T33" s="499"/>
    </row>
    <row r="34" spans="3:20">
      <c r="T34" s="499"/>
    </row>
    <row r="35" spans="3:20">
      <c r="T35" s="499"/>
    </row>
    <row r="36" spans="3:20">
      <c r="T36" s="499"/>
    </row>
    <row r="37" spans="3:20">
      <c r="T37" s="499"/>
    </row>
    <row r="38" spans="3:20">
      <c r="T38" s="499"/>
    </row>
    <row r="39" spans="3:20">
      <c r="T39" s="499"/>
    </row>
    <row r="40" spans="3:20">
      <c r="T40" s="499"/>
    </row>
  </sheetData>
  <mergeCells count="4">
    <mergeCell ref="H7:L7"/>
    <mergeCell ref="J9:L9"/>
    <mergeCell ref="T30:T40"/>
    <mergeCell ref="B7:F7"/>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EA7F4-C4BE-4987-AA4E-2C68043F7B77}">
  <sheetPr>
    <tabColor theme="3"/>
  </sheetPr>
  <dimension ref="A1:A23"/>
  <sheetViews>
    <sheetView zoomScaleNormal="100" zoomScaleSheetLayoutView="100" workbookViewId="0">
      <selection activeCell="J34" sqref="J34"/>
    </sheetView>
  </sheetViews>
  <sheetFormatPr baseColWidth="10" defaultColWidth="9" defaultRowHeight="14"/>
  <sheetData>
    <row r="1" spans="1:1">
      <c r="A1" s="63" t="s">
        <v>258</v>
      </c>
    </row>
    <row r="2" spans="1:1">
      <c r="A2" s="63" t="s">
        <v>259</v>
      </c>
    </row>
    <row r="3" spans="1:1">
      <c r="A3" s="63" t="s">
        <v>260</v>
      </c>
    </row>
    <row r="10" spans="1:1">
      <c r="A10" t="s">
        <v>324</v>
      </c>
    </row>
    <row r="12" spans="1:1">
      <c r="A12" t="s">
        <v>322</v>
      </c>
    </row>
    <row r="13" spans="1:1">
      <c r="A13" t="s">
        <v>323</v>
      </c>
    </row>
    <row r="20" spans="1:1">
      <c r="A20" s="490" t="s">
        <v>351</v>
      </c>
    </row>
    <row r="21" spans="1:1">
      <c r="A21" s="490" t="s">
        <v>352</v>
      </c>
    </row>
    <row r="22" spans="1:1">
      <c r="A22" s="490" t="s">
        <v>353</v>
      </c>
    </row>
    <row r="23" spans="1:1">
      <c r="A23" s="490" t="s">
        <v>354</v>
      </c>
    </row>
  </sheetData>
  <hyperlinks>
    <hyperlink ref="A20" r:id="rId1" xr:uid="{E03A16CB-43CC-3A45-A1AF-F71C73E88898}"/>
    <hyperlink ref="A21" r:id="rId2" xr:uid="{8CD10966-76F6-434C-8918-0E9DA800C480}"/>
    <hyperlink ref="A22" r:id="rId3" xr:uid="{55508FAE-5115-784F-967C-4E5DB43EF78B}"/>
    <hyperlink ref="A23" r:id="rId4" xr:uid="{1B5D2223-0413-EA48-84BD-3980A4D044EA}"/>
  </hyperlinks>
  <pageMargins left="0.7" right="0.7" top="0.75" bottom="0.75" header="0.3" footer="0.3"/>
  <pageSetup orientation="portrait" horizontalDpi="200" verticalDpi="200"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BF603-3544-6849-B319-70DE15E3D098}">
  <dimension ref="B3:L35"/>
  <sheetViews>
    <sheetView showGridLines="0" zoomScale="103" zoomScaleNormal="103" zoomScaleSheetLayoutView="100" workbookViewId="0">
      <selection activeCell="M32" sqref="M32"/>
    </sheetView>
  </sheetViews>
  <sheetFormatPr baseColWidth="10" defaultColWidth="11" defaultRowHeight="16"/>
  <cols>
    <col min="1" max="1" width="5.59765625" style="1" customWidth="1"/>
    <col min="2" max="2" width="82.59765625" style="1" bestFit="1" customWidth="1"/>
    <col min="3" max="3" width="13.19921875" style="1" bestFit="1" customWidth="1"/>
    <col min="4" max="4" width="13.3984375" style="1" bestFit="1" customWidth="1"/>
    <col min="5" max="7" width="13.19921875" style="1" bestFit="1" customWidth="1"/>
    <col min="8" max="8" width="9.19921875" style="1" bestFit="1" customWidth="1"/>
    <col min="9" max="16384" width="11" style="1"/>
  </cols>
  <sheetData>
    <row r="3" spans="2:11" ht="19">
      <c r="B3" s="114" t="s">
        <v>246</v>
      </c>
      <c r="C3" s="87"/>
      <c r="D3" s="87"/>
      <c r="E3" s="87"/>
      <c r="F3" s="87"/>
      <c r="G3" s="87"/>
      <c r="H3" s="88"/>
      <c r="I3" s="88"/>
      <c r="J3" s="88"/>
      <c r="K3" s="88"/>
    </row>
    <row r="4" spans="2:11">
      <c r="B4" s="292" t="s">
        <v>47</v>
      </c>
      <c r="C4" s="88"/>
      <c r="D4" s="88"/>
      <c r="E4" s="88"/>
      <c r="F4" s="88"/>
      <c r="G4" s="88"/>
      <c r="H4" s="88"/>
      <c r="I4" s="88"/>
      <c r="J4" s="88"/>
      <c r="K4" s="88"/>
    </row>
    <row r="6" spans="2:11" ht="17">
      <c r="B6" s="34"/>
      <c r="C6" s="199" t="str">
        <f>'Income Statement'!D8</f>
        <v>2020A</v>
      </c>
      <c r="D6" s="199" t="str">
        <f>'Income Statement'!E8</f>
        <v>2021A</v>
      </c>
      <c r="E6" s="199" t="str">
        <f>'Income Statement'!F8</f>
        <v>2022A</v>
      </c>
      <c r="F6" s="199" t="str">
        <f>'Income Statement'!G8</f>
        <v>2023A</v>
      </c>
      <c r="G6" s="199" t="str">
        <f>'Income Statement'!H8</f>
        <v>2024A</v>
      </c>
    </row>
    <row r="7" spans="2:11">
      <c r="B7" s="34"/>
      <c r="C7" s="33"/>
      <c r="D7" s="33"/>
      <c r="E7" s="33"/>
      <c r="F7" s="33"/>
      <c r="G7" s="33"/>
    </row>
    <row r="8" spans="2:11" s="373" customFormat="1">
      <c r="B8" s="372" t="s">
        <v>9</v>
      </c>
      <c r="C8" s="369">
        <f>'Income Statement'!D34</f>
        <v>297</v>
      </c>
      <c r="D8" s="369">
        <f>'Income Statement'!E34</f>
        <v>530</v>
      </c>
      <c r="E8" s="369">
        <f>'Income Statement'!F34</f>
        <v>1520</v>
      </c>
      <c r="F8" s="369">
        <f>'Income Statement'!G34</f>
        <v>1043</v>
      </c>
      <c r="G8" s="369">
        <f>'Income Statement'!H34</f>
        <v>1046.7999999999997</v>
      </c>
    </row>
    <row r="9" spans="2:11" s="373" customFormat="1">
      <c r="B9" s="372" t="s">
        <v>240</v>
      </c>
      <c r="C9" s="381">
        <v>-1.2</v>
      </c>
      <c r="D9" s="381">
        <v>-46.3</v>
      </c>
      <c r="E9" s="381">
        <v>16.5</v>
      </c>
      <c r="F9" s="381">
        <v>23.1</v>
      </c>
      <c r="G9" s="381">
        <v>3.3</v>
      </c>
    </row>
    <row r="10" spans="2:11" s="373" customFormat="1">
      <c r="B10" s="372" t="s">
        <v>241</v>
      </c>
      <c r="C10" s="369">
        <v>270.39999999999998</v>
      </c>
      <c r="D10" s="369">
        <v>290</v>
      </c>
      <c r="E10" s="369">
        <v>322.60000000000002</v>
      </c>
      <c r="F10" s="369">
        <v>365.5</v>
      </c>
      <c r="G10" s="369">
        <v>393.9</v>
      </c>
    </row>
    <row r="11" spans="2:11" s="373" customFormat="1">
      <c r="B11" s="372" t="s">
        <v>239</v>
      </c>
      <c r="C11" s="369">
        <v>38</v>
      </c>
      <c r="D11" s="369">
        <v>71.8</v>
      </c>
      <c r="E11" s="369">
        <v>68.3</v>
      </c>
      <c r="F11" s="369">
        <v>70.2</v>
      </c>
      <c r="G11" s="369">
        <v>69</v>
      </c>
    </row>
    <row r="12" spans="2:11" s="373" customFormat="1">
      <c r="B12" s="372" t="s">
        <v>262</v>
      </c>
      <c r="C12" s="382">
        <f t="shared" ref="C12:F12" si="0">SUM(C8:C11)</f>
        <v>604.20000000000005</v>
      </c>
      <c r="D12" s="382">
        <f t="shared" si="0"/>
        <v>845.5</v>
      </c>
      <c r="E12" s="382">
        <f t="shared" si="0"/>
        <v>1927.3999999999999</v>
      </c>
      <c r="F12" s="382">
        <f t="shared" si="0"/>
        <v>1501.8</v>
      </c>
      <c r="G12" s="382">
        <f>SUM(G8:G11)</f>
        <v>1512.9999999999995</v>
      </c>
      <c r="H12" s="380"/>
    </row>
    <row r="13" spans="2:11">
      <c r="B13" s="372" t="s">
        <v>263</v>
      </c>
      <c r="C13" s="369">
        <v>-200.1</v>
      </c>
      <c r="D13" s="369">
        <v>707</v>
      </c>
      <c r="E13" s="369">
        <v>-325.60000000000002</v>
      </c>
      <c r="F13" s="369">
        <v>-580</v>
      </c>
      <c r="G13" s="369">
        <v>14.6</v>
      </c>
      <c r="H13" s="368"/>
    </row>
    <row r="14" spans="2:11">
      <c r="B14" s="28" t="s">
        <v>46</v>
      </c>
      <c r="C14" s="27">
        <v>404.6</v>
      </c>
      <c r="D14" s="27">
        <f>SUM(D12:D13)</f>
        <v>1552.5</v>
      </c>
      <c r="E14" s="27">
        <f>SUM(E12:E13)</f>
        <v>1601.7999999999997</v>
      </c>
      <c r="F14" s="27">
        <f>SUM(F12:F13)</f>
        <v>921.8</v>
      </c>
      <c r="G14" s="27">
        <f>SUM(G12:G13)</f>
        <v>1527.5999999999995</v>
      </c>
    </row>
    <row r="15" spans="2:11">
      <c r="B15" s="21"/>
      <c r="C15" s="19"/>
      <c r="D15" s="19"/>
      <c r="E15" s="19"/>
      <c r="F15" s="19"/>
      <c r="G15" s="19"/>
    </row>
    <row r="16" spans="2:11">
      <c r="B16" s="21" t="s">
        <v>14</v>
      </c>
      <c r="C16" s="19">
        <v>-218.8</v>
      </c>
      <c r="D16" s="19">
        <v>-224.2</v>
      </c>
      <c r="E16" s="19">
        <v>-353.7</v>
      </c>
      <c r="F16" s="19">
        <v>-407.2</v>
      </c>
      <c r="G16" s="19">
        <v>-587.4</v>
      </c>
    </row>
    <row r="17" spans="2:12">
      <c r="B17" s="21" t="s">
        <v>223</v>
      </c>
      <c r="C17" s="40">
        <v>40.4</v>
      </c>
      <c r="D17" s="40">
        <v>0</v>
      </c>
      <c r="E17" s="40">
        <v>0</v>
      </c>
      <c r="F17" s="40">
        <v>0</v>
      </c>
      <c r="G17" s="40">
        <v>0</v>
      </c>
    </row>
    <row r="18" spans="2:12">
      <c r="B18" s="21" t="s">
        <v>45</v>
      </c>
      <c r="C18" s="19">
        <v>49.1</v>
      </c>
      <c r="D18" s="19">
        <v>0</v>
      </c>
      <c r="E18" s="19">
        <v>9.6999999999999993</v>
      </c>
      <c r="F18" s="19">
        <v>14.3</v>
      </c>
      <c r="G18" s="19">
        <v>-27.3</v>
      </c>
    </row>
    <row r="19" spans="2:12">
      <c r="B19" s="28" t="s">
        <v>44</v>
      </c>
      <c r="C19" s="27">
        <f t="shared" ref="C19:F19" si="1">SUM(C16:C18)</f>
        <v>-129.30000000000001</v>
      </c>
      <c r="D19" s="27">
        <f t="shared" si="1"/>
        <v>-224.2</v>
      </c>
      <c r="E19" s="27">
        <f t="shared" si="1"/>
        <v>-344</v>
      </c>
      <c r="F19" s="27">
        <f t="shared" si="1"/>
        <v>-392.9</v>
      </c>
      <c r="G19" s="27">
        <f>SUM(G16:G18)</f>
        <v>-614.69999999999993</v>
      </c>
      <c r="L19" s="21"/>
    </row>
    <row r="20" spans="2:12">
      <c r="B20" s="21"/>
      <c r="C20" s="19"/>
      <c r="D20" s="19"/>
      <c r="E20" s="19"/>
      <c r="F20" s="19"/>
      <c r="G20" s="19"/>
    </row>
    <row r="21" spans="2:12" s="208" customFormat="1">
      <c r="B21" s="372" t="s">
        <v>234</v>
      </c>
      <c r="C21" s="369">
        <v>-98.3</v>
      </c>
      <c r="D21" s="369">
        <v>-107.4</v>
      </c>
      <c r="E21" s="369">
        <v>-603</v>
      </c>
      <c r="F21" s="369">
        <v>-163.1</v>
      </c>
      <c r="G21" s="369">
        <v>-351.2</v>
      </c>
    </row>
    <row r="22" spans="2:12" s="208" customFormat="1">
      <c r="B22" s="372" t="s">
        <v>235</v>
      </c>
      <c r="C22" s="369">
        <v>5.57</v>
      </c>
      <c r="D22" s="369">
        <v>142.80000000000001</v>
      </c>
      <c r="E22" s="369">
        <v>26.35</v>
      </c>
      <c r="F22" s="369">
        <v>23.68</v>
      </c>
      <c r="G22" s="369">
        <v>15.21</v>
      </c>
    </row>
    <row r="23" spans="2:12" s="208" customFormat="1">
      <c r="B23" s="372" t="s">
        <v>236</v>
      </c>
      <c r="C23" s="371">
        <v>-402.24</v>
      </c>
      <c r="D23" s="369">
        <v>0</v>
      </c>
      <c r="E23" s="369">
        <v>-1144.6300000000001</v>
      </c>
      <c r="F23" s="371">
        <v>-458.46</v>
      </c>
      <c r="G23" s="371">
        <v>-648.54999999999995</v>
      </c>
    </row>
    <row r="24" spans="2:12" s="208" customFormat="1">
      <c r="B24" s="372" t="s">
        <v>238</v>
      </c>
      <c r="C24" s="369">
        <v>17.55</v>
      </c>
      <c r="D24" s="369">
        <v>57.21</v>
      </c>
      <c r="E24" s="369">
        <v>1482.12</v>
      </c>
      <c r="F24" s="371">
        <v>-89.24</v>
      </c>
      <c r="G24" s="371">
        <v>48.68</v>
      </c>
    </row>
    <row r="25" spans="2:12" s="208" customFormat="1">
      <c r="B25" s="372" t="s">
        <v>237</v>
      </c>
      <c r="C25" s="369">
        <v>167.25</v>
      </c>
      <c r="D25" s="369">
        <v>171.62</v>
      </c>
      <c r="E25" s="369">
        <v>-0.73</v>
      </c>
      <c r="F25" s="371">
        <v>-516.61</v>
      </c>
      <c r="G25" s="371">
        <v>-0.96</v>
      </c>
    </row>
    <row r="26" spans="2:12">
      <c r="B26" s="21" t="s">
        <v>239</v>
      </c>
      <c r="C26" s="369">
        <v>-9.5</v>
      </c>
      <c r="D26" s="369">
        <v>-4.2</v>
      </c>
      <c r="E26" s="369">
        <v>-32.6</v>
      </c>
      <c r="F26" s="371">
        <v>-43.9</v>
      </c>
      <c r="G26" s="371">
        <v>-98.9</v>
      </c>
    </row>
    <row r="27" spans="2:12">
      <c r="B27" s="28" t="s">
        <v>43</v>
      </c>
      <c r="C27" s="27">
        <f>SUM(C21:C26)</f>
        <v>-319.67</v>
      </c>
      <c r="D27" s="27">
        <f>SUM(D21:D26)</f>
        <v>260.03000000000003</v>
      </c>
      <c r="E27" s="27">
        <f>SUM(E21:E26)</f>
        <v>-272.49000000000029</v>
      </c>
      <c r="F27" s="27">
        <f>SUM(F21:F26)</f>
        <v>-1247.6300000000001</v>
      </c>
      <c r="G27" s="27">
        <f>SUM(G21:G26)</f>
        <v>-1035.72</v>
      </c>
    </row>
    <row r="28" spans="2:12">
      <c r="B28" s="21"/>
      <c r="C28" s="19"/>
      <c r="D28" s="19"/>
      <c r="E28" s="19"/>
      <c r="F28" s="19"/>
      <c r="G28" s="19"/>
    </row>
    <row r="29" spans="2:12">
      <c r="B29" s="21" t="s">
        <v>42</v>
      </c>
      <c r="C29" s="18">
        <v>0</v>
      </c>
      <c r="D29" s="18">
        <v>0.1</v>
      </c>
      <c r="E29" s="18">
        <v>0</v>
      </c>
      <c r="F29" s="18">
        <v>-0.2</v>
      </c>
      <c r="G29" s="18">
        <v>-0.1</v>
      </c>
    </row>
    <row r="30" spans="2:12">
      <c r="B30" s="21" t="s">
        <v>264</v>
      </c>
      <c r="C30" s="19">
        <v>-44.3</v>
      </c>
      <c r="D30" s="19">
        <v>1588.7</v>
      </c>
      <c r="E30" s="19">
        <v>985.1</v>
      </c>
      <c r="F30" s="19">
        <v>-718.8</v>
      </c>
      <c r="G30" s="19">
        <v>-123.2</v>
      </c>
    </row>
    <row r="31" spans="2:12">
      <c r="B31" s="372" t="s">
        <v>265</v>
      </c>
      <c r="C31" s="369">
        <v>187.2</v>
      </c>
      <c r="D31" s="369">
        <v>1328.7</v>
      </c>
      <c r="E31" s="369">
        <v>1293.3</v>
      </c>
      <c r="F31" s="369">
        <v>557.79999999999995</v>
      </c>
      <c r="G31" s="369">
        <v>939.9</v>
      </c>
      <c r="H31" s="208"/>
      <c r="I31" s="208"/>
      <c r="J31" s="208"/>
    </row>
    <row r="32" spans="2:12">
      <c r="B32" s="372" t="s">
        <v>266</v>
      </c>
      <c r="C32" s="369">
        <v>2.1</v>
      </c>
      <c r="D32" s="369">
        <v>14.3</v>
      </c>
      <c r="E32" s="369">
        <v>11.8</v>
      </c>
      <c r="F32" s="369">
        <v>5.6</v>
      </c>
      <c r="G32" s="369">
        <v>10.9</v>
      </c>
      <c r="H32" s="208"/>
      <c r="I32" s="208"/>
      <c r="J32" s="208"/>
    </row>
    <row r="33" spans="2:10">
      <c r="B33" s="372" t="s">
        <v>267</v>
      </c>
      <c r="C33" s="369">
        <v>4.75</v>
      </c>
      <c r="D33" s="369">
        <v>21.4</v>
      </c>
      <c r="E33" s="369">
        <v>10.43</v>
      </c>
      <c r="F33" s="369">
        <v>4.45</v>
      </c>
      <c r="G33" s="369">
        <v>7.01</v>
      </c>
      <c r="H33" s="208"/>
      <c r="I33" s="208"/>
      <c r="J33" s="208"/>
    </row>
    <row r="34" spans="2:10">
      <c r="B34" s="370"/>
      <c r="C34" s="369"/>
      <c r="D34" s="369"/>
      <c r="E34" s="369"/>
      <c r="F34" s="369"/>
      <c r="G34" s="369"/>
      <c r="H34" s="208"/>
      <c r="I34" s="208"/>
      <c r="J34" s="208"/>
    </row>
    <row r="35" spans="2:10">
      <c r="C35" s="208"/>
      <c r="D35" s="208"/>
      <c r="E35" s="208"/>
      <c r="F35" s="208"/>
      <c r="G35" s="208"/>
      <c r="H35" s="208"/>
      <c r="I35" s="208"/>
      <c r="J35" s="208"/>
    </row>
  </sheetData>
  <pageMargins left="0.7" right="0.7" top="0.75" bottom="0.75" header="0.3" footer="0.3"/>
  <pageSetup scale="52"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D2FF0-6520-8445-B290-041D6C8A4F89}">
  <dimension ref="B3:K57"/>
  <sheetViews>
    <sheetView showGridLines="0" topLeftCell="A4" zoomScaleNormal="100" zoomScaleSheetLayoutView="100" workbookViewId="0">
      <selection activeCell="J54" sqref="J54"/>
    </sheetView>
  </sheetViews>
  <sheetFormatPr baseColWidth="10" defaultColWidth="11" defaultRowHeight="16"/>
  <cols>
    <col min="1" max="1" width="5.59765625" style="1" customWidth="1"/>
    <col min="2" max="2" width="47" style="1" bestFit="1" customWidth="1"/>
    <col min="3" max="3" width="13.19921875" style="1" customWidth="1"/>
    <col min="4" max="16384" width="11" style="1"/>
  </cols>
  <sheetData>
    <row r="3" spans="2:11" ht="19">
      <c r="B3" s="114" t="s">
        <v>268</v>
      </c>
      <c r="C3" s="87"/>
      <c r="D3" s="87"/>
      <c r="E3" s="87"/>
      <c r="F3" s="87"/>
      <c r="G3" s="87"/>
      <c r="H3" s="88"/>
      <c r="I3" s="88"/>
      <c r="J3" s="88"/>
      <c r="K3" s="88"/>
    </row>
    <row r="4" spans="2:11" s="292" customFormat="1">
      <c r="B4" s="292" t="s">
        <v>65</v>
      </c>
    </row>
    <row r="6" spans="2:11" ht="17">
      <c r="B6" s="34"/>
      <c r="C6" s="199" t="s">
        <v>142</v>
      </c>
      <c r="D6" s="199" t="s">
        <v>143</v>
      </c>
      <c r="E6" s="199" t="s">
        <v>144</v>
      </c>
      <c r="F6" s="199" t="s">
        <v>145</v>
      </c>
      <c r="G6" s="199" t="s">
        <v>146</v>
      </c>
      <c r="I6" s="34"/>
    </row>
    <row r="7" spans="2:11">
      <c r="B7" s="44" t="s">
        <v>64</v>
      </c>
      <c r="C7" s="33"/>
      <c r="D7" s="33"/>
      <c r="E7" s="33"/>
      <c r="F7" s="33"/>
      <c r="G7" s="33"/>
      <c r="I7" s="384"/>
    </row>
    <row r="8" spans="2:11" ht="5" customHeight="1">
      <c r="B8" s="34"/>
      <c r="C8" s="33"/>
      <c r="D8" s="33"/>
      <c r="E8" s="33"/>
      <c r="F8" s="33"/>
      <c r="G8" s="33"/>
      <c r="I8" s="34"/>
    </row>
    <row r="9" spans="2:11">
      <c r="B9" s="34" t="s">
        <v>63</v>
      </c>
      <c r="C9" s="33"/>
      <c r="D9" s="33"/>
      <c r="E9" s="33"/>
      <c r="F9" s="33"/>
      <c r="G9" s="33"/>
      <c r="I9" s="34"/>
    </row>
    <row r="10" spans="2:11">
      <c r="B10" s="21" t="s">
        <v>269</v>
      </c>
      <c r="C10" s="19">
        <v>69.334000000000003</v>
      </c>
      <c r="D10" s="19">
        <v>1658.067</v>
      </c>
      <c r="E10" s="19">
        <v>2643.2049999999999</v>
      </c>
      <c r="F10" s="19">
        <v>1924.386</v>
      </c>
      <c r="G10" s="19">
        <v>1801.22</v>
      </c>
      <c r="I10" s="21"/>
    </row>
    <row r="11" spans="2:11">
      <c r="B11" s="21" t="s">
        <v>270</v>
      </c>
      <c r="C11" s="19">
        <v>58.935000000000002</v>
      </c>
      <c r="D11" s="19">
        <v>59.545000000000002</v>
      </c>
      <c r="E11" s="19">
        <v>70.241</v>
      </c>
      <c r="F11" s="19">
        <v>79.472999999999999</v>
      </c>
      <c r="G11" s="19">
        <v>118.985</v>
      </c>
      <c r="I11" s="21"/>
    </row>
    <row r="12" spans="2:11">
      <c r="B12" s="21" t="s">
        <v>62</v>
      </c>
      <c r="C12" s="19">
        <v>2202.2750000000001</v>
      </c>
      <c r="D12" s="19">
        <v>1953.568</v>
      </c>
      <c r="E12" s="19">
        <v>2297.6089999999999</v>
      </c>
      <c r="F12" s="19">
        <v>2830.9169999999999</v>
      </c>
      <c r="G12" s="19">
        <v>2848.797</v>
      </c>
      <c r="I12" s="21"/>
    </row>
    <row r="13" spans="2:11">
      <c r="B13" s="21" t="s">
        <v>61</v>
      </c>
      <c r="C13" s="19">
        <v>79.471999999999994</v>
      </c>
      <c r="D13" s="19">
        <v>88.47</v>
      </c>
      <c r="E13" s="19">
        <v>95.600999999999999</v>
      </c>
      <c r="F13" s="19">
        <v>128.41</v>
      </c>
      <c r="G13" s="19">
        <v>121.047</v>
      </c>
      <c r="I13" s="21"/>
    </row>
    <row r="14" spans="2:11">
      <c r="B14" s="28" t="s">
        <v>60</v>
      </c>
      <c r="C14" s="27">
        <f>SUM(C10:C11,C12:C13)</f>
        <v>2410.0160000000001</v>
      </c>
      <c r="D14" s="27">
        <f>SUM(D10:D11,D12:D13)</f>
        <v>3759.65</v>
      </c>
      <c r="E14" s="27">
        <f>SUM(E10:E11,E12:E13)</f>
        <v>5106.6559999999999</v>
      </c>
      <c r="F14" s="27">
        <f>SUM(F10:F11,F12:F13)</f>
        <v>4963.1859999999997</v>
      </c>
      <c r="G14" s="27">
        <f>SUM(G10:G11,G12:G13)</f>
        <v>4890.049</v>
      </c>
      <c r="I14" s="21"/>
    </row>
    <row r="15" spans="2:11">
      <c r="B15" s="21"/>
      <c r="C15" s="19"/>
      <c r="D15" s="19"/>
      <c r="E15" s="19"/>
      <c r="F15" s="19"/>
      <c r="G15" s="19"/>
      <c r="I15" s="21"/>
    </row>
    <row r="16" spans="2:11">
      <c r="B16" s="32" t="s">
        <v>59</v>
      </c>
      <c r="C16" s="19"/>
      <c r="D16" s="19"/>
      <c r="E16" s="19"/>
      <c r="F16" s="19"/>
      <c r="G16" s="19"/>
      <c r="I16" s="21"/>
    </row>
    <row r="17" spans="2:9">
      <c r="B17" s="29" t="s">
        <v>271</v>
      </c>
      <c r="C17" s="19">
        <v>322.61799999999999</v>
      </c>
      <c r="D17" s="19">
        <v>328.41699999999997</v>
      </c>
      <c r="E17" s="19">
        <v>332.20699999999999</v>
      </c>
      <c r="F17" s="19">
        <v>355.10500000000002</v>
      </c>
      <c r="G17" s="19">
        <v>405.48599999999999</v>
      </c>
      <c r="I17" s="21"/>
    </row>
    <row r="18" spans="2:9">
      <c r="B18" s="29" t="s">
        <v>272</v>
      </c>
      <c r="C18" s="19">
        <v>424.584</v>
      </c>
      <c r="D18" s="19">
        <v>460.00400000000002</v>
      </c>
      <c r="E18" s="19">
        <v>508.87</v>
      </c>
      <c r="F18" s="19">
        <v>545.13599999999997</v>
      </c>
      <c r="G18" s="19">
        <v>639.68499999999995</v>
      </c>
      <c r="I18" s="21"/>
    </row>
    <row r="19" spans="2:9">
      <c r="B19" s="29" t="s">
        <v>273</v>
      </c>
      <c r="C19" s="19">
        <v>2820.4520000000002</v>
      </c>
      <c r="D19" s="19">
        <v>2887.93</v>
      </c>
      <c r="E19" s="19">
        <v>3092.768</v>
      </c>
      <c r="F19" s="19">
        <v>3215.9470000000001</v>
      </c>
      <c r="G19" s="19">
        <v>3692.319</v>
      </c>
      <c r="I19" s="21"/>
    </row>
    <row r="20" spans="2:9">
      <c r="B20" s="29" t="s">
        <v>274</v>
      </c>
      <c r="C20" s="19">
        <v>2313.846</v>
      </c>
      <c r="D20" s="19">
        <v>2149.913</v>
      </c>
      <c r="E20" s="19">
        <v>2044.819</v>
      </c>
      <c r="F20" s="19">
        <v>2138.366</v>
      </c>
      <c r="G20" s="19">
        <v>2257.482</v>
      </c>
      <c r="I20" s="21"/>
    </row>
    <row r="21" spans="2:9">
      <c r="B21" s="21" t="s">
        <v>275</v>
      </c>
      <c r="C21" s="19">
        <f>SUM(C17:C20)</f>
        <v>5881.5</v>
      </c>
      <c r="D21" s="19">
        <f t="shared" ref="D21:G21" si="0">SUM(D17:D20)</f>
        <v>5826.2639999999992</v>
      </c>
      <c r="E21" s="19">
        <f t="shared" si="0"/>
        <v>5978.6640000000007</v>
      </c>
      <c r="F21" s="19">
        <f t="shared" si="0"/>
        <v>6254.5540000000001</v>
      </c>
      <c r="G21" s="19">
        <f t="shared" si="0"/>
        <v>6994.9719999999998</v>
      </c>
      <c r="I21" s="21"/>
    </row>
    <row r="22" spans="2:9">
      <c r="B22" s="21" t="s">
        <v>276</v>
      </c>
      <c r="C22" s="19">
        <v>2151.9259999999999</v>
      </c>
      <c r="D22" s="19">
        <v>2376.0859999999998</v>
      </c>
      <c r="E22" s="19">
        <v>2614.1640000000002</v>
      </c>
      <c r="F22" s="19">
        <v>2803.2</v>
      </c>
      <c r="G22" s="19">
        <v>3099.3290000000002</v>
      </c>
      <c r="I22" s="21"/>
    </row>
    <row r="23" spans="2:9">
      <c r="B23" s="21" t="s">
        <v>277</v>
      </c>
      <c r="C23" s="19">
        <f>C21-C22</f>
        <v>3729.5740000000001</v>
      </c>
      <c r="D23" s="19">
        <f>D21-D22</f>
        <v>3450.1779999999994</v>
      </c>
      <c r="E23" s="19">
        <f>E21-E22</f>
        <v>3364.5000000000005</v>
      </c>
      <c r="F23" s="19">
        <f>F21-F22</f>
        <v>3451.3540000000003</v>
      </c>
      <c r="G23" s="19">
        <f>G21-G22</f>
        <v>3895.6429999999996</v>
      </c>
      <c r="I23" s="21"/>
    </row>
    <row r="24" spans="2:9">
      <c r="B24" s="21"/>
      <c r="C24" s="19"/>
      <c r="D24" s="19"/>
      <c r="E24" s="19"/>
      <c r="F24" s="19"/>
      <c r="G24" s="19"/>
      <c r="I24" s="21"/>
    </row>
    <row r="25" spans="2:9">
      <c r="B25" s="21" t="s">
        <v>242</v>
      </c>
      <c r="C25" s="19">
        <v>340.625</v>
      </c>
      <c r="D25" s="19">
        <v>335.90800000000002</v>
      </c>
      <c r="E25" s="19">
        <v>332.62400000000002</v>
      </c>
      <c r="F25" s="19">
        <v>306.221</v>
      </c>
      <c r="G25" s="19">
        <v>302.52</v>
      </c>
      <c r="I25" s="21"/>
    </row>
    <row r="26" spans="2:9">
      <c r="B26" s="21" t="s">
        <v>278</v>
      </c>
      <c r="C26" s="19">
        <v>14.412000000000001</v>
      </c>
      <c r="D26" s="19">
        <v>51.475000000000001</v>
      </c>
      <c r="E26" s="19">
        <v>35.024000000000001</v>
      </c>
      <c r="F26" s="19">
        <v>849.024</v>
      </c>
      <c r="G26" s="19">
        <v>890.87800000000004</v>
      </c>
      <c r="I26" s="21"/>
    </row>
    <row r="27" spans="2:9">
      <c r="B27" s="21" t="s">
        <v>58</v>
      </c>
      <c r="C27" s="19">
        <v>133.93299999999999</v>
      </c>
      <c r="D27" s="19">
        <v>155.648</v>
      </c>
      <c r="E27" s="19">
        <v>202.87200000000001</v>
      </c>
      <c r="F27" s="19">
        <v>230.24600000000001</v>
      </c>
      <c r="G27" s="19">
        <v>185.69399999999999</v>
      </c>
      <c r="I27" s="21"/>
    </row>
    <row r="28" spans="2:9">
      <c r="B28" s="28" t="s">
        <v>57</v>
      </c>
      <c r="C28" s="27">
        <f>SUM(C23:C27)</f>
        <v>4218.5439999999999</v>
      </c>
      <c r="D28" s="27">
        <f>SUM(D23:D27)</f>
        <v>3993.2089999999994</v>
      </c>
      <c r="E28" s="27">
        <f>SUM(E23:E27)</f>
        <v>3935.0200000000004</v>
      </c>
      <c r="F28" s="27">
        <f>SUM(F23:F27)</f>
        <v>4836.8450000000003</v>
      </c>
      <c r="G28" s="27">
        <f>SUM(G23:G27)</f>
        <v>5274.7349999999997</v>
      </c>
      <c r="I28" s="21"/>
    </row>
    <row r="29" spans="2:9">
      <c r="B29" s="21"/>
      <c r="C29" s="19"/>
      <c r="D29" s="19"/>
      <c r="E29" s="19"/>
      <c r="F29" s="19"/>
      <c r="G29" s="19"/>
      <c r="I29" s="21"/>
    </row>
    <row r="30" spans="2:9" ht="17" thickBot="1">
      <c r="B30" s="25" t="s">
        <v>56</v>
      </c>
      <c r="C30" s="24">
        <f>SUM(C28,C14)</f>
        <v>6628.5599999999995</v>
      </c>
      <c r="D30" s="24">
        <f>SUM(D28,D14)</f>
        <v>7752.8589999999995</v>
      </c>
      <c r="E30" s="24">
        <f>SUM(E28,E14)</f>
        <v>9041.6759999999995</v>
      </c>
      <c r="F30" s="24">
        <f>SUM(F28,F14)</f>
        <v>9800.030999999999</v>
      </c>
      <c r="G30" s="24">
        <f>SUM(G28,G14)</f>
        <v>10164.784</v>
      </c>
      <c r="I30" s="21"/>
    </row>
    <row r="31" spans="2:9" ht="17" thickTop="1">
      <c r="B31" s="32"/>
      <c r="C31" s="43"/>
      <c r="D31" s="43"/>
      <c r="E31" s="43"/>
      <c r="F31" s="43"/>
      <c r="G31" s="43"/>
      <c r="I31" s="21"/>
    </row>
    <row r="32" spans="2:9" ht="17" customHeight="1">
      <c r="B32" s="374" t="s">
        <v>55</v>
      </c>
      <c r="C32" s="43"/>
      <c r="D32" s="43"/>
      <c r="E32" s="43"/>
      <c r="F32" s="43"/>
      <c r="G32" s="43"/>
      <c r="I32" s="21"/>
    </row>
    <row r="33" spans="2:9" ht="13" customHeight="1">
      <c r="B33" s="32"/>
      <c r="C33" s="43"/>
      <c r="D33" s="43"/>
      <c r="E33" s="43"/>
      <c r="F33" s="43"/>
      <c r="G33" s="43"/>
      <c r="I33" s="21"/>
    </row>
    <row r="34" spans="2:9">
      <c r="B34" s="32" t="s">
        <v>54</v>
      </c>
      <c r="C34" s="19"/>
      <c r="D34" s="19"/>
      <c r="E34" s="19"/>
      <c r="F34" s="19"/>
      <c r="G34" s="19"/>
      <c r="I34" s="21"/>
    </row>
    <row r="35" spans="2:9">
      <c r="B35" s="21" t="s">
        <v>279</v>
      </c>
      <c r="C35" s="19">
        <v>422.97</v>
      </c>
      <c r="D35" s="19">
        <v>472.67</v>
      </c>
      <c r="E35" s="19">
        <v>480.31799999999998</v>
      </c>
      <c r="F35" s="19">
        <v>546.755</v>
      </c>
      <c r="G35" s="19">
        <v>492.85599999999999</v>
      </c>
      <c r="I35" s="21"/>
    </row>
    <row r="36" spans="2:9">
      <c r="B36" s="21" t="s">
        <v>280</v>
      </c>
      <c r="C36" s="19">
        <v>1001.5890000000001</v>
      </c>
      <c r="D36" s="19">
        <v>1258.0930000000001</v>
      </c>
      <c r="E36" s="19">
        <v>1281.3219999999999</v>
      </c>
      <c r="F36" s="19">
        <v>1206.066</v>
      </c>
      <c r="G36" s="19">
        <v>1288.7280000000001</v>
      </c>
      <c r="I36" s="42"/>
    </row>
    <row r="37" spans="2:9">
      <c r="B37" s="21" t="s">
        <v>243</v>
      </c>
      <c r="C37" s="19">
        <v>31.669</v>
      </c>
      <c r="D37" s="19">
        <v>40.997</v>
      </c>
      <c r="E37" s="19">
        <v>13.464</v>
      </c>
      <c r="F37" s="19">
        <v>29.623999999999999</v>
      </c>
      <c r="G37" s="19">
        <v>54.508000000000003</v>
      </c>
      <c r="I37" s="42"/>
    </row>
    <row r="38" spans="2:9">
      <c r="B38" s="21" t="s">
        <v>281</v>
      </c>
      <c r="C38" s="19">
        <f>620.246-C39</f>
        <v>417.04599999999999</v>
      </c>
      <c r="D38" s="19">
        <f>778.438-D39</f>
        <v>778.43799999999999</v>
      </c>
      <c r="E38" s="19">
        <f>937.576-E39</f>
        <v>937.57600000000002</v>
      </c>
      <c r="F38" s="19">
        <f>859.001-F39</f>
        <v>640.19899999999996</v>
      </c>
      <c r="G38" s="19">
        <f>916.302-G39</f>
        <v>703.35200000000009</v>
      </c>
      <c r="H38" s="26"/>
      <c r="I38" s="21"/>
    </row>
    <row r="39" spans="2:9">
      <c r="B39" s="21" t="s">
        <v>244</v>
      </c>
      <c r="C39" s="19">
        <v>203.2</v>
      </c>
      <c r="D39" s="19">
        <v>0</v>
      </c>
      <c r="E39" s="19">
        <v>0</v>
      </c>
      <c r="F39" s="19">
        <v>218.80199999999999</v>
      </c>
      <c r="G39" s="19">
        <v>212.95</v>
      </c>
      <c r="H39" s="26"/>
      <c r="I39" s="21"/>
    </row>
    <row r="40" spans="2:9">
      <c r="B40" s="28" t="s">
        <v>53</v>
      </c>
      <c r="C40" s="27">
        <f>SUM(C35:C39)</f>
        <v>2076.4740000000002</v>
      </c>
      <c r="D40" s="27">
        <f t="shared" ref="D40:G40" si="1">SUM(D35:D39)</f>
        <v>2550.1980000000003</v>
      </c>
      <c r="E40" s="27">
        <f t="shared" si="1"/>
        <v>2712.68</v>
      </c>
      <c r="F40" s="27">
        <f t="shared" si="1"/>
        <v>2641.4459999999999</v>
      </c>
      <c r="G40" s="27">
        <f t="shared" si="1"/>
        <v>2752.3940000000002</v>
      </c>
      <c r="I40" s="21"/>
    </row>
    <row r="41" spans="2:9">
      <c r="B41" s="21"/>
      <c r="C41" s="19"/>
      <c r="D41" s="19"/>
      <c r="E41" s="19"/>
      <c r="F41" s="19"/>
      <c r="G41" s="19"/>
      <c r="I41" s="21"/>
    </row>
    <row r="42" spans="2:9">
      <c r="B42" s="32" t="s">
        <v>52</v>
      </c>
      <c r="C42" s="19"/>
      <c r="D42" s="19"/>
      <c r="E42" s="19"/>
      <c r="F42" s="19"/>
      <c r="G42" s="19"/>
      <c r="I42" s="21"/>
    </row>
    <row r="43" spans="2:9">
      <c r="B43" s="21" t="s">
        <v>282</v>
      </c>
      <c r="C43" s="19">
        <f>2677.446-C44</f>
        <v>224.09999999999991</v>
      </c>
      <c r="D43" s="19">
        <f>2677.446-D44</f>
        <v>418.13799999999992</v>
      </c>
      <c r="E43" s="19">
        <f>4029.876-E44</f>
        <v>1930.73</v>
      </c>
      <c r="F43" s="19">
        <f>3658.38-F44</f>
        <v>1540.607</v>
      </c>
      <c r="G43" s="19">
        <f>3770.974-G44</f>
        <v>1483.2600000000002</v>
      </c>
      <c r="I43" s="21"/>
    </row>
    <row r="44" spans="2:9">
      <c r="B44" s="21" t="s">
        <v>283</v>
      </c>
      <c r="C44" s="19">
        <v>2453.346</v>
      </c>
      <c r="D44" s="19">
        <v>2259.308</v>
      </c>
      <c r="E44" s="19">
        <v>2099.1460000000002</v>
      </c>
      <c r="F44" s="19">
        <v>2117.7730000000001</v>
      </c>
      <c r="G44" s="19">
        <v>2287.7139999999999</v>
      </c>
      <c r="I44" s="21"/>
    </row>
    <row r="45" spans="2:9">
      <c r="B45" s="21" t="s">
        <v>284</v>
      </c>
      <c r="C45" s="19">
        <v>9.1869999999999994</v>
      </c>
      <c r="D45" s="19"/>
      <c r="E45" s="19"/>
      <c r="F45" s="19">
        <v>807.83500000000004</v>
      </c>
      <c r="G45" s="19">
        <v>853.03200000000004</v>
      </c>
      <c r="I45" s="21"/>
    </row>
    <row r="46" spans="2:9">
      <c r="B46" s="21" t="s">
        <v>285</v>
      </c>
      <c r="C46" s="19">
        <v>99.686000000000007</v>
      </c>
      <c r="D46" s="19">
        <v>125.696</v>
      </c>
      <c r="E46" s="19">
        <v>150.82499999999999</v>
      </c>
      <c r="F46" s="19">
        <v>133.489</v>
      </c>
      <c r="G46" s="19">
        <v>137.90799999999999</v>
      </c>
      <c r="I46" s="21"/>
    </row>
    <row r="47" spans="2:9">
      <c r="B47" s="21" t="s">
        <v>51</v>
      </c>
      <c r="C47" s="19">
        <f>133.855-C46</f>
        <v>34.168999999999983</v>
      </c>
      <c r="D47" s="19">
        <f>185.326-D46</f>
        <v>59.629999999999995</v>
      </c>
      <c r="E47" s="19">
        <f>197.534-E46</f>
        <v>46.709000000000003</v>
      </c>
      <c r="F47" s="19">
        <f>167.747-F46</f>
        <v>34.25800000000001</v>
      </c>
      <c r="G47" s="19">
        <f>171.103-G46</f>
        <v>33.195000000000022</v>
      </c>
      <c r="I47" s="21"/>
    </row>
    <row r="48" spans="2:9">
      <c r="B48" s="28" t="s">
        <v>50</v>
      </c>
      <c r="C48" s="27">
        <f>SUM(C43:C47)</f>
        <v>2820.4879999999998</v>
      </c>
      <c r="D48" s="27">
        <f>SUM(D43:D47)</f>
        <v>2862.7719999999999</v>
      </c>
      <c r="E48" s="27">
        <f>SUM(E43:E47)</f>
        <v>4227.41</v>
      </c>
      <c r="F48" s="27">
        <f>SUM(F43:F47)</f>
        <v>4633.9619999999995</v>
      </c>
      <c r="G48" s="27">
        <f>SUM(G43:G47)</f>
        <v>4795.1090000000004</v>
      </c>
      <c r="I48" s="21"/>
    </row>
    <row r="49" spans="2:9">
      <c r="B49" s="21"/>
      <c r="C49" s="19"/>
      <c r="D49" s="19"/>
      <c r="E49" s="19"/>
      <c r="F49" s="19"/>
      <c r="G49" s="19"/>
      <c r="I49" s="21"/>
    </row>
    <row r="50" spans="2:9">
      <c r="B50" s="32" t="s">
        <v>49</v>
      </c>
      <c r="C50" s="383">
        <f>SUM(C48,C40)</f>
        <v>4896.9619999999995</v>
      </c>
      <c r="D50" s="383">
        <f>SUM(D48,D40)</f>
        <v>5412.97</v>
      </c>
      <c r="E50" s="383">
        <f>SUM(E48,E40)</f>
        <v>6940.09</v>
      </c>
      <c r="F50" s="383">
        <f>SUM(F48,F40)</f>
        <v>7275.4079999999994</v>
      </c>
      <c r="G50" s="383">
        <f>SUM(G48,G40)</f>
        <v>7547.5030000000006</v>
      </c>
      <c r="I50" s="21"/>
    </row>
    <row r="51" spans="2:9">
      <c r="B51" s="21"/>
      <c r="C51" s="19"/>
      <c r="D51" s="19"/>
      <c r="E51" s="19"/>
      <c r="F51" s="19"/>
      <c r="G51" s="19"/>
      <c r="I51" s="21"/>
    </row>
    <row r="52" spans="2:9">
      <c r="B52" s="21" t="s">
        <v>245</v>
      </c>
      <c r="C52" s="19">
        <v>1731.598</v>
      </c>
      <c r="D52" s="19">
        <v>2339.5340000000001</v>
      </c>
      <c r="E52" s="19">
        <v>2101.5859999999998</v>
      </c>
      <c r="F52" s="19">
        <v>2524.623</v>
      </c>
      <c r="G52" s="19">
        <v>2617.2809999999999</v>
      </c>
      <c r="I52" s="21"/>
    </row>
    <row r="53" spans="2:9">
      <c r="B53" s="21" t="s">
        <v>286</v>
      </c>
      <c r="C53" s="19">
        <f>C52</f>
        <v>1731.598</v>
      </c>
      <c r="D53" s="19">
        <f t="shared" ref="D53:G53" si="2">D52</f>
        <v>2339.5340000000001</v>
      </c>
      <c r="E53" s="19">
        <f t="shared" si="2"/>
        <v>2101.5859999999998</v>
      </c>
      <c r="F53" s="19">
        <f t="shared" si="2"/>
        <v>2524.623</v>
      </c>
      <c r="G53" s="19">
        <f t="shared" si="2"/>
        <v>2617.2809999999999</v>
      </c>
      <c r="I53" s="21"/>
    </row>
    <row r="54" spans="2:9">
      <c r="B54" s="28" t="s">
        <v>287</v>
      </c>
      <c r="C54" s="41">
        <f>C52</f>
        <v>1731.598</v>
      </c>
      <c r="D54" s="41">
        <f t="shared" ref="D54:G54" si="3">D52</f>
        <v>2339.5340000000001</v>
      </c>
      <c r="E54" s="41">
        <f t="shared" si="3"/>
        <v>2101.5859999999998</v>
      </c>
      <c r="F54" s="41">
        <f t="shared" si="3"/>
        <v>2524.623</v>
      </c>
      <c r="G54" s="41">
        <f t="shared" si="3"/>
        <v>2617.2809999999999</v>
      </c>
      <c r="I54" s="21"/>
    </row>
    <row r="56" spans="2:9">
      <c r="B56" s="32" t="s">
        <v>48</v>
      </c>
      <c r="C56" s="26">
        <f>SUM(C54,C50)</f>
        <v>6628.5599999999995</v>
      </c>
      <c r="D56" s="26">
        <f>SUM(D54,D50)</f>
        <v>7752.5040000000008</v>
      </c>
      <c r="E56" s="26">
        <f>SUM(E54,E50)</f>
        <v>9041.6759999999995</v>
      </c>
      <c r="F56" s="26">
        <f>SUM(F54,F50)</f>
        <v>9800.030999999999</v>
      </c>
      <c r="G56" s="26">
        <f>SUM(G54,G50)</f>
        <v>10164.784</v>
      </c>
    </row>
    <row r="57" spans="2:9">
      <c r="B57" s="295" t="s">
        <v>134</v>
      </c>
      <c r="C57" s="296">
        <f>ROUND(C30-C56,0)</f>
        <v>0</v>
      </c>
      <c r="D57" s="296">
        <f>ROUND(D30-D56,0)</f>
        <v>0</v>
      </c>
      <c r="E57" s="296">
        <f>ROUND(E30-E56,0)</f>
        <v>0</v>
      </c>
      <c r="F57" s="296">
        <f>ROUND(F30-F56,0)</f>
        <v>0</v>
      </c>
      <c r="G57" s="296">
        <f>ROUND(G30-G56,0)</f>
        <v>0</v>
      </c>
    </row>
  </sheetData>
  <pageMargins left="0.7" right="0.7" top="0.75" bottom="0.75" header="0.3" footer="0.3"/>
  <pageSetup scale="79"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22486-370F-4C4D-AC60-B6344021530B}">
  <dimension ref="B3:H24"/>
  <sheetViews>
    <sheetView showGridLines="0" workbookViewId="0">
      <selection activeCell="K16" sqref="K16"/>
    </sheetView>
  </sheetViews>
  <sheetFormatPr baseColWidth="10" defaultColWidth="8.796875" defaultRowHeight="14"/>
  <cols>
    <col min="1" max="1" width="5.59765625" style="325" customWidth="1"/>
    <col min="2" max="2" width="32.3984375" style="325" customWidth="1"/>
    <col min="3" max="3" width="11.59765625" style="325" bestFit="1" customWidth="1"/>
    <col min="4" max="4" width="2.59765625" style="325" customWidth="1"/>
    <col min="5" max="16384" width="8.796875" style="325"/>
  </cols>
  <sheetData>
    <row r="3" spans="2:8" ht="19">
      <c r="B3" s="439" t="s">
        <v>246</v>
      </c>
    </row>
    <row r="4" spans="2:8" ht="16">
      <c r="B4" s="364" t="s">
        <v>213</v>
      </c>
    </row>
    <row r="6" spans="2:8" ht="17">
      <c r="B6" s="332" t="s">
        <v>208</v>
      </c>
      <c r="C6" s="333"/>
      <c r="E6" s="332" t="s">
        <v>139</v>
      </c>
      <c r="F6" s="334"/>
      <c r="G6" s="334"/>
      <c r="H6" s="334"/>
    </row>
    <row r="7" spans="2:8">
      <c r="B7" s="325" t="s">
        <v>201</v>
      </c>
      <c r="C7" s="366">
        <v>2024</v>
      </c>
    </row>
    <row r="8" spans="2:8">
      <c r="B8" s="325" t="s">
        <v>297</v>
      </c>
      <c r="C8" s="515">
        <v>9.6</v>
      </c>
      <c r="D8" s="335"/>
      <c r="E8" s="325" t="s">
        <v>200</v>
      </c>
    </row>
    <row r="9" spans="2:8">
      <c r="B9" s="325" t="s">
        <v>298</v>
      </c>
      <c r="C9" s="515">
        <v>15.5</v>
      </c>
      <c r="D9" s="335"/>
      <c r="E9" s="325" t="s">
        <v>200</v>
      </c>
    </row>
    <row r="10" spans="2:8">
      <c r="B10" s="325" t="s">
        <v>299</v>
      </c>
      <c r="C10" s="345">
        <f>'Income Statement'!I66</f>
        <v>1925.274519995949</v>
      </c>
      <c r="D10" s="336"/>
      <c r="E10" s="325" t="s">
        <v>202</v>
      </c>
    </row>
    <row r="11" spans="2:8">
      <c r="B11" s="325" t="s">
        <v>300</v>
      </c>
      <c r="C11" s="346">
        <f>'Income Statement'!I39</f>
        <v>13.848380031477438</v>
      </c>
      <c r="D11" s="337"/>
      <c r="E11" s="325" t="s">
        <v>202</v>
      </c>
    </row>
    <row r="12" spans="2:8">
      <c r="B12" s="325" t="s">
        <v>11</v>
      </c>
      <c r="C12" s="338">
        <f>'Income Statement'!H58</f>
        <v>1969.7540000000001</v>
      </c>
      <c r="D12" s="338"/>
      <c r="E12" s="491" t="s">
        <v>210</v>
      </c>
    </row>
    <row r="13" spans="2:8">
      <c r="B13" s="325" t="s">
        <v>205</v>
      </c>
      <c r="C13" s="347">
        <f>'Income Statement'!I37</f>
        <v>84.43</v>
      </c>
      <c r="D13" s="339"/>
      <c r="E13" s="491" t="s">
        <v>202</v>
      </c>
    </row>
    <row r="14" spans="2:8">
      <c r="E14" s="491"/>
    </row>
    <row r="15" spans="2:8">
      <c r="B15" s="340" t="s">
        <v>301</v>
      </c>
      <c r="C15" s="341"/>
    </row>
    <row r="16" spans="2:8">
      <c r="B16" s="325" t="s">
        <v>302</v>
      </c>
      <c r="C16" s="336">
        <f>C10*C8</f>
        <v>18482.63539196111</v>
      </c>
      <c r="D16" s="336"/>
    </row>
    <row r="17" spans="2:5">
      <c r="B17" s="325" t="s">
        <v>303</v>
      </c>
      <c r="C17" s="336">
        <f>C16-C12</f>
        <v>16512.881391961109</v>
      </c>
      <c r="D17" s="336"/>
      <c r="E17" s="342" t="s">
        <v>207</v>
      </c>
    </row>
    <row r="18" spans="2:5">
      <c r="B18" s="325" t="s">
        <v>304</v>
      </c>
      <c r="C18" s="337">
        <f>C17/C13</f>
        <v>195.58073424092277</v>
      </c>
      <c r="D18" s="337"/>
      <c r="E18" s="342" t="s">
        <v>209</v>
      </c>
    </row>
    <row r="20" spans="2:5">
      <c r="B20" s="340" t="s">
        <v>305</v>
      </c>
      <c r="C20" s="341"/>
    </row>
    <row r="21" spans="2:5">
      <c r="B21" s="325" t="s">
        <v>304</v>
      </c>
      <c r="C21" s="337">
        <f>C11*C9</f>
        <v>214.64989048790028</v>
      </c>
      <c r="D21" s="337"/>
      <c r="E21" s="342" t="s">
        <v>206</v>
      </c>
    </row>
    <row r="23" spans="2:5" ht="15" thickBot="1">
      <c r="B23" s="343" t="s">
        <v>306</v>
      </c>
      <c r="C23" s="344">
        <f>AVERAGE(C21,C18)</f>
        <v>205.11531236441152</v>
      </c>
    </row>
    <row r="24" spans="2:5" ht="15" thickTop="1"/>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A7776-3F6E-4ED8-9DFA-62E0AD336279}">
  <dimension ref="B3:H24"/>
  <sheetViews>
    <sheetView showGridLines="0" zoomScaleNormal="100" zoomScaleSheetLayoutView="129" workbookViewId="0">
      <selection activeCell="L16" sqref="L16"/>
    </sheetView>
  </sheetViews>
  <sheetFormatPr baseColWidth="10" defaultColWidth="8.796875" defaultRowHeight="14"/>
  <cols>
    <col min="1" max="1" width="5.59765625" style="325" customWidth="1"/>
    <col min="2" max="2" width="32.3984375" style="325" customWidth="1"/>
    <col min="3" max="3" width="11.59765625" style="325" bestFit="1" customWidth="1"/>
    <col min="4" max="4" width="2.59765625" style="325" customWidth="1"/>
    <col min="5" max="16384" width="8.796875" style="325"/>
  </cols>
  <sheetData>
    <row r="3" spans="2:8" ht="19">
      <c r="B3" s="439" t="s">
        <v>246</v>
      </c>
    </row>
    <row r="4" spans="2:8" ht="16">
      <c r="B4" s="364" t="s">
        <v>213</v>
      </c>
    </row>
    <row r="6" spans="2:8" ht="17">
      <c r="B6" s="332" t="s">
        <v>208</v>
      </c>
      <c r="C6" s="333"/>
      <c r="E6" s="332" t="s">
        <v>139</v>
      </c>
      <c r="F6" s="334"/>
      <c r="G6" s="334"/>
      <c r="H6" s="334"/>
    </row>
    <row r="7" spans="2:8">
      <c r="B7" s="325" t="s">
        <v>201</v>
      </c>
      <c r="C7" s="366">
        <v>2024</v>
      </c>
    </row>
    <row r="8" spans="2:8">
      <c r="B8" s="325" t="s">
        <v>219</v>
      </c>
      <c r="C8" s="515">
        <v>12.1</v>
      </c>
      <c r="D8" s="335"/>
      <c r="E8" s="325" t="s">
        <v>200</v>
      </c>
    </row>
    <row r="9" spans="2:8">
      <c r="B9" s="325" t="s">
        <v>220</v>
      </c>
      <c r="C9" s="515">
        <v>17.2</v>
      </c>
      <c r="D9" s="335"/>
      <c r="E9" s="325" t="s">
        <v>200</v>
      </c>
    </row>
    <row r="10" spans="2:8">
      <c r="B10" s="325" t="s">
        <v>221</v>
      </c>
      <c r="C10" s="345">
        <f>'Income Statement'!K66</f>
        <v>2116.7238320888919</v>
      </c>
      <c r="D10" s="336"/>
      <c r="E10" s="325" t="s">
        <v>202</v>
      </c>
    </row>
    <row r="11" spans="2:8">
      <c r="B11" s="325" t="s">
        <v>222</v>
      </c>
      <c r="C11" s="346">
        <f>'Income Statement'!K39</f>
        <v>15.820290090162249</v>
      </c>
      <c r="D11" s="337"/>
      <c r="E11" s="325" t="s">
        <v>202</v>
      </c>
    </row>
    <row r="12" spans="2:8">
      <c r="B12" s="325" t="s">
        <v>11</v>
      </c>
      <c r="C12" s="338">
        <f>'Income Statement'!H58</f>
        <v>1969.7540000000001</v>
      </c>
      <c r="D12" s="338"/>
      <c r="E12" s="325" t="s">
        <v>210</v>
      </c>
    </row>
    <row r="13" spans="2:8">
      <c r="B13" s="325" t="s">
        <v>205</v>
      </c>
      <c r="C13" s="347">
        <f>'Income Statement'!K37</f>
        <v>81.53</v>
      </c>
      <c r="D13" s="339"/>
      <c r="E13" s="325" t="s">
        <v>202</v>
      </c>
    </row>
    <row r="15" spans="2:8">
      <c r="B15" s="340" t="s">
        <v>203</v>
      </c>
      <c r="C15" s="341"/>
    </row>
    <row r="16" spans="2:8">
      <c r="B16" s="325" t="s">
        <v>355</v>
      </c>
      <c r="C16" s="336">
        <f>C10*C8</f>
        <v>25612.358368275593</v>
      </c>
      <c r="D16" s="336"/>
    </row>
    <row r="17" spans="2:5">
      <c r="B17" s="325" t="s">
        <v>356</v>
      </c>
      <c r="C17" s="336">
        <f>C16-C12</f>
        <v>23642.604368275592</v>
      </c>
      <c r="D17" s="336"/>
      <c r="E17" s="342" t="s">
        <v>207</v>
      </c>
    </row>
    <row r="18" spans="2:5">
      <c r="B18" s="325" t="s">
        <v>357</v>
      </c>
      <c r="C18" s="337">
        <f>C17/C13</f>
        <v>289.98656161260385</v>
      </c>
      <c r="D18" s="337"/>
      <c r="E18" s="342" t="s">
        <v>209</v>
      </c>
    </row>
    <row r="20" spans="2:5">
      <c r="B20" s="340" t="s">
        <v>204</v>
      </c>
      <c r="C20" s="341"/>
    </row>
    <row r="21" spans="2:5">
      <c r="B21" s="325" t="s">
        <v>357</v>
      </c>
      <c r="C21" s="337">
        <f>C11*C9</f>
        <v>272.10898955079068</v>
      </c>
      <c r="D21" s="337"/>
      <c r="E21" s="342" t="s">
        <v>206</v>
      </c>
    </row>
    <row r="23" spans="2:5" ht="15" thickBot="1">
      <c r="B23" s="343" t="s">
        <v>211</v>
      </c>
      <c r="C23" s="344">
        <f>AVERAGE(C21,C18)</f>
        <v>281.04777558169724</v>
      </c>
    </row>
    <row r="24" spans="2:5" ht="15" thickTop="1"/>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5B7D8-FE97-5442-B950-8A2C008E2577}">
  <dimension ref="B2:U23"/>
  <sheetViews>
    <sheetView showGridLines="0" topLeftCell="B1" zoomScaleNormal="100" zoomScaleSheetLayoutView="100" workbookViewId="0">
      <selection activeCell="K8" sqref="K8"/>
    </sheetView>
  </sheetViews>
  <sheetFormatPr baseColWidth="10" defaultColWidth="11" defaultRowHeight="16"/>
  <cols>
    <col min="1" max="1" width="5.59765625" style="1" customWidth="1"/>
    <col min="2" max="2" width="22.3984375" style="1" bestFit="1" customWidth="1"/>
    <col min="3" max="20" width="11" style="1"/>
    <col min="21" max="21" width="20" style="1" customWidth="1"/>
    <col min="22" max="16384" width="11" style="1"/>
  </cols>
  <sheetData>
    <row r="2" spans="2:21">
      <c r="H2" s="494" t="s">
        <v>233</v>
      </c>
      <c r="I2" s="494"/>
      <c r="J2" s="494"/>
    </row>
    <row r="3" spans="2:21" ht="19">
      <c r="B3" s="439" t="s">
        <v>246</v>
      </c>
      <c r="C3" s="87"/>
      <c r="D3" s="87"/>
      <c r="E3" s="87"/>
      <c r="F3" s="87"/>
      <c r="G3" s="87"/>
      <c r="H3" s="87"/>
      <c r="I3" s="87"/>
      <c r="J3" s="87"/>
      <c r="K3" s="88"/>
    </row>
    <row r="4" spans="2:21">
      <c r="B4" s="292" t="s">
        <v>180</v>
      </c>
      <c r="C4" s="88"/>
      <c r="D4" s="88"/>
      <c r="E4" s="88"/>
      <c r="F4" s="88"/>
      <c r="G4" s="88"/>
      <c r="H4" s="88"/>
      <c r="I4" s="88"/>
      <c r="J4" s="88"/>
      <c r="K4" s="88"/>
    </row>
    <row r="6" spans="2:21" ht="17">
      <c r="C6" s="199" t="str">
        <f>'Income Statement'!D8</f>
        <v>2020A</v>
      </c>
      <c r="D6" s="199" t="str">
        <f>'Income Statement'!E8</f>
        <v>2021A</v>
      </c>
      <c r="E6" s="199" t="str">
        <f>'Income Statement'!F8</f>
        <v>2022A</v>
      </c>
      <c r="F6" s="199" t="str">
        <f>'Income Statement'!G8</f>
        <v>2023A</v>
      </c>
      <c r="G6" s="199" t="str">
        <f>'Income Statement'!H8</f>
        <v>2024A</v>
      </c>
      <c r="H6" s="199" t="str">
        <f>'Income Statement'!I8</f>
        <v>2025E</v>
      </c>
      <c r="I6" s="199" t="str">
        <f>'Income Statement'!J8</f>
        <v>2026F</v>
      </c>
      <c r="J6" s="199" t="str">
        <f>'Income Statement'!K8</f>
        <v>2027F</v>
      </c>
    </row>
    <row r="7" spans="2:21" ht="17" thickBot="1">
      <c r="C7" s="33"/>
      <c r="D7" s="33"/>
      <c r="E7" s="33"/>
      <c r="F7" s="33"/>
      <c r="G7" s="33"/>
      <c r="H7" s="201"/>
      <c r="I7" s="33"/>
      <c r="J7" s="33"/>
    </row>
    <row r="8" spans="2:21">
      <c r="B8" s="39" t="s">
        <v>224</v>
      </c>
      <c r="C8" s="39">
        <v>3109</v>
      </c>
      <c r="D8" s="39">
        <v>3180.2</v>
      </c>
      <c r="E8" s="39">
        <v>4131.2</v>
      </c>
      <c r="F8" s="39">
        <v>4218.1000000000004</v>
      </c>
      <c r="G8" s="39">
        <v>4329.8</v>
      </c>
      <c r="H8" s="202">
        <f>G8*(1+H9)</f>
        <v>4520.3112000000001</v>
      </c>
      <c r="I8" s="39">
        <f>H8*(1+I9)</f>
        <v>4692.0830255999999</v>
      </c>
      <c r="J8" s="39">
        <f>I8*(1+J9)</f>
        <v>4912.6109278032</v>
      </c>
      <c r="K8" s="443" t="s">
        <v>326</v>
      </c>
      <c r="L8" s="444"/>
      <c r="M8" s="444"/>
      <c r="N8" s="444"/>
      <c r="O8" s="444"/>
      <c r="P8" s="444"/>
      <c r="Q8" s="444"/>
      <c r="R8" s="444"/>
      <c r="S8" s="444"/>
      <c r="T8" s="444"/>
      <c r="U8" s="445"/>
    </row>
    <row r="9" spans="2:21" ht="17" thickBot="1">
      <c r="B9" s="38" t="s">
        <v>227</v>
      </c>
      <c r="C9" s="35"/>
      <c r="D9" s="35">
        <f>(D8/C8)-1</f>
        <v>2.2901254422643902E-2</v>
      </c>
      <c r="E9" s="35">
        <f t="shared" ref="E9:G9" si="0">(E8/D8)-1</f>
        <v>0.2990377963650086</v>
      </c>
      <c r="F9" s="35">
        <f t="shared" si="0"/>
        <v>2.103505034856723E-2</v>
      </c>
      <c r="G9" s="35">
        <f t="shared" si="0"/>
        <v>2.6481117090633166E-2</v>
      </c>
      <c r="H9" s="203">
        <v>4.3999999999999997E-2</v>
      </c>
      <c r="I9" s="200">
        <v>3.7999999999999999E-2</v>
      </c>
      <c r="J9" s="200">
        <v>4.7E-2</v>
      </c>
      <c r="K9" s="449" t="s">
        <v>325</v>
      </c>
      <c r="U9" s="450"/>
    </row>
    <row r="10" spans="2:21">
      <c r="B10" s="39" t="s">
        <v>225</v>
      </c>
      <c r="C10" s="39">
        <v>1811.4</v>
      </c>
      <c r="D10" s="39">
        <v>1834.3</v>
      </c>
      <c r="E10" s="39">
        <v>2562.8000000000002</v>
      </c>
      <c r="F10" s="39">
        <v>2979.1</v>
      </c>
      <c r="G10" s="39">
        <v>3388.7</v>
      </c>
      <c r="H10" s="202">
        <f>G10*(1+H11)</f>
        <v>3625.9090000000001</v>
      </c>
      <c r="I10" s="39">
        <f>H10*(1+I11)</f>
        <v>3843.4635400000002</v>
      </c>
      <c r="J10" s="39">
        <f>I10*(1+J11)</f>
        <v>4074.0713524000003</v>
      </c>
      <c r="K10" s="443" t="s">
        <v>329</v>
      </c>
      <c r="L10" s="444"/>
      <c r="M10" s="444"/>
      <c r="N10" s="444"/>
      <c r="O10" s="444"/>
      <c r="P10" s="444"/>
      <c r="Q10" s="444"/>
      <c r="R10" s="444"/>
      <c r="S10" s="444"/>
      <c r="T10" s="444"/>
      <c r="U10" s="445"/>
    </row>
    <row r="11" spans="2:21" ht="17" thickBot="1">
      <c r="B11" s="38" t="s">
        <v>228</v>
      </c>
      <c r="C11" s="35"/>
      <c r="D11" s="35">
        <f>(D10/C10)-1</f>
        <v>1.2642155239041442E-2</v>
      </c>
      <c r="E11" s="35">
        <f t="shared" ref="E11" si="1">(E10/D10)-1</f>
        <v>0.397154227770812</v>
      </c>
      <c r="F11" s="35">
        <f t="shared" ref="F11" si="2">(F10/E10)-1</f>
        <v>0.16243951927579192</v>
      </c>
      <c r="G11" s="35">
        <f t="shared" ref="G11" si="3">(G10/F10)-1</f>
        <v>0.13749118861401088</v>
      </c>
      <c r="H11" s="203">
        <v>7.0000000000000007E-2</v>
      </c>
      <c r="I11" s="200">
        <v>0.06</v>
      </c>
      <c r="J11" s="200">
        <v>0.06</v>
      </c>
      <c r="K11" s="446" t="s">
        <v>325</v>
      </c>
      <c r="L11" s="447"/>
      <c r="M11" s="447"/>
      <c r="N11" s="447"/>
      <c r="O11" s="447"/>
      <c r="P11" s="447"/>
      <c r="Q11" s="447"/>
      <c r="R11" s="447"/>
      <c r="S11" s="447"/>
      <c r="T11" s="447"/>
      <c r="U11" s="448"/>
    </row>
    <row r="12" spans="2:21">
      <c r="B12" s="39" t="s">
        <v>229</v>
      </c>
      <c r="C12" s="39">
        <v>3695.2</v>
      </c>
      <c r="D12" s="39">
        <v>4428.5</v>
      </c>
      <c r="E12" s="39">
        <v>5407.9</v>
      </c>
      <c r="F12" s="39">
        <v>4952.2</v>
      </c>
      <c r="G12" s="39">
        <v>4915.5</v>
      </c>
      <c r="H12" s="202">
        <f>G12*(1+H13)</f>
        <v>5259.585</v>
      </c>
      <c r="I12" s="39">
        <f>H12*(1+I13)</f>
        <v>5427.8917200000005</v>
      </c>
      <c r="J12" s="39">
        <f>I12*(1+J13)</f>
        <v>5655.8631722400005</v>
      </c>
      <c r="K12" s="443" t="s">
        <v>327</v>
      </c>
      <c r="L12" s="444"/>
      <c r="M12" s="444"/>
      <c r="N12" s="444"/>
      <c r="O12" s="444"/>
      <c r="P12" s="444"/>
      <c r="Q12" s="444"/>
      <c r="R12" s="444"/>
      <c r="S12" s="444"/>
      <c r="T12" s="444"/>
      <c r="U12" s="445"/>
    </row>
    <row r="13" spans="2:21" ht="17" thickBot="1">
      <c r="B13" s="38" t="s">
        <v>230</v>
      </c>
      <c r="C13" s="35"/>
      <c r="D13" s="35">
        <f>(D12/C12)-1</f>
        <v>0.19844663347044822</v>
      </c>
      <c r="E13" s="35">
        <f t="shared" ref="E13" si="4">(E12/D12)-1</f>
        <v>0.22115840578073831</v>
      </c>
      <c r="F13" s="35">
        <f t="shared" ref="F13" si="5">(F12/E12)-1</f>
        <v>-8.4265611420329511E-2</v>
      </c>
      <c r="G13" s="35">
        <f t="shared" ref="G13" si="6">(G12/F12)-1</f>
        <v>-7.4108477040506493E-3</v>
      </c>
      <c r="H13" s="203">
        <v>7.0000000000000007E-2</v>
      </c>
      <c r="I13" s="200">
        <v>3.2000000000000001E-2</v>
      </c>
      <c r="J13" s="200">
        <v>4.2000000000000003E-2</v>
      </c>
      <c r="K13" s="446" t="s">
        <v>325</v>
      </c>
      <c r="L13" s="447"/>
      <c r="M13" s="447"/>
      <c r="N13" s="447"/>
      <c r="O13" s="447"/>
      <c r="P13" s="447"/>
      <c r="Q13" s="447"/>
      <c r="R13" s="447"/>
      <c r="S13" s="447"/>
      <c r="T13" s="447"/>
      <c r="U13" s="448"/>
    </row>
    <row r="14" spans="2:21">
      <c r="B14" s="39" t="s">
        <v>231</v>
      </c>
      <c r="C14" s="39">
        <v>135.1</v>
      </c>
      <c r="D14" s="39">
        <v>141</v>
      </c>
      <c r="E14" s="39">
        <v>191.5</v>
      </c>
      <c r="F14" s="39">
        <v>218.8</v>
      </c>
      <c r="G14" s="39">
        <v>350.4</v>
      </c>
      <c r="H14" s="202">
        <f>G14*(1+H15)</f>
        <v>345.49439999999998</v>
      </c>
      <c r="I14" s="39">
        <f>H14*(1+I15)</f>
        <v>397.31855999999993</v>
      </c>
      <c r="J14" s="39">
        <f>I14*(1+J15)</f>
        <v>437.05041599999998</v>
      </c>
      <c r="K14" s="443" t="s">
        <v>328</v>
      </c>
      <c r="L14" s="444"/>
      <c r="M14" s="444"/>
      <c r="N14" s="444"/>
      <c r="O14" s="444"/>
      <c r="P14" s="444"/>
      <c r="Q14" s="444"/>
      <c r="R14" s="444"/>
      <c r="S14" s="444"/>
      <c r="T14" s="444"/>
      <c r="U14" s="445"/>
    </row>
    <row r="15" spans="2:21" ht="17" thickBot="1">
      <c r="B15" s="38" t="s">
        <v>232</v>
      </c>
      <c r="C15" s="35"/>
      <c r="D15" s="35">
        <f>(D14/C14)-1</f>
        <v>4.3671354552183628E-2</v>
      </c>
      <c r="E15" s="35">
        <f>(E14/D14)-1</f>
        <v>0.35815602836879434</v>
      </c>
      <c r="F15" s="35">
        <f>(F14/E14)-1</f>
        <v>0.14255874673629254</v>
      </c>
      <c r="G15" s="35">
        <f>(G14/F14)-1</f>
        <v>0.60146252285191948</v>
      </c>
      <c r="H15" s="203">
        <f>-1.4%</f>
        <v>-1.3999999999999999E-2</v>
      </c>
      <c r="I15" s="200">
        <v>0.15</v>
      </c>
      <c r="J15" s="200">
        <v>0.1</v>
      </c>
      <c r="K15" s="446" t="s">
        <v>325</v>
      </c>
      <c r="L15" s="447"/>
      <c r="M15" s="447"/>
      <c r="N15" s="447"/>
      <c r="O15" s="447"/>
      <c r="P15" s="447"/>
      <c r="Q15" s="447"/>
      <c r="R15" s="447"/>
      <c r="S15" s="447"/>
      <c r="T15" s="447"/>
      <c r="U15" s="448"/>
    </row>
    <row r="16" spans="2:21">
      <c r="H16" s="98"/>
    </row>
    <row r="17" spans="2:11" ht="17" thickBot="1">
      <c r="B17" s="37" t="s">
        <v>41</v>
      </c>
      <c r="C17" s="37">
        <f t="shared" ref="C17:J17" si="7">SUM(C8,C14)</f>
        <v>3244.1</v>
      </c>
      <c r="D17" s="37">
        <f t="shared" si="7"/>
        <v>3321.2</v>
      </c>
      <c r="E17" s="37">
        <f t="shared" si="7"/>
        <v>4322.7</v>
      </c>
      <c r="F17" s="37">
        <f t="shared" si="7"/>
        <v>4436.9000000000005</v>
      </c>
      <c r="G17" s="37">
        <f t="shared" si="7"/>
        <v>4680.2</v>
      </c>
      <c r="H17" s="204">
        <f t="shared" si="7"/>
        <v>4865.8055999999997</v>
      </c>
      <c r="I17" s="37">
        <f t="shared" si="7"/>
        <v>5089.4015855999996</v>
      </c>
      <c r="J17" s="37">
        <f t="shared" si="7"/>
        <v>5349.6613438032</v>
      </c>
      <c r="K17" s="208" t="s">
        <v>331</v>
      </c>
    </row>
    <row r="18" spans="2:11" ht="17" thickTop="1">
      <c r="B18" s="36" t="s">
        <v>40</v>
      </c>
      <c r="D18" s="35">
        <f t="shared" ref="D18:I18" si="8">(D17/C17)-1</f>
        <v>2.3766221756419403E-2</v>
      </c>
      <c r="E18" s="35">
        <f t="shared" si="8"/>
        <v>0.30154763338552337</v>
      </c>
      <c r="F18" s="35">
        <f t="shared" si="8"/>
        <v>2.6418673514238877E-2</v>
      </c>
      <c r="G18" s="35">
        <f t="shared" si="8"/>
        <v>5.4835583402826238E-2</v>
      </c>
      <c r="H18" s="205">
        <f t="shared" si="8"/>
        <v>3.9657621469167958E-2</v>
      </c>
      <c r="I18" s="35">
        <f t="shared" si="8"/>
        <v>4.5952511049763167E-2</v>
      </c>
      <c r="J18" s="35">
        <f>(J17/I17)-1</f>
        <v>5.1137595221328436E-2</v>
      </c>
      <c r="K18" s="208" t="s">
        <v>330</v>
      </c>
    </row>
    <row r="22" spans="2:11">
      <c r="B22" s="1" t="s">
        <v>337</v>
      </c>
    </row>
    <row r="23" spans="2:11">
      <c r="B23" s="454" t="s">
        <v>336</v>
      </c>
    </row>
  </sheetData>
  <mergeCells count="1">
    <mergeCell ref="H2:J2"/>
  </mergeCells>
  <pageMargins left="0.7" right="0.7" top="0.75" bottom="0.75" header="0.3" footer="0.3"/>
  <pageSetup scale="75" orientation="portrait" horizontalDpi="200" verticalDpi="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754CE-AAA0-48D7-9655-9E5A53349CD0}">
  <sheetPr>
    <tabColor theme="3"/>
  </sheetPr>
  <dimension ref="A1:AB31"/>
  <sheetViews>
    <sheetView zoomScaleNormal="100" zoomScaleSheetLayoutView="93" workbookViewId="0">
      <selection activeCell="G38" sqref="G38"/>
    </sheetView>
  </sheetViews>
  <sheetFormatPr baseColWidth="10" defaultColWidth="9" defaultRowHeight="14"/>
  <sheetData>
    <row r="1" spans="1:28" ht="24" thickBot="1">
      <c r="A1" s="389" t="s">
        <v>289</v>
      </c>
    </row>
    <row r="2" spans="1:28">
      <c r="A2" s="390"/>
      <c r="B2" s="391"/>
      <c r="C2" s="391"/>
      <c r="D2" s="391"/>
      <c r="E2" s="391"/>
      <c r="F2" s="391"/>
      <c r="G2" s="391"/>
      <c r="H2" s="391"/>
      <c r="I2" s="391"/>
      <c r="J2" s="391"/>
      <c r="K2" s="391"/>
      <c r="L2" s="391"/>
      <c r="M2" s="391"/>
      <c r="N2" s="391"/>
      <c r="O2" s="391"/>
      <c r="P2" s="391"/>
      <c r="Q2" s="391"/>
      <c r="R2" s="391"/>
      <c r="S2" s="391"/>
      <c r="T2" s="391"/>
      <c r="U2" s="391"/>
      <c r="V2" s="391"/>
      <c r="W2" s="391"/>
      <c r="X2" s="391"/>
      <c r="Y2" s="391"/>
      <c r="Z2" s="391"/>
      <c r="AA2" s="391"/>
      <c r="AB2" s="392"/>
    </row>
    <row r="3" spans="1:28">
      <c r="A3" s="393"/>
      <c r="AB3" s="394"/>
    </row>
    <row r="4" spans="1:28">
      <c r="A4" s="393"/>
      <c r="AB4" s="394"/>
    </row>
    <row r="5" spans="1:28">
      <c r="A5" s="393"/>
      <c r="AB5" s="394"/>
    </row>
    <row r="6" spans="1:28">
      <c r="A6" s="393"/>
      <c r="AB6" s="394"/>
    </row>
    <row r="7" spans="1:28">
      <c r="A7" s="393"/>
      <c r="AB7" s="394"/>
    </row>
    <row r="8" spans="1:28">
      <c r="A8" s="393"/>
      <c r="AB8" s="394"/>
    </row>
    <row r="9" spans="1:28">
      <c r="A9" s="393"/>
      <c r="AB9" s="394"/>
    </row>
    <row r="10" spans="1:28">
      <c r="A10" s="393"/>
      <c r="AB10" s="394"/>
    </row>
    <row r="11" spans="1:28">
      <c r="A11" s="393"/>
      <c r="AB11" s="394"/>
    </row>
    <row r="12" spans="1:28">
      <c r="A12" s="393"/>
      <c r="AB12" s="394"/>
    </row>
    <row r="13" spans="1:28">
      <c r="A13" s="393"/>
      <c r="AB13" s="394"/>
    </row>
    <row r="14" spans="1:28">
      <c r="A14" s="393"/>
      <c r="AB14" s="394"/>
    </row>
    <row r="15" spans="1:28">
      <c r="A15" s="393"/>
      <c r="AB15" s="394"/>
    </row>
    <row r="16" spans="1:28">
      <c r="A16" s="393"/>
      <c r="AB16" s="394"/>
    </row>
    <row r="17" spans="1:28">
      <c r="A17" s="393"/>
      <c r="AB17" s="394"/>
    </row>
    <row r="18" spans="1:28">
      <c r="A18" s="393"/>
      <c r="AB18" s="394"/>
    </row>
    <row r="19" spans="1:28">
      <c r="A19" s="393"/>
      <c r="AB19" s="394"/>
    </row>
    <row r="20" spans="1:28">
      <c r="A20" s="393"/>
      <c r="AB20" s="394"/>
    </row>
    <row r="21" spans="1:28">
      <c r="A21" s="393"/>
      <c r="AB21" s="394"/>
    </row>
    <row r="22" spans="1:28">
      <c r="A22" s="393"/>
      <c r="AB22" s="394"/>
    </row>
    <row r="23" spans="1:28">
      <c r="A23" s="393"/>
      <c r="AB23" s="394"/>
    </row>
    <row r="24" spans="1:28">
      <c r="A24" s="393" t="s">
        <v>290</v>
      </c>
      <c r="AB24" s="394"/>
    </row>
    <row r="25" spans="1:28">
      <c r="A25" s="393"/>
      <c r="AB25" s="394"/>
    </row>
    <row r="26" spans="1:28">
      <c r="A26" s="393"/>
      <c r="AB26" s="394"/>
    </row>
    <row r="27" spans="1:28">
      <c r="A27" s="393"/>
      <c r="AB27" s="394"/>
    </row>
    <row r="28" spans="1:28" ht="15" thickBot="1">
      <c r="A28" s="395"/>
      <c r="B28" s="396"/>
      <c r="C28" s="396"/>
      <c r="D28" s="396"/>
      <c r="E28" s="396"/>
      <c r="F28" s="396"/>
      <c r="G28" s="396"/>
      <c r="H28" s="396"/>
      <c r="I28" s="396"/>
      <c r="J28" s="396"/>
      <c r="K28" s="396"/>
      <c r="L28" s="396"/>
      <c r="M28" s="396"/>
      <c r="N28" s="396"/>
      <c r="O28" s="396"/>
      <c r="P28" s="396"/>
      <c r="Q28" s="396"/>
      <c r="R28" s="396"/>
      <c r="S28" s="396"/>
      <c r="T28" s="396"/>
      <c r="U28" s="396"/>
      <c r="V28" s="396"/>
      <c r="W28" s="396"/>
      <c r="X28" s="396"/>
      <c r="Y28" s="396"/>
      <c r="Z28" s="396"/>
      <c r="AA28" s="396"/>
      <c r="AB28" s="397"/>
    </row>
    <row r="31" spans="1:28">
      <c r="A31" t="s">
        <v>291</v>
      </c>
    </row>
  </sheetData>
  <pageMargins left="0.7" right="0.7" top="0.75" bottom="0.75" header="0.3" footer="0.3"/>
  <pageSetup orientation="portrait" horizontalDpi="200" verticalDpi="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0E95A-E564-4CB4-BF27-EE8A54C5FEBF}">
  <dimension ref="A3:N16"/>
  <sheetViews>
    <sheetView showGridLines="0" zoomScaleNormal="100" zoomScaleSheetLayoutView="100" workbookViewId="0">
      <selection activeCell="L16" sqref="L16"/>
    </sheetView>
  </sheetViews>
  <sheetFormatPr baseColWidth="10" defaultColWidth="10.59765625" defaultRowHeight="14"/>
  <cols>
    <col min="1" max="1" width="10.59765625" style="312"/>
    <col min="2" max="2" width="48.19921875" style="312" bestFit="1" customWidth="1"/>
    <col min="3" max="3" width="12.19921875" style="312" bestFit="1" customWidth="1"/>
    <col min="4" max="4" width="36.59765625" style="312" customWidth="1"/>
    <col min="5" max="5" width="13.19921875" style="312" customWidth="1"/>
    <col min="6" max="6" width="12.59765625" style="312" customWidth="1"/>
    <col min="7" max="7" width="42.796875" style="312" customWidth="1"/>
    <col min="8" max="16384" width="10.59765625" style="312"/>
  </cols>
  <sheetData>
    <row r="3" spans="1:14">
      <c r="A3" s="63"/>
    </row>
    <row r="4" spans="1:14" ht="14.25" customHeight="1">
      <c r="B4" s="495" t="s">
        <v>184</v>
      </c>
      <c r="C4" s="495"/>
      <c r="D4" s="495"/>
      <c r="E4" s="495"/>
      <c r="F4" s="495"/>
      <c r="G4" s="495"/>
      <c r="H4" s="272"/>
      <c r="I4" s="272"/>
      <c r="J4" s="272"/>
      <c r="K4" s="272"/>
      <c r="L4" s="272"/>
      <c r="M4" s="272"/>
      <c r="N4" s="272"/>
    </row>
    <row r="5" spans="1:14" ht="16">
      <c r="B5" s="313" t="s">
        <v>185</v>
      </c>
      <c r="C5" s="314"/>
      <c r="D5" s="314"/>
      <c r="E5" s="314"/>
      <c r="F5" s="314"/>
      <c r="G5" s="314"/>
    </row>
    <row r="6" spans="1:14" ht="16">
      <c r="B6" s="462"/>
      <c r="C6" s="463"/>
      <c r="D6" s="463"/>
      <c r="E6" s="462" t="s">
        <v>107</v>
      </c>
      <c r="F6" s="462" t="s">
        <v>106</v>
      </c>
      <c r="G6" s="462"/>
    </row>
    <row r="7" spans="1:14" ht="16">
      <c r="B7" s="464" t="s">
        <v>105</v>
      </c>
      <c r="C7" s="464" t="s">
        <v>104</v>
      </c>
      <c r="D7" s="464" t="s">
        <v>187</v>
      </c>
      <c r="E7" s="464" t="s">
        <v>103</v>
      </c>
      <c r="F7" s="464" t="s">
        <v>1</v>
      </c>
      <c r="G7" s="464" t="s">
        <v>186</v>
      </c>
    </row>
    <row r="8" spans="1:14" ht="45" customHeight="1">
      <c r="B8" s="459" t="s">
        <v>249</v>
      </c>
      <c r="C8" s="459" t="s">
        <v>226</v>
      </c>
      <c r="D8" s="407" t="s">
        <v>296</v>
      </c>
      <c r="E8" s="455">
        <v>18193.3</v>
      </c>
      <c r="F8" s="455">
        <v>18218.599999999999</v>
      </c>
      <c r="G8" s="456"/>
      <c r="K8" s="69"/>
      <c r="L8" s="69"/>
    </row>
    <row r="9" spans="1:14" ht="45" customHeight="1">
      <c r="B9" s="460" t="s">
        <v>250</v>
      </c>
      <c r="C9" s="460" t="s">
        <v>251</v>
      </c>
      <c r="D9" s="407" t="s">
        <v>296</v>
      </c>
      <c r="E9" s="457">
        <v>3452.2</v>
      </c>
      <c r="F9" s="457">
        <v>3642.4</v>
      </c>
      <c r="G9" s="457" t="s">
        <v>188</v>
      </c>
      <c r="K9" s="69"/>
      <c r="L9" s="69"/>
    </row>
    <row r="10" spans="1:14" ht="45" customHeight="1">
      <c r="B10" s="460" t="s">
        <v>252</v>
      </c>
      <c r="C10" s="460" t="s">
        <v>253</v>
      </c>
      <c r="D10" s="407" t="s">
        <v>296</v>
      </c>
      <c r="E10" s="458">
        <v>24.3</v>
      </c>
      <c r="F10" s="458">
        <v>32.6</v>
      </c>
      <c r="G10" s="457" t="s">
        <v>188</v>
      </c>
      <c r="K10" s="69"/>
      <c r="L10" s="69"/>
    </row>
    <row r="11" spans="1:14" ht="45" customHeight="1">
      <c r="B11" s="460" t="s">
        <v>254</v>
      </c>
      <c r="C11" s="460" t="s">
        <v>257</v>
      </c>
      <c r="D11" s="407" t="s">
        <v>296</v>
      </c>
      <c r="E11" s="457">
        <v>20771.2</v>
      </c>
      <c r="F11" s="457">
        <v>18530.3</v>
      </c>
      <c r="G11" s="457" t="s">
        <v>188</v>
      </c>
      <c r="K11" s="71"/>
      <c r="L11" s="71"/>
    </row>
    <row r="12" spans="1:14" ht="45" customHeight="1">
      <c r="B12" s="460" t="s">
        <v>255</v>
      </c>
      <c r="C12" s="460" t="s">
        <v>256</v>
      </c>
      <c r="D12" s="407" t="s">
        <v>296</v>
      </c>
      <c r="E12" s="457">
        <v>4724.8</v>
      </c>
      <c r="F12" s="457">
        <v>3909.3</v>
      </c>
      <c r="G12" s="457" t="s">
        <v>188</v>
      </c>
      <c r="K12" s="71"/>
      <c r="L12" s="71"/>
    </row>
    <row r="13" spans="1:14" ht="45" customHeight="1">
      <c r="B13" s="460" t="s">
        <v>292</v>
      </c>
      <c r="C13" s="461" t="s">
        <v>293</v>
      </c>
      <c r="D13" s="407" t="s">
        <v>296</v>
      </c>
      <c r="E13" s="458">
        <v>1771.7</v>
      </c>
      <c r="F13" s="458">
        <v>1852.7</v>
      </c>
      <c r="G13" s="457" t="s">
        <v>188</v>
      </c>
      <c r="K13" s="71"/>
      <c r="L13" s="71"/>
    </row>
    <row r="14" spans="1:14" ht="45" customHeight="1">
      <c r="B14" s="322"/>
      <c r="C14" s="322"/>
      <c r="D14" s="323"/>
      <c r="E14" s="324"/>
      <c r="F14" s="324"/>
      <c r="G14" s="324"/>
      <c r="K14" s="71"/>
      <c r="L14" s="71"/>
    </row>
    <row r="15" spans="1:14" ht="45" customHeight="1">
      <c r="B15" s="319"/>
      <c r="C15" s="319"/>
      <c r="D15" s="320"/>
      <c r="E15" s="321"/>
      <c r="F15" s="321"/>
      <c r="G15" s="321"/>
      <c r="K15" s="71"/>
      <c r="L15" s="71"/>
    </row>
    <row r="16" spans="1:14" ht="45" customHeight="1">
      <c r="B16" s="322"/>
      <c r="C16" s="322"/>
      <c r="D16" s="323"/>
      <c r="E16" s="324"/>
      <c r="F16" s="324"/>
      <c r="G16" s="324"/>
    </row>
  </sheetData>
  <mergeCells count="1">
    <mergeCell ref="B4:G4"/>
  </mergeCells>
  <pageMargins left="0.7" right="0.7" top="0.75" bottom="0.75" header="0.3" footer="0.3"/>
  <pageSetup scale="35" orientation="portrait" horizontalDpi="200" verticalDpi="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44C36-34EB-5C44-9574-C06787C0ACB3}">
  <dimension ref="B3:U27"/>
  <sheetViews>
    <sheetView showGridLines="0" zoomScaleNormal="100" zoomScaleSheetLayoutView="100" workbookViewId="0">
      <selection activeCell="M10" sqref="M10"/>
    </sheetView>
  </sheetViews>
  <sheetFormatPr baseColWidth="10" defaultColWidth="10.59765625" defaultRowHeight="14"/>
  <cols>
    <col min="1" max="1" width="10.59765625" style="63"/>
    <col min="2" max="2" width="40.59765625" style="63" bestFit="1" customWidth="1"/>
    <col min="3" max="3" width="10.59765625" style="63"/>
    <col min="4" max="4" width="9.3984375" style="63" bestFit="1" customWidth="1"/>
    <col min="5" max="5" width="13.3984375" style="63" bestFit="1" customWidth="1"/>
    <col min="6" max="13" width="10.59765625" style="63"/>
    <col min="14" max="14" width="11.19921875" style="63" bestFit="1" customWidth="1"/>
    <col min="15" max="15" width="10.59765625" style="63"/>
    <col min="16" max="16" width="12" style="63" bestFit="1" customWidth="1"/>
    <col min="17" max="16384" width="10.59765625" style="63"/>
  </cols>
  <sheetData>
    <row r="3" spans="2:21" ht="16">
      <c r="B3" s="495" t="s">
        <v>124</v>
      </c>
      <c r="C3" s="495"/>
      <c r="D3" s="495"/>
      <c r="E3" s="495"/>
      <c r="F3" s="495"/>
      <c r="G3" s="495"/>
      <c r="H3" s="495"/>
      <c r="I3" s="495"/>
      <c r="J3" s="495"/>
      <c r="K3" s="495"/>
      <c r="L3" s="495"/>
      <c r="M3" s="495"/>
      <c r="N3" s="495"/>
    </row>
    <row r="4" spans="2:21" ht="16.5" customHeight="1">
      <c r="B4" s="206"/>
      <c r="C4" s="206"/>
      <c r="D4" s="207"/>
      <c r="E4" s="207"/>
      <c r="F4" s="207"/>
      <c r="G4" s="206"/>
      <c r="H4" s="206"/>
      <c r="I4" s="206"/>
      <c r="J4" s="206"/>
      <c r="K4" s="208"/>
      <c r="L4" s="208"/>
      <c r="M4" s="208"/>
      <c r="N4" s="208"/>
    </row>
    <row r="5" spans="2:21" ht="16">
      <c r="B5" s="209"/>
      <c r="C5" s="210"/>
      <c r="D5" s="209"/>
      <c r="E5" s="209"/>
      <c r="F5" s="209"/>
      <c r="G5" s="209" t="s">
        <v>123</v>
      </c>
      <c r="H5" s="209" t="s">
        <v>122</v>
      </c>
      <c r="I5" s="209"/>
      <c r="J5" s="209"/>
      <c r="K5" s="209"/>
      <c r="L5" s="209"/>
      <c r="M5" s="209" t="s">
        <v>121</v>
      </c>
      <c r="N5" s="209"/>
    </row>
    <row r="6" spans="2:21" ht="16">
      <c r="B6" s="211"/>
      <c r="C6" s="212"/>
      <c r="D6" s="211" t="s">
        <v>107</v>
      </c>
      <c r="E6" s="211" t="s">
        <v>106</v>
      </c>
      <c r="F6" s="211" t="s">
        <v>123</v>
      </c>
      <c r="G6" s="212" t="s">
        <v>120</v>
      </c>
      <c r="H6" s="212" t="s">
        <v>120</v>
      </c>
      <c r="I6" s="212" t="s">
        <v>119</v>
      </c>
      <c r="J6" s="211"/>
      <c r="K6" s="211"/>
      <c r="L6" s="211"/>
      <c r="M6" s="211" t="s">
        <v>118</v>
      </c>
      <c r="N6" s="418" t="s">
        <v>117</v>
      </c>
    </row>
    <row r="7" spans="2:21" ht="16">
      <c r="B7" s="213" t="s">
        <v>105</v>
      </c>
      <c r="C7" s="214" t="s">
        <v>104</v>
      </c>
      <c r="D7" s="215" t="s">
        <v>103</v>
      </c>
      <c r="E7" s="215" t="s">
        <v>1</v>
      </c>
      <c r="F7" s="215" t="s">
        <v>178</v>
      </c>
      <c r="G7" s="215" t="s">
        <v>116</v>
      </c>
      <c r="H7" s="215" t="s">
        <v>116</v>
      </c>
      <c r="I7" s="215" t="s">
        <v>115</v>
      </c>
      <c r="J7" s="215" t="s">
        <v>85</v>
      </c>
      <c r="K7" s="215" t="s">
        <v>84</v>
      </c>
      <c r="L7" s="215" t="s">
        <v>83</v>
      </c>
      <c r="M7" s="215" t="s">
        <v>21</v>
      </c>
      <c r="N7" s="419" t="s">
        <v>114</v>
      </c>
    </row>
    <row r="8" spans="2:21" ht="16">
      <c r="B8" s="377"/>
      <c r="C8" s="377"/>
      <c r="D8" s="66"/>
      <c r="E8" s="66"/>
      <c r="F8" s="66"/>
      <c r="G8" s="67"/>
      <c r="H8" s="67"/>
      <c r="I8" s="67"/>
      <c r="J8" s="67"/>
      <c r="K8" s="216"/>
      <c r="L8" s="216"/>
      <c r="M8" s="217"/>
      <c r="N8" s="216"/>
    </row>
    <row r="9" spans="2:21" ht="16">
      <c r="B9" s="375" t="s">
        <v>249</v>
      </c>
      <c r="C9" s="376" t="s">
        <v>226</v>
      </c>
      <c r="D9" s="218">
        <v>18193.3</v>
      </c>
      <c r="E9" s="218">
        <v>18218.599999999999</v>
      </c>
      <c r="F9" s="219">
        <v>9.2200000000000004E-2</v>
      </c>
      <c r="G9" s="219">
        <v>5.67E-2</v>
      </c>
      <c r="H9" s="219">
        <v>0.1308</v>
      </c>
      <c r="I9" s="219">
        <v>0.113</v>
      </c>
      <c r="J9" s="219">
        <v>0.11799999999999999</v>
      </c>
      <c r="K9" s="219">
        <v>0.42599999999999999</v>
      </c>
      <c r="L9" s="219">
        <v>0.17599999999999999</v>
      </c>
      <c r="M9" s="220">
        <v>1.6</v>
      </c>
      <c r="N9" s="219">
        <v>1.46</v>
      </c>
      <c r="S9"/>
      <c r="T9"/>
      <c r="U9" s="467"/>
    </row>
    <row r="10" spans="2:21" ht="16">
      <c r="B10" s="70" t="s">
        <v>179</v>
      </c>
      <c r="C10" s="70"/>
      <c r="D10" s="71"/>
      <c r="E10" s="71"/>
      <c r="F10" s="318" t="str">
        <f>IF(F9&gt;F24,"Yes","No")</f>
        <v>Yes</v>
      </c>
      <c r="G10" s="318" t="str">
        <f t="shared" ref="G10:N10" si="0">IF(G9&gt;G24,"Yes","No")</f>
        <v>Yes</v>
      </c>
      <c r="H10" s="318" t="str">
        <f t="shared" si="0"/>
        <v>Yes</v>
      </c>
      <c r="I10" s="318" t="str">
        <f t="shared" si="0"/>
        <v>Yes</v>
      </c>
      <c r="J10" s="318" t="str">
        <f t="shared" si="0"/>
        <v>Yes</v>
      </c>
      <c r="K10" s="318" t="str">
        <f>IF(K9&gt;K24,"Yes","No")</f>
        <v>Yes</v>
      </c>
      <c r="L10" s="318" t="str">
        <f t="shared" si="0"/>
        <v>Yes</v>
      </c>
      <c r="M10" s="318" t="str">
        <f t="shared" si="0"/>
        <v>Yes</v>
      </c>
      <c r="N10" s="318" t="str">
        <f t="shared" si="0"/>
        <v>Yes</v>
      </c>
      <c r="S10"/>
      <c r="T10"/>
      <c r="U10" s="467"/>
    </row>
    <row r="11" spans="2:21" ht="16">
      <c r="B11" s="68"/>
      <c r="C11" s="68"/>
      <c r="D11" s="69"/>
      <c r="E11" s="69"/>
      <c r="F11" s="163"/>
      <c r="G11" s="163"/>
      <c r="H11" s="163"/>
      <c r="I11" s="163"/>
      <c r="J11" s="163"/>
      <c r="K11" s="163"/>
      <c r="L11" s="163"/>
      <c r="M11" s="221"/>
      <c r="N11" s="163"/>
      <c r="S11"/>
      <c r="T11"/>
      <c r="U11" s="467"/>
    </row>
    <row r="12" spans="2:21" ht="16">
      <c r="B12" s="70"/>
      <c r="C12" s="70"/>
      <c r="D12" s="71"/>
      <c r="E12" s="71"/>
      <c r="F12" s="163"/>
      <c r="G12" s="163"/>
      <c r="H12" s="163"/>
      <c r="I12" s="163"/>
      <c r="J12" s="163"/>
      <c r="K12" s="163"/>
      <c r="L12" s="163"/>
      <c r="M12" s="414"/>
      <c r="N12" s="316"/>
      <c r="S12"/>
      <c r="T12"/>
      <c r="U12" s="467"/>
    </row>
    <row r="13" spans="2:21" ht="16">
      <c r="B13" s="269"/>
      <c r="C13" s="269"/>
      <c r="D13" s="270"/>
      <c r="E13" s="270"/>
      <c r="F13" s="271"/>
      <c r="G13" s="271"/>
      <c r="H13" s="271"/>
      <c r="I13" s="271"/>
      <c r="J13" s="271"/>
      <c r="K13" s="271"/>
      <c r="L13" s="271"/>
      <c r="M13" s="434"/>
      <c r="N13" s="438"/>
      <c r="S13"/>
      <c r="T13"/>
      <c r="U13" s="467"/>
    </row>
    <row r="14" spans="2:21" ht="16">
      <c r="B14" s="70" t="s">
        <v>250</v>
      </c>
      <c r="C14" s="70" t="s">
        <v>251</v>
      </c>
      <c r="D14" s="71">
        <v>3452.2</v>
      </c>
      <c r="E14" s="71">
        <v>3642.4</v>
      </c>
      <c r="F14" s="163">
        <v>0.1182</v>
      </c>
      <c r="G14" s="163">
        <v>9.7999999999999997E-3</v>
      </c>
      <c r="H14" s="163">
        <v>-0.30259999999999998</v>
      </c>
      <c r="I14" s="163">
        <v>9.7000000000000003E-2</v>
      </c>
      <c r="J14" s="163">
        <v>0.09</v>
      </c>
      <c r="K14" s="163">
        <v>0.24099999999999999</v>
      </c>
      <c r="L14" s="163">
        <v>0.128</v>
      </c>
      <c r="M14" s="434">
        <v>2.11</v>
      </c>
      <c r="N14" s="468">
        <v>0.91232086022777148</v>
      </c>
      <c r="S14"/>
      <c r="T14"/>
      <c r="U14" s="467"/>
    </row>
    <row r="15" spans="2:21" ht="16">
      <c r="B15" s="70" t="s">
        <v>252</v>
      </c>
      <c r="C15" s="70" t="s">
        <v>253</v>
      </c>
      <c r="D15" s="71">
        <v>24.3</v>
      </c>
      <c r="E15" s="71">
        <v>32.6</v>
      </c>
      <c r="F15" s="163">
        <v>-4.1099999999999998E-2</v>
      </c>
      <c r="G15" s="163">
        <v>0.12570000000000001</v>
      </c>
      <c r="H15" s="378">
        <v>0</v>
      </c>
      <c r="I15" s="163">
        <v>-7.0999999999999994E-2</v>
      </c>
      <c r="J15" s="163">
        <v>-0.11</v>
      </c>
      <c r="K15" s="163">
        <v>-0.32900000000000001</v>
      </c>
      <c r="L15" s="163">
        <v>-0.16300000000000001</v>
      </c>
      <c r="M15" s="434">
        <v>-7.99</v>
      </c>
      <c r="N15" s="468">
        <v>1.7034126563825729</v>
      </c>
      <c r="P15" s="379">
        <v>-16.529499999999999</v>
      </c>
    </row>
    <row r="16" spans="2:21" ht="16">
      <c r="B16" s="70" t="s">
        <v>254</v>
      </c>
      <c r="C16" s="70" t="s">
        <v>257</v>
      </c>
      <c r="D16" s="71">
        <v>20771.2</v>
      </c>
      <c r="E16" s="71">
        <v>18530.3</v>
      </c>
      <c r="F16" s="163">
        <v>0.17979999999999999</v>
      </c>
      <c r="G16" s="163">
        <v>0.19520000000000001</v>
      </c>
      <c r="H16" s="163">
        <v>0.18779999999999999</v>
      </c>
      <c r="I16" s="163">
        <v>0.247</v>
      </c>
      <c r="J16" s="163">
        <v>0.25800000000000001</v>
      </c>
      <c r="K16" s="163">
        <v>0.39800000000000002</v>
      </c>
      <c r="L16" s="163">
        <v>0.36499999999999999</v>
      </c>
      <c r="M16" s="434">
        <v>-1.62</v>
      </c>
      <c r="N16" s="468">
        <v>9.7695520082526299E-2</v>
      </c>
    </row>
    <row r="17" spans="2:14" ht="16">
      <c r="B17" s="70" t="s">
        <v>255</v>
      </c>
      <c r="C17" s="70" t="s">
        <v>256</v>
      </c>
      <c r="D17" s="71">
        <v>4724.8</v>
      </c>
      <c r="E17" s="71">
        <v>3909.3</v>
      </c>
      <c r="F17" s="163">
        <v>2.06E-2</v>
      </c>
      <c r="G17" s="163">
        <v>-3.4000000000000002E-2</v>
      </c>
      <c r="H17" s="163">
        <v>0.15260000000000001</v>
      </c>
      <c r="I17" s="163">
        <v>8.7999999999999995E-2</v>
      </c>
      <c r="J17" s="163">
        <v>7.5999999999999998E-2</v>
      </c>
      <c r="K17" s="163">
        <v>0.12</v>
      </c>
      <c r="L17" s="163">
        <v>0.10100000000000001</v>
      </c>
      <c r="M17" s="434">
        <v>-1.1399999999999999</v>
      </c>
      <c r="N17" s="468">
        <v>0.25234559467517287</v>
      </c>
    </row>
    <row r="18" spans="2:14" ht="16">
      <c r="B18" s="70" t="s">
        <v>292</v>
      </c>
      <c r="C18" s="70" t="s">
        <v>293</v>
      </c>
      <c r="D18" s="71">
        <v>1771.7</v>
      </c>
      <c r="E18" s="71">
        <v>1852.7</v>
      </c>
      <c r="F18" s="164">
        <v>1.6999999999999999E-3</v>
      </c>
      <c r="G18" s="164">
        <v>-6.9999999999999999E-4</v>
      </c>
      <c r="H18" s="163">
        <v>-4.5100000000000001E-2</v>
      </c>
      <c r="I18" s="163">
        <v>-6.8000000000000005E-2</v>
      </c>
      <c r="J18" s="163">
        <v>-0.06</v>
      </c>
      <c r="K18" s="163">
        <v>-0.14000000000000001</v>
      </c>
      <c r="L18" s="163">
        <v>-7.9000000000000001E-2</v>
      </c>
      <c r="M18" s="434">
        <v>7.71</v>
      </c>
      <c r="N18" s="468">
        <v>0.9884937238493724</v>
      </c>
    </row>
    <row r="19" spans="2:14" ht="16">
      <c r="B19" s="70"/>
      <c r="C19" s="70"/>
      <c r="D19" s="71"/>
      <c r="E19" s="71"/>
      <c r="F19" s="163"/>
      <c r="G19" s="163"/>
      <c r="H19" s="163"/>
      <c r="I19" s="163"/>
      <c r="J19" s="163"/>
      <c r="K19" s="163"/>
      <c r="L19" s="163"/>
      <c r="M19" s="414"/>
      <c r="N19" s="316"/>
    </row>
    <row r="20" spans="2:14" ht="16">
      <c r="B20" s="70"/>
      <c r="C20" s="70"/>
      <c r="D20" s="71"/>
      <c r="E20" s="71"/>
      <c r="F20" s="163"/>
      <c r="G20" s="163"/>
      <c r="H20" s="163"/>
      <c r="I20" s="163"/>
      <c r="J20" s="163"/>
      <c r="K20" s="163"/>
      <c r="L20" s="163"/>
      <c r="M20" s="315"/>
      <c r="N20" s="316"/>
    </row>
    <row r="21" spans="2:14" ht="16">
      <c r="B21" s="65"/>
      <c r="C21" s="65"/>
      <c r="D21" s="72"/>
      <c r="E21" s="72"/>
      <c r="F21" s="72"/>
      <c r="G21" s="67"/>
      <c r="H21" s="67"/>
      <c r="I21" s="67"/>
      <c r="J21" s="67"/>
      <c r="K21" s="67"/>
      <c r="L21" s="67"/>
      <c r="M21" s="73"/>
      <c r="N21" s="67"/>
    </row>
    <row r="22" spans="2:14" ht="16">
      <c r="B22" s="222" t="s">
        <v>113</v>
      </c>
      <c r="C22" s="223"/>
      <c r="D22" s="224">
        <f>QUARTILE(D$13:D$20,0)</f>
        <v>24.3</v>
      </c>
      <c r="E22" s="224">
        <f>QUARTILE(E$13:E$20,0)</f>
        <v>32.6</v>
      </c>
      <c r="F22" s="225">
        <f>QUARTILE(F$12:F$20,0)</f>
        <v>-4.1099999999999998E-2</v>
      </c>
      <c r="G22" s="226">
        <f t="shared" ref="G22:L22" si="1">QUARTILE(G$12:G$20,0)</f>
        <v>-3.4000000000000002E-2</v>
      </c>
      <c r="H22" s="226">
        <f t="shared" si="1"/>
        <v>-0.30259999999999998</v>
      </c>
      <c r="I22" s="226">
        <f t="shared" si="1"/>
        <v>-7.0999999999999994E-2</v>
      </c>
      <c r="J22" s="226">
        <f t="shared" si="1"/>
        <v>-0.11</v>
      </c>
      <c r="K22" s="226">
        <f t="shared" si="1"/>
        <v>-0.32900000000000001</v>
      </c>
      <c r="L22" s="226">
        <f t="shared" si="1"/>
        <v>-0.16300000000000001</v>
      </c>
      <c r="M22" s="227">
        <f>QUARTILE(M$12:M$20,0)</f>
        <v>-7.99</v>
      </c>
      <c r="N22" s="228">
        <f>QUARTILE(N$12:N$20,0)</f>
        <v>9.7695520082526299E-2</v>
      </c>
    </row>
    <row r="23" spans="2:14" ht="17" thickBot="1">
      <c r="B23" s="229" t="s">
        <v>112</v>
      </c>
      <c r="C23" s="230"/>
      <c r="D23" s="231">
        <f>QUARTILE(D$13:D$20,1)</f>
        <v>1771.7</v>
      </c>
      <c r="E23" s="231">
        <f>QUARTILE(E$13:E$20,1)</f>
        <v>1852.7</v>
      </c>
      <c r="F23" s="232">
        <f>QUARTILE(F$12:F$20,1)</f>
        <v>1.6999999999999999E-3</v>
      </c>
      <c r="G23" s="233">
        <f t="shared" ref="G23:L23" si="2">QUARTILE(G$12:G$20,1)</f>
        <v>-6.9999999999999999E-4</v>
      </c>
      <c r="H23" s="233">
        <f t="shared" si="2"/>
        <v>-4.5100000000000001E-2</v>
      </c>
      <c r="I23" s="233">
        <f t="shared" si="2"/>
        <v>-6.8000000000000005E-2</v>
      </c>
      <c r="J23" s="233">
        <f t="shared" si="2"/>
        <v>-0.06</v>
      </c>
      <c r="K23" s="233">
        <f t="shared" si="2"/>
        <v>-0.14000000000000001</v>
      </c>
      <c r="L23" s="233">
        <f t="shared" si="2"/>
        <v>-7.9000000000000001E-2</v>
      </c>
      <c r="M23" s="234">
        <f>QUARTILE(M$12:M$20,1)</f>
        <v>-1.62</v>
      </c>
      <c r="N23" s="235">
        <f>QUARTILE(N$12:N$20,1)</f>
        <v>0.25234559467517287</v>
      </c>
    </row>
    <row r="24" spans="2:14" ht="16">
      <c r="B24" s="273" t="s">
        <v>111</v>
      </c>
      <c r="C24" s="283"/>
      <c r="D24" s="275">
        <f>QUARTILE(D$13:D$20,2)</f>
        <v>3452.2</v>
      </c>
      <c r="E24" s="275">
        <f>QUARTILE(E$13:E$20,2)</f>
        <v>3642.4</v>
      </c>
      <c r="F24" s="284">
        <f>QUARTILE(F$12:F$20,2)</f>
        <v>2.06E-2</v>
      </c>
      <c r="G24" s="285">
        <f t="shared" ref="G24:L24" si="3">QUARTILE(G$12:G$20,2)</f>
        <v>9.7999999999999997E-3</v>
      </c>
      <c r="H24" s="285">
        <f t="shared" si="3"/>
        <v>0</v>
      </c>
      <c r="I24" s="285">
        <f t="shared" si="3"/>
        <v>8.7999999999999995E-2</v>
      </c>
      <c r="J24" s="285">
        <f t="shared" si="3"/>
        <v>7.5999999999999998E-2</v>
      </c>
      <c r="K24" s="285">
        <f t="shared" si="3"/>
        <v>0.12</v>
      </c>
      <c r="L24" s="285">
        <f t="shared" si="3"/>
        <v>0.10100000000000001</v>
      </c>
      <c r="M24" s="286">
        <f>QUARTILE(M$12:M$20,2)</f>
        <v>-1.1399999999999999</v>
      </c>
      <c r="N24" s="287">
        <f>QUARTILE(N$12:N$20,2)</f>
        <v>0.91232086022777148</v>
      </c>
    </row>
    <row r="25" spans="2:14" ht="17" thickBot="1">
      <c r="B25" s="278" t="s">
        <v>110</v>
      </c>
      <c r="C25" s="288"/>
      <c r="D25" s="280">
        <f t="shared" ref="D25:E25" si="4">AVERAGE(D13:D20)</f>
        <v>6148.84</v>
      </c>
      <c r="E25" s="280">
        <f t="shared" si="4"/>
        <v>5593.46</v>
      </c>
      <c r="F25" s="289">
        <f>AVERAGE(F12:F20)</f>
        <v>5.5840000000000001E-2</v>
      </c>
      <c r="G25" s="290">
        <f t="shared" ref="G25:L25" si="5">AVERAGE(G12:G20)</f>
        <v>5.9199999999999996E-2</v>
      </c>
      <c r="H25" s="290">
        <f t="shared" si="5"/>
        <v>-1.4599999999999947E-3</v>
      </c>
      <c r="I25" s="290">
        <f t="shared" si="5"/>
        <v>5.8599999999999999E-2</v>
      </c>
      <c r="J25" s="290">
        <f t="shared" si="5"/>
        <v>5.0799999999999998E-2</v>
      </c>
      <c r="K25" s="290">
        <f t="shared" si="5"/>
        <v>5.7999999999999996E-2</v>
      </c>
      <c r="L25" s="290">
        <f t="shared" si="5"/>
        <v>7.039999999999999E-2</v>
      </c>
      <c r="M25" s="291">
        <f>AVERAGE(M12:M20)</f>
        <v>-0.18600000000000011</v>
      </c>
      <c r="N25" s="469">
        <f>AVERAGE(N12:N20)</f>
        <v>0.79085367104348314</v>
      </c>
    </row>
    <row r="26" spans="2:14" ht="16">
      <c r="B26" s="229" t="s">
        <v>109</v>
      </c>
      <c r="C26" s="230"/>
      <c r="D26" s="231">
        <f>QUARTILE(D$13:D$20,3)</f>
        <v>4724.8</v>
      </c>
      <c r="E26" s="231">
        <f>QUARTILE(E$13:E$20,3)</f>
        <v>3909.3</v>
      </c>
      <c r="F26" s="232">
        <f>QUARTILE(F$12:F$20,3)</f>
        <v>0.1182</v>
      </c>
      <c r="G26" s="233">
        <f t="shared" ref="G26:L26" si="6">QUARTILE(G$12:G$20,3)</f>
        <v>0.12570000000000001</v>
      </c>
      <c r="H26" s="233">
        <f t="shared" si="6"/>
        <v>0.15260000000000001</v>
      </c>
      <c r="I26" s="233">
        <f t="shared" si="6"/>
        <v>9.7000000000000003E-2</v>
      </c>
      <c r="J26" s="233">
        <f t="shared" si="6"/>
        <v>0.09</v>
      </c>
      <c r="K26" s="233">
        <f t="shared" si="6"/>
        <v>0.24099999999999999</v>
      </c>
      <c r="L26" s="233">
        <f t="shared" si="6"/>
        <v>0.128</v>
      </c>
      <c r="M26" s="234">
        <f>QUARTILE(M$12:M$20,3)</f>
        <v>2.11</v>
      </c>
      <c r="N26" s="235">
        <f>QUARTILE(N$12:N$20,3)</f>
        <v>0.9884937238493724</v>
      </c>
    </row>
    <row r="27" spans="2:14" ht="16">
      <c r="B27" s="236" t="s">
        <v>108</v>
      </c>
      <c r="C27" s="237"/>
      <c r="D27" s="238">
        <f>QUARTILE(D$13:D$20,4)</f>
        <v>20771.2</v>
      </c>
      <c r="E27" s="238">
        <f>QUARTILE(E$13:E$20,4)</f>
        <v>18530.3</v>
      </c>
      <c r="F27" s="239">
        <f>QUARTILE(F$12:F$20,4)</f>
        <v>0.17979999999999999</v>
      </c>
      <c r="G27" s="240">
        <f t="shared" ref="G27:L27" si="7">QUARTILE(G$12:G$20,4)</f>
        <v>0.19520000000000001</v>
      </c>
      <c r="H27" s="240">
        <f t="shared" si="7"/>
        <v>0.18779999999999999</v>
      </c>
      <c r="I27" s="240">
        <f t="shared" si="7"/>
        <v>0.247</v>
      </c>
      <c r="J27" s="240">
        <f t="shared" si="7"/>
        <v>0.25800000000000001</v>
      </c>
      <c r="K27" s="240">
        <f t="shared" si="7"/>
        <v>0.39800000000000002</v>
      </c>
      <c r="L27" s="240">
        <f t="shared" si="7"/>
        <v>0.36499999999999999</v>
      </c>
      <c r="M27" s="241">
        <f>QUARTILE(M$12:M$20,4)</f>
        <v>7.71</v>
      </c>
      <c r="N27" s="242">
        <f>QUARTILE(N$12:N$20,4)</f>
        <v>1.7034126563825729</v>
      </c>
    </row>
  </sheetData>
  <mergeCells count="1">
    <mergeCell ref="B3:N3"/>
  </mergeCells>
  <pageMargins left="0.7" right="0.7" top="0.75" bottom="0.75" header="0.3" footer="0.3"/>
  <pageSetup scale="49" orientation="portrait" horizontalDpi="200" verticalDpi="200" r:id="rId1"/>
  <drawing r:id="rId2"/>
</worksheet>
</file>

<file path=docMetadata/LabelInfo.xml><?xml version="1.0" encoding="utf-8"?>
<clbl:labelList xmlns:clbl="http://schemas.microsoft.com/office/2020/mipLabelMetadata">
  <clbl:label id="{22177130-642f-41d9-9211-74237ad5687d}" enabled="0" method="" siteId="{22177130-642f-41d9-9211-74237ad5687d}"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9</vt:i4>
      </vt:variant>
    </vt:vector>
  </HeadingPairs>
  <TitlesOfParts>
    <vt:vector size="25" baseType="lpstr">
      <vt:lpstr>Income Statement</vt:lpstr>
      <vt:lpstr>Cash Flow Statement</vt:lpstr>
      <vt:lpstr>Balance Sheet</vt:lpstr>
      <vt:lpstr>1-Year Price Target Calculation</vt:lpstr>
      <vt:lpstr>3-Year Price Target Calculation</vt:lpstr>
      <vt:lpstr>Revenue Build</vt:lpstr>
      <vt:lpstr>Supporting Statements</vt:lpstr>
      <vt:lpstr>Companies</vt:lpstr>
      <vt:lpstr>Financials</vt:lpstr>
      <vt:lpstr>Valuation</vt:lpstr>
      <vt:lpstr>Updated Valuation Spread</vt:lpstr>
      <vt:lpstr>NWC Calculation Instructions</vt:lpstr>
      <vt:lpstr>Relative Valuation</vt:lpstr>
      <vt:lpstr>Instructions</vt:lpstr>
      <vt:lpstr>Valuation Spread</vt:lpstr>
      <vt:lpstr>Exhibits</vt:lpstr>
      <vt:lpstr>'3-Year Price Target Calculation'!Print_Area</vt:lpstr>
      <vt:lpstr>'Balance Sheet'!Print_Area</vt:lpstr>
      <vt:lpstr>'Cash Flow Statement'!Print_Area</vt:lpstr>
      <vt:lpstr>Companies!Print_Area</vt:lpstr>
      <vt:lpstr>Financials!Print_Area</vt:lpstr>
      <vt:lpstr>'Income Statement'!Print_Area</vt:lpstr>
      <vt:lpstr>'Revenue Build'!Print_Area</vt:lpstr>
      <vt:lpstr>Valuation!Print_Area</vt:lpstr>
      <vt:lpstr>'Income Statement'!Print_Titles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Khamis</dc:creator>
  <cp:lastModifiedBy>Sangita Dasgupta</cp:lastModifiedBy>
  <cp:lastPrinted>2024-11-15T06:46:03Z</cp:lastPrinted>
  <dcterms:created xsi:type="dcterms:W3CDTF">2024-07-29T17:17:30Z</dcterms:created>
  <dcterms:modified xsi:type="dcterms:W3CDTF">2025-03-12T18:21:45Z</dcterms:modified>
</cp:coreProperties>
</file>